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lee" sheetId="1" r:id="rId3"/>
    <sheet state="visible" name="DB" sheetId="2" r:id="rId4"/>
    <sheet state="visible" name="Improvement" sheetId="3" r:id="rId5"/>
    <sheet state="visible" name="Matchups" sheetId="4" r:id="rId6"/>
    <sheet state="visible" name="Tournaments" sheetId="5" r:id="rId7"/>
    <sheet state="visible" name="Stages" sheetId="6" r:id="rId8"/>
    <sheet state="visible" name="Characters by Stages" sheetId="7" r:id="rId9"/>
    <sheet state="visible" name="Head2Head" sheetId="8" r:id="rId10"/>
    <sheet state="visible" name="PR Wins" sheetId="9" r:id="rId11"/>
    <sheet state="visible" name="PM" sheetId="10" r:id="rId12"/>
  </sheets>
  <definedNames/>
  <calcPr/>
</workbook>
</file>

<file path=xl/sharedStrings.xml><?xml version="1.0" encoding="utf-8"?>
<sst xmlns="http://schemas.openxmlformats.org/spreadsheetml/2006/main" count="68545" uniqueCount="1463">
  <si>
    <t>Melee Tournament History</t>
  </si>
  <si>
    <t>tourney type</t>
  </si>
  <si>
    <t>Tournament Name</t>
  </si>
  <si>
    <t>Date</t>
  </si>
  <si>
    <t>Month</t>
  </si>
  <si>
    <t>Game #</t>
  </si>
  <si>
    <t>Match Type</t>
  </si>
  <si>
    <t>Opponent</t>
  </si>
  <si>
    <t>Opponent's Character</t>
  </si>
  <si>
    <t>Falco</t>
  </si>
  <si>
    <t>Game Win/Loss</t>
  </si>
  <si>
    <t>Set W/L</t>
  </si>
  <si>
    <t>Stage</t>
  </si>
  <si>
    <t>Local PR Rank #</t>
  </si>
  <si>
    <t>PR Location</t>
  </si>
  <si>
    <t>Opponent's Region (Optional)</t>
  </si>
  <si>
    <t>Entered as</t>
  </si>
  <si>
    <t>Body City 3</t>
  </si>
  <si>
    <t>Ann Arbor, MI</t>
  </si>
  <si>
    <t>Regional</t>
  </si>
  <si>
    <t>Game 1 (Bo3)</t>
  </si>
  <si>
    <t>Pools</t>
  </si>
  <si>
    <t>Napkin</t>
  </si>
  <si>
    <t>Sheik</t>
  </si>
  <si>
    <t>L</t>
  </si>
  <si>
    <t>Game 2 (Bo3)</t>
  </si>
  <si>
    <t>Michigan Union Anderson Room</t>
  </si>
  <si>
    <t>Fox</t>
  </si>
  <si>
    <t>l</t>
  </si>
  <si>
    <t>fd</t>
  </si>
  <si>
    <t>W</t>
  </si>
  <si>
    <t xml:space="preserve">Pools </t>
  </si>
  <si>
    <t>Game 3 (Bo3)</t>
  </si>
  <si>
    <t>Youmacon 2015</t>
  </si>
  <si>
    <t>Detroit, MI</t>
  </si>
  <si>
    <t>Bracket</t>
  </si>
  <si>
    <t>Beach</t>
  </si>
  <si>
    <t>dl</t>
  </si>
  <si>
    <t>Renaissance Center</t>
  </si>
  <si>
    <t>TJ?</t>
  </si>
  <si>
    <t>Roy</t>
  </si>
  <si>
    <t>Michigan Seasonal Series: Winter</t>
  </si>
  <si>
    <t>Howell, MI</t>
  </si>
  <si>
    <t>Anasazi</t>
  </si>
  <si>
    <t>Marth</t>
  </si>
  <si>
    <t>The Johnson Center at Cleary University</t>
  </si>
  <si>
    <t>Honeybaked</t>
  </si>
  <si>
    <t>i4n</t>
  </si>
  <si>
    <t>Puff</t>
  </si>
  <si>
    <t>Bracket (Intermediate)</t>
  </si>
  <si>
    <t>Butt Zone</t>
  </si>
  <si>
    <t>DQ</t>
  </si>
  <si>
    <t>Fan</t>
  </si>
  <si>
    <t>Little Jon on the Prairie</t>
  </si>
  <si>
    <t>Sweet XXI</t>
  </si>
  <si>
    <t>Team Nick</t>
  </si>
  <si>
    <t>Ohio</t>
  </si>
  <si>
    <t>LMN</t>
  </si>
  <si>
    <t>Ryangg</t>
  </si>
  <si>
    <t>Frostbite 2016</t>
  </si>
  <si>
    <t>Prince Abu</t>
  </si>
  <si>
    <t>The Neutral Zone</t>
  </si>
  <si>
    <t>Varisia</t>
  </si>
  <si>
    <t>JV_Wentworth</t>
  </si>
  <si>
    <t>Ganon</t>
  </si>
  <si>
    <t>Kentucky</t>
  </si>
  <si>
    <t>Scorpiator</t>
  </si>
  <si>
    <t>Bracket (Top32)</t>
  </si>
  <si>
    <t>Tran</t>
  </si>
  <si>
    <t>ys</t>
  </si>
  <si>
    <t>Cob</t>
  </si>
  <si>
    <t>Peach</t>
  </si>
  <si>
    <t>CMPL 3/3/16</t>
  </si>
  <si>
    <t>Sterling Heights, MI</t>
  </si>
  <si>
    <t>Weekly</t>
  </si>
  <si>
    <t>Dissapin</t>
  </si>
  <si>
    <t>Clinton-Macomb Public Library</t>
  </si>
  <si>
    <t>Game 3 (B03)</t>
  </si>
  <si>
    <t>Ryejew</t>
  </si>
  <si>
    <t>Gamma</t>
  </si>
  <si>
    <t>CMPL 3/24/16</t>
  </si>
  <si>
    <t>Mingee</t>
  </si>
  <si>
    <t>NOST</t>
  </si>
  <si>
    <t>Not In My House</t>
  </si>
  <si>
    <t>Local</t>
  </si>
  <si>
    <t>JuggleGuy</t>
  </si>
  <si>
    <t>Falcon</t>
  </si>
  <si>
    <t>Treetz</t>
  </si>
  <si>
    <t>S2j</t>
  </si>
  <si>
    <t>Minor Threat</t>
  </si>
  <si>
    <t>Starlight</t>
  </si>
  <si>
    <t>Wolf</t>
  </si>
  <si>
    <t>Russell</t>
  </si>
  <si>
    <t>Mars</t>
  </si>
  <si>
    <t>Kuyashi</t>
  </si>
  <si>
    <t>CMPL 3/31/16</t>
  </si>
  <si>
    <t>Meat</t>
  </si>
  <si>
    <t>Samus</t>
  </si>
  <si>
    <t>bf</t>
  </si>
  <si>
    <t>fod</t>
  </si>
  <si>
    <t>D_Lidz</t>
  </si>
  <si>
    <t>Ceephax</t>
  </si>
  <si>
    <t>Luigi</t>
  </si>
  <si>
    <t>Oven</t>
  </si>
  <si>
    <t>CMPL 4/21/16</t>
  </si>
  <si>
    <t>ODB</t>
  </si>
  <si>
    <t>ps</t>
  </si>
  <si>
    <t xml:space="preserve">Nujato </t>
  </si>
  <si>
    <t>UMeMe 15</t>
  </si>
  <si>
    <t>Quang</t>
  </si>
  <si>
    <t>uGuizw</t>
  </si>
  <si>
    <t>Techboy</t>
  </si>
  <si>
    <t>Hunt</t>
  </si>
  <si>
    <t>CMPL 5/12/16</t>
  </si>
  <si>
    <t>Jackie</t>
  </si>
  <si>
    <t>Michigan Arcadian 4</t>
  </si>
  <si>
    <t>Arcadian</t>
  </si>
  <si>
    <t>Led Free</t>
  </si>
  <si>
    <t>https://smash.gg/tournament/michigan-arcadian-4/brackets/12918/35043/117900</t>
  </si>
  <si>
    <t>Little Bucket</t>
  </si>
  <si>
    <t>Mikey B</t>
  </si>
  <si>
    <t>Owlnips</t>
  </si>
  <si>
    <t>Karils</t>
  </si>
  <si>
    <t>UMeMe 18</t>
  </si>
  <si>
    <t>Durmain</t>
  </si>
  <si>
    <t>Train</t>
  </si>
  <si>
    <t>http://challonge.com/umeme18</t>
  </si>
  <si>
    <t>Noro</t>
  </si>
  <si>
    <t>http://challonge.com/UMeMe18AM</t>
  </si>
  <si>
    <t>Bracket (Amature)</t>
  </si>
  <si>
    <t>DrRek</t>
  </si>
  <si>
    <t>RyanGG</t>
  </si>
  <si>
    <t>UMeMe 19</t>
  </si>
  <si>
    <t>Charlie Harper</t>
  </si>
  <si>
    <t>CharChar$</t>
  </si>
  <si>
    <t>Math</t>
  </si>
  <si>
    <t>Cool Joe</t>
  </si>
  <si>
    <t>Moon Puncher</t>
  </si>
  <si>
    <t>Doc</t>
  </si>
  <si>
    <t>Pikachu</t>
  </si>
  <si>
    <t>Mario</t>
  </si>
  <si>
    <t>UMeMe 20</t>
  </si>
  <si>
    <t>Papyrus</t>
  </si>
  <si>
    <t>Big Joe</t>
  </si>
  <si>
    <t>Sesh</t>
  </si>
  <si>
    <t>DeepDimples</t>
  </si>
  <si>
    <t>Game 1 (Bo5)</t>
  </si>
  <si>
    <t>Bracket GF(Amature)</t>
  </si>
  <si>
    <t>Paul Lee</t>
  </si>
  <si>
    <t>Game 2 (Bo5)</t>
  </si>
  <si>
    <t>Friday Night Smash Delight 1</t>
  </si>
  <si>
    <t>Southfield, MI</t>
  </si>
  <si>
    <t>Caboose</t>
  </si>
  <si>
    <t>Alaska</t>
  </si>
  <si>
    <t>Cobbi</t>
  </si>
  <si>
    <t>UMeMe 21</t>
  </si>
  <si>
    <t>String Cheese</t>
  </si>
  <si>
    <t>Richard</t>
  </si>
  <si>
    <t>http://challonge.com/umeme21</t>
  </si>
  <si>
    <t>Welp?</t>
  </si>
  <si>
    <t>https://www.youtube.com/watch?v=xWh0NSByHhw</t>
  </si>
  <si>
    <t>Vaatu</t>
  </si>
  <si>
    <t>Friday Night Smash Delight 2</t>
  </si>
  <si>
    <t>Rodohk</t>
  </si>
  <si>
    <t>Uguize</t>
  </si>
  <si>
    <t>Skate</t>
  </si>
  <si>
    <t>UMeMe 22</t>
  </si>
  <si>
    <t>Bakinshake</t>
  </si>
  <si>
    <t>http://challonge.com/umeme22</t>
  </si>
  <si>
    <t>CMPL 6/16/16</t>
  </si>
  <si>
    <t>Pillars</t>
  </si>
  <si>
    <t>JM</t>
  </si>
  <si>
    <t>REKT</t>
  </si>
  <si>
    <t>UMeMe 23</t>
  </si>
  <si>
    <t>Tuesday</t>
  </si>
  <si>
    <t>Sailor Scoopz</t>
  </si>
  <si>
    <t>http://challonge.com/umeme23</t>
  </si>
  <si>
    <t>Hammer</t>
  </si>
  <si>
    <t>Shmoe</t>
  </si>
  <si>
    <t>CMPL 6/24/16</t>
  </si>
  <si>
    <t>Veloc</t>
  </si>
  <si>
    <t>Will</t>
  </si>
  <si>
    <t>Yoshi</t>
  </si>
  <si>
    <t>UMeMe 24</t>
  </si>
  <si>
    <t>Lain</t>
  </si>
  <si>
    <t>Jackpox</t>
  </si>
  <si>
    <t>Big Brother</t>
  </si>
  <si>
    <t>Turnup XD</t>
  </si>
  <si>
    <t>CMPL 6/30/16</t>
  </si>
  <si>
    <t>Raqqi</t>
  </si>
  <si>
    <t>Nexic</t>
  </si>
  <si>
    <t>Lil Mayo</t>
  </si>
  <si>
    <t>Friday Night Smash Delight 5</t>
  </si>
  <si>
    <t>Food</t>
  </si>
  <si>
    <t>Heartstrings</t>
  </si>
  <si>
    <t>2nd Worst</t>
  </si>
  <si>
    <t>Windependance Day</t>
  </si>
  <si>
    <t>Blue Ranger</t>
  </si>
  <si>
    <t>Anderson Room</t>
  </si>
  <si>
    <t>2Shadez</t>
  </si>
  <si>
    <t>Scoops</t>
  </si>
  <si>
    <t>Not Mitch</t>
  </si>
  <si>
    <t>Gamer's Gauntlet 7/3/2016</t>
  </si>
  <si>
    <t>Macomb, MI</t>
  </si>
  <si>
    <t>Gamer's Gauntlet</t>
  </si>
  <si>
    <t>TFS</t>
  </si>
  <si>
    <t>UMeMe 25</t>
  </si>
  <si>
    <t>Cagnar</t>
  </si>
  <si>
    <t>Kissy</t>
  </si>
  <si>
    <t>Friday Night Smash Delight 6</t>
  </si>
  <si>
    <t>PrEVO</t>
  </si>
  <si>
    <t>Apples</t>
  </si>
  <si>
    <t>Yogi Backair</t>
  </si>
  <si>
    <t>Datrooph</t>
  </si>
  <si>
    <t>Marble Blaster</t>
  </si>
  <si>
    <t>UMeMe 28</t>
  </si>
  <si>
    <t>IC's</t>
  </si>
  <si>
    <t>Turkish Delight</t>
  </si>
  <si>
    <t>Duo</t>
  </si>
  <si>
    <t>Jasper</t>
  </si>
  <si>
    <t>JAM</t>
  </si>
  <si>
    <t>COP CRUSHER</t>
  </si>
  <si>
    <t>Game 3 (Bo5)</t>
  </si>
  <si>
    <t>CMPL 7/28/16</t>
  </si>
  <si>
    <t>Joe Bigs</t>
  </si>
  <si>
    <t>Friday Night Smash Delight 9</t>
  </si>
  <si>
    <t>Liam_Butler</t>
  </si>
  <si>
    <t>Smash N' Chill</t>
  </si>
  <si>
    <t>Dearborn, MI</t>
  </si>
  <si>
    <t>Breachin</t>
  </si>
  <si>
    <t>MXMT</t>
  </si>
  <si>
    <t>Jcubez</t>
  </si>
  <si>
    <t>Egg</t>
  </si>
  <si>
    <t>JoeBigs</t>
  </si>
  <si>
    <t>Lenpo</t>
  </si>
  <si>
    <t>Bracket 3rd(Amature)</t>
  </si>
  <si>
    <t>Spooky</t>
  </si>
  <si>
    <t>CMPL 8/4/16</t>
  </si>
  <si>
    <t>Colony</t>
  </si>
  <si>
    <t>KJH</t>
  </si>
  <si>
    <t>UMeMe 30</t>
  </si>
  <si>
    <t>Cdub</t>
  </si>
  <si>
    <t>CMPL 8/11/16</t>
  </si>
  <si>
    <t>Lil Demon</t>
  </si>
  <si>
    <t>wng</t>
  </si>
  <si>
    <t>Pepsi</t>
  </si>
  <si>
    <t>Macomb</t>
  </si>
  <si>
    <t>Nutsack</t>
  </si>
  <si>
    <t>Nara</t>
  </si>
  <si>
    <t>Stitchface</t>
  </si>
  <si>
    <t>Bracket (Top 8)</t>
  </si>
  <si>
    <t>Smash N' Chill 2 (Day 1)</t>
  </si>
  <si>
    <t>RR</t>
  </si>
  <si>
    <t>MajinJoseph</t>
  </si>
  <si>
    <t>Garrison St</t>
  </si>
  <si>
    <t>CAM</t>
  </si>
  <si>
    <t>Action Master</t>
  </si>
  <si>
    <t>Dirtboy</t>
  </si>
  <si>
    <t>Smash N' Chill 2 (Day 2)</t>
  </si>
  <si>
    <t>Morsecode</t>
  </si>
  <si>
    <t>Xtrooper</t>
  </si>
  <si>
    <t>UMeMe 31</t>
  </si>
  <si>
    <t>HhSweater</t>
  </si>
  <si>
    <t>CMPL 8/18/16</t>
  </si>
  <si>
    <t>Kudos</t>
  </si>
  <si>
    <t>UMeMe 32</t>
  </si>
  <si>
    <t>Wrenches</t>
  </si>
  <si>
    <t>Iron</t>
  </si>
  <si>
    <t>UMeMe 33</t>
  </si>
  <si>
    <t>LW13</t>
  </si>
  <si>
    <t>B17</t>
  </si>
  <si>
    <t>All My Edgeguards Are Reads</t>
  </si>
  <si>
    <t>Lansing, MI</t>
  </si>
  <si>
    <t>Bracket Pools</t>
  </si>
  <si>
    <t>Burlap</t>
  </si>
  <si>
    <t>MSU Union, Huron Room</t>
  </si>
  <si>
    <t>Mufasa</t>
  </si>
  <si>
    <t>AM</t>
  </si>
  <si>
    <t>Amature Bracket</t>
  </si>
  <si>
    <t>Eli</t>
  </si>
  <si>
    <t>http://challonge.com/jhfghdjygfhk</t>
  </si>
  <si>
    <t>AM Results: 3rd/34</t>
  </si>
  <si>
    <t>Coleslawing</t>
  </si>
  <si>
    <t>Amature Bracket WF</t>
  </si>
  <si>
    <t>Uncanny</t>
  </si>
  <si>
    <t>Amature Bracket LF</t>
  </si>
  <si>
    <t>Corner Pressure</t>
  </si>
  <si>
    <t>RR Pools</t>
  </si>
  <si>
    <t>Dr. PNC</t>
  </si>
  <si>
    <t>Joe G's</t>
  </si>
  <si>
    <t>Jonah</t>
  </si>
  <si>
    <t>Gorx</t>
  </si>
  <si>
    <t>UMeMe 34</t>
  </si>
  <si>
    <t>Michigan Union Pendleton Room</t>
  </si>
  <si>
    <t>Inu</t>
  </si>
  <si>
    <t>Button Masher</t>
  </si>
  <si>
    <t>Pops</t>
  </si>
  <si>
    <t>UM: Dearborn Union</t>
  </si>
  <si>
    <t>(no tag)</t>
  </si>
  <si>
    <t>David (dearborn)</t>
  </si>
  <si>
    <t>(no tag2)</t>
  </si>
  <si>
    <t>UMeMe 35</t>
  </si>
  <si>
    <t>QBaby</t>
  </si>
  <si>
    <t>Michigan Union, Pendleton Room</t>
  </si>
  <si>
    <t>Slayer</t>
  </si>
  <si>
    <t>Null</t>
  </si>
  <si>
    <t>Mordicon</t>
  </si>
  <si>
    <t>The Big House 6</t>
  </si>
  <si>
    <t>Super Major</t>
  </si>
  <si>
    <t>Round 1 Bracket Pools</t>
  </si>
  <si>
    <t>Freky</t>
  </si>
  <si>
    <t>Royal Dearborn Hotel</t>
  </si>
  <si>
    <t>Ghost of Harambe</t>
  </si>
  <si>
    <t>West Virginia</t>
  </si>
  <si>
    <t>Oct 7-9</t>
  </si>
  <si>
    <t>Bouyer</t>
  </si>
  <si>
    <t>Maryland</t>
  </si>
  <si>
    <t>DeliciousOctorok</t>
  </si>
  <si>
    <t>Ness</t>
  </si>
  <si>
    <t>Illinois</t>
  </si>
  <si>
    <t>SSBMSU2</t>
  </si>
  <si>
    <t>Eppley Center</t>
  </si>
  <si>
    <t>Paz</t>
  </si>
  <si>
    <t>Polodad42</t>
  </si>
  <si>
    <t>Polodad43</t>
  </si>
  <si>
    <t>Brando</t>
  </si>
  <si>
    <t>Indian Mama</t>
  </si>
  <si>
    <t>Bracket (Top 32)</t>
  </si>
  <si>
    <t>Shady</t>
  </si>
  <si>
    <t>Treatz</t>
  </si>
  <si>
    <t>UmeMe 38</t>
  </si>
  <si>
    <t>Michigan Union, Anderson Room</t>
  </si>
  <si>
    <t>JLP</t>
  </si>
  <si>
    <t>Wok</t>
  </si>
  <si>
    <t>Youmacon 2016</t>
  </si>
  <si>
    <t>Papes</t>
  </si>
  <si>
    <t>Rennaisance Center, Ontario Room</t>
  </si>
  <si>
    <t>SalemTekeda19</t>
  </si>
  <si>
    <t>Zelda</t>
  </si>
  <si>
    <t>Blade</t>
  </si>
  <si>
    <t>Zyth</t>
  </si>
  <si>
    <t>Corner Pressure 2</t>
  </si>
  <si>
    <t>Scoot</t>
  </si>
  <si>
    <t>ID Crisis</t>
  </si>
  <si>
    <t>UMeMe 39</t>
  </si>
  <si>
    <t>Shark</t>
  </si>
  <si>
    <t>Parzival</t>
  </si>
  <si>
    <t>Gobos</t>
  </si>
  <si>
    <t>The 5th Michigan Arcadian</t>
  </si>
  <si>
    <t>L7</t>
  </si>
  <si>
    <t>Michigan League Vandenberg, Michigan Ballrooms</t>
  </si>
  <si>
    <t>957</t>
  </si>
  <si>
    <t>Kaii</t>
  </si>
  <si>
    <t>Moon Man</t>
  </si>
  <si>
    <t>Dynamic</t>
  </si>
  <si>
    <t>JU4N</t>
  </si>
  <si>
    <t>Apasher</t>
  </si>
  <si>
    <t>Bracket (Top 64)</t>
  </si>
  <si>
    <t>Walrus</t>
  </si>
  <si>
    <t>UMeMe 40</t>
  </si>
  <si>
    <t>M.A.C.</t>
  </si>
  <si>
    <t>Sacredtwin</t>
  </si>
  <si>
    <t>UMeMe 41</t>
  </si>
  <si>
    <t>Zashi</t>
  </si>
  <si>
    <t>JCubez</t>
  </si>
  <si>
    <t>WildCard</t>
  </si>
  <si>
    <t>Friday Night Smash Delight Before Showdown</t>
  </si>
  <si>
    <t>Ray</t>
  </si>
  <si>
    <t>Plum Lanes</t>
  </si>
  <si>
    <t>NPV</t>
  </si>
  <si>
    <t>UMeMe 42</t>
  </si>
  <si>
    <t>Aiya</t>
  </si>
  <si>
    <t>Deep C Squid</t>
  </si>
  <si>
    <t xml:space="preserve">
</t>
  </si>
  <si>
    <t>UMeMe 43</t>
  </si>
  <si>
    <t>Crip</t>
  </si>
  <si>
    <t>Amir</t>
  </si>
  <si>
    <t>Corner Pressure III</t>
  </si>
  <si>
    <t>Marbleblaster</t>
  </si>
  <si>
    <t>Owl Nips</t>
  </si>
  <si>
    <t>Life</t>
  </si>
  <si>
    <t>Sacred Twin</t>
  </si>
  <si>
    <t>Empty Spirits</t>
  </si>
  <si>
    <t>SWEET XXV</t>
  </si>
  <si>
    <t>Yep</t>
  </si>
  <si>
    <t>Michigan Union, Pendleton Rooms</t>
  </si>
  <si>
    <t>Monkeyz</t>
  </si>
  <si>
    <t>Wildcard</t>
  </si>
  <si>
    <t>Weissclimbers</t>
  </si>
  <si>
    <t>UMeMe 45</t>
  </si>
  <si>
    <t>UMeMe 46</t>
  </si>
  <si>
    <t>JEPR</t>
  </si>
  <si>
    <t>Burnt Wood</t>
  </si>
  <si>
    <t>Coin</t>
  </si>
  <si>
    <t>Sheep</t>
  </si>
  <si>
    <t>Friday Night Smash Delight #31</t>
  </si>
  <si>
    <t>Wonderbread</t>
  </si>
  <si>
    <t>Shaeden</t>
  </si>
  <si>
    <t>Friday Night Smash Delight #32</t>
  </si>
  <si>
    <t>Pouch</t>
  </si>
  <si>
    <t>SWEET XXVI</t>
  </si>
  <si>
    <t>Na5ty</t>
  </si>
  <si>
    <t>Union, Huron Room</t>
  </si>
  <si>
    <t>DMR</t>
  </si>
  <si>
    <t>Jubei</t>
  </si>
  <si>
    <t>Valor</t>
  </si>
  <si>
    <t>UMeMe 49</t>
  </si>
  <si>
    <t>Zam</t>
  </si>
  <si>
    <t>http://michigansmash.challonge.com/UMeMe49</t>
  </si>
  <si>
    <t>Danko</t>
  </si>
  <si>
    <t>Corner Pressure IV</t>
  </si>
  <si>
    <t>Flash</t>
  </si>
  <si>
    <t>Mr. F</t>
  </si>
  <si>
    <t>Friday Night Smash Delight</t>
  </si>
  <si>
    <t>Chelo</t>
  </si>
  <si>
    <t>Stones</t>
  </si>
  <si>
    <t>Childhood</t>
  </si>
  <si>
    <t>SWEET XXVII</t>
  </si>
  <si>
    <t>Decaf</t>
  </si>
  <si>
    <t>ft. Westballz</t>
  </si>
  <si>
    <t>Cday</t>
  </si>
  <si>
    <t>Nintnt</t>
  </si>
  <si>
    <t>Tattoo</t>
  </si>
  <si>
    <t>UMeMe 52</t>
  </si>
  <si>
    <t>Brazmonkey</t>
  </si>
  <si>
    <t>Goonsquad</t>
  </si>
  <si>
    <t>S@SH</t>
  </si>
  <si>
    <t>Bar Tourney</t>
  </si>
  <si>
    <t>Study Hall Lounge</t>
  </si>
  <si>
    <t>Friday Night Smash Delight 38</t>
  </si>
  <si>
    <t>Byrd</t>
  </si>
  <si>
    <t>Dindy</t>
  </si>
  <si>
    <t>Gamers for Giving 2017</t>
  </si>
  <si>
    <t>Ypsilanti, MI</t>
  </si>
  <si>
    <t>EMU Convocation Center</t>
  </si>
  <si>
    <t>Dillon Duhal</t>
  </si>
  <si>
    <t>Friday Night Smash Delight 39</t>
  </si>
  <si>
    <t>Modus</t>
  </si>
  <si>
    <t>Michigan Arcadian 6</t>
  </si>
  <si>
    <t>Slyben</t>
  </si>
  <si>
    <t>Michigan Union</t>
  </si>
  <si>
    <t>33rd</t>
  </si>
  <si>
    <t>Rose</t>
  </si>
  <si>
    <t>Friday Night Smash Delight #41</t>
  </si>
  <si>
    <t>Jzee</t>
  </si>
  <si>
    <t>Skraaa</t>
  </si>
  <si>
    <t>Lordy</t>
  </si>
  <si>
    <t>UMeMe 57</t>
  </si>
  <si>
    <t>Juicebox</t>
  </si>
  <si>
    <t>ADKnight</t>
  </si>
  <si>
    <t>Ginger</t>
  </si>
  <si>
    <t>Sasha</t>
  </si>
  <si>
    <t>Joka</t>
  </si>
  <si>
    <t>DyMg</t>
  </si>
  <si>
    <t>Friday Night Smash Delight #42</t>
  </si>
  <si>
    <t>SWEET XXVIII</t>
  </si>
  <si>
    <t>Surf's Up Hail Satan</t>
  </si>
  <si>
    <t>MSU Union, Main Ball Room</t>
  </si>
  <si>
    <t>Onisser</t>
  </si>
  <si>
    <t>Indiana</t>
  </si>
  <si>
    <t>Kenpachi</t>
  </si>
  <si>
    <t>The Chef (Quang + CTL)</t>
  </si>
  <si>
    <t>Nyte</t>
  </si>
  <si>
    <t>Xam</t>
  </si>
  <si>
    <t>Astro</t>
  </si>
  <si>
    <t>2Framez</t>
  </si>
  <si>
    <t>NEOH</t>
  </si>
  <si>
    <t>Game 4 (Bo5)</t>
  </si>
  <si>
    <t>S@SH 6</t>
  </si>
  <si>
    <t>Axis</t>
  </si>
  <si>
    <t>Hellsing</t>
  </si>
  <si>
    <t>Swine</t>
  </si>
  <si>
    <t>Wild Turkey</t>
  </si>
  <si>
    <t>UMeMe 58</t>
  </si>
  <si>
    <t>Zaps</t>
  </si>
  <si>
    <t>HM</t>
  </si>
  <si>
    <t>Ann Arbor</t>
  </si>
  <si>
    <t>Friday Night Smash Delight 43</t>
  </si>
  <si>
    <t>Neil</t>
  </si>
  <si>
    <t>Young Link</t>
  </si>
  <si>
    <t>Game 5 (Bo5)</t>
  </si>
  <si>
    <t>UMeMe 59</t>
  </si>
  <si>
    <t>Young Z</t>
  </si>
  <si>
    <t>Friday Night Smash Delight 44</t>
  </si>
  <si>
    <t>Blackhavokk</t>
  </si>
  <si>
    <t>Downfall</t>
  </si>
  <si>
    <t>Firestone Cafe</t>
  </si>
  <si>
    <t>Luxy</t>
  </si>
  <si>
    <t>UMeMe 60</t>
  </si>
  <si>
    <t>Flask</t>
  </si>
  <si>
    <t>http://michigansmash.challonge.com/UMeMe60</t>
  </si>
  <si>
    <t>Friday Night Smash Delight #45</t>
  </si>
  <si>
    <t>http://nolimitgaming.challonge.com/fnsd45meleesingles</t>
  </si>
  <si>
    <t>Maclo4</t>
  </si>
  <si>
    <t>Corner Pressure 5</t>
  </si>
  <si>
    <t>4Frames</t>
  </si>
  <si>
    <t>Eternal Games</t>
  </si>
  <si>
    <t>IDCrisis</t>
  </si>
  <si>
    <t>UMeMe 62</t>
  </si>
  <si>
    <t>superwaffles</t>
  </si>
  <si>
    <t>Aghi</t>
  </si>
  <si>
    <t>Yoyo</t>
  </si>
  <si>
    <t xml:space="preserve">S@SH7 </t>
  </si>
  <si>
    <t>NASA</t>
  </si>
  <si>
    <t>Study Hall Bar</t>
  </si>
  <si>
    <t>S@SH7</t>
  </si>
  <si>
    <t>Aeirou</t>
  </si>
  <si>
    <t>UMeMe 63</t>
  </si>
  <si>
    <t>Fire</t>
  </si>
  <si>
    <t>Coupkey</t>
  </si>
  <si>
    <t>Friday Night Smash Delight #48</t>
  </si>
  <si>
    <t>Honey Badger</t>
  </si>
  <si>
    <t>Tketle</t>
  </si>
  <si>
    <t>UMeMe 65</t>
  </si>
  <si>
    <t>Supaface</t>
  </si>
  <si>
    <t>Friday Night Smash Delight #49</t>
  </si>
  <si>
    <t>Freak</t>
  </si>
  <si>
    <t>Endeavor 3</t>
  </si>
  <si>
    <t>Clinton Township, MI</t>
  </si>
  <si>
    <t>Endeavor-Games &amp; Collectibles</t>
  </si>
  <si>
    <t>Bird</t>
  </si>
  <si>
    <t>UMeMe 66</t>
  </si>
  <si>
    <t>Soup</t>
  </si>
  <si>
    <t>itstospicy</t>
  </si>
  <si>
    <t>Friday Night Smash Delight #50</t>
  </si>
  <si>
    <t>Cheesecake</t>
  </si>
  <si>
    <t>Whack #1</t>
  </si>
  <si>
    <t>Jackson, MI</t>
  </si>
  <si>
    <t>Ladies</t>
  </si>
  <si>
    <t>MeggaXP</t>
  </si>
  <si>
    <t>Supermegawalrus</t>
  </si>
  <si>
    <t>Don Juan</t>
  </si>
  <si>
    <t>UMeMe 67</t>
  </si>
  <si>
    <t>Soup Dumplings</t>
  </si>
  <si>
    <t>Endeavor 6</t>
  </si>
  <si>
    <t>808</t>
  </si>
  <si>
    <t>Coco</t>
  </si>
  <si>
    <t>Whack #3</t>
  </si>
  <si>
    <t>Friday Night Smash Delight #51</t>
  </si>
  <si>
    <t>Tar</t>
  </si>
  <si>
    <t>Melee Night Smash Delight</t>
  </si>
  <si>
    <t>Anther</t>
  </si>
  <si>
    <t>UMeMe 68</t>
  </si>
  <si>
    <t>Hot Daniel</t>
  </si>
  <si>
    <t>248</t>
  </si>
  <si>
    <t>NGL Presents: Melee Summer of Smash Vol #1</t>
  </si>
  <si>
    <t>Troy, MI</t>
  </si>
  <si>
    <t>MasterJRoll</t>
  </si>
  <si>
    <t>Bowl One Lanes</t>
  </si>
  <si>
    <t>Megga 5</t>
  </si>
  <si>
    <t>HighDef</t>
  </si>
  <si>
    <t>Meggaxp</t>
  </si>
  <si>
    <t>GMAN</t>
  </si>
  <si>
    <t>Melee Night Smash Delight #52</t>
  </si>
  <si>
    <t>Faizen</t>
  </si>
  <si>
    <t>http://michigansmash.challonge.com/fnsd52meleesingles</t>
  </si>
  <si>
    <t>UMeMe 69</t>
  </si>
  <si>
    <t>Melee Night Smash Delight #53</t>
  </si>
  <si>
    <t>UMeMe 70</t>
  </si>
  <si>
    <t>Ferriswheel</t>
  </si>
  <si>
    <t>Body City 2017</t>
  </si>
  <si>
    <t>BreachiN</t>
  </si>
  <si>
    <t>Pierpont Commons, Fireside Cafe</t>
  </si>
  <si>
    <t>Starsoldier</t>
  </si>
  <si>
    <t>https://smash.gg/tournament/body-city-2017-michigan-summer-circuit-finale/events/melee-singles/brackets/146478/410892</t>
  </si>
  <si>
    <t>Dizzyshoe</t>
  </si>
  <si>
    <t>Lando</t>
  </si>
  <si>
    <t>Russel</t>
  </si>
  <si>
    <t>Party Poison</t>
  </si>
  <si>
    <t>Sudo</t>
  </si>
  <si>
    <t>Duck</t>
  </si>
  <si>
    <t>S@SH 8</t>
  </si>
  <si>
    <t>TopTierRamen</t>
  </si>
  <si>
    <t>http://challonge.com/sash8</t>
  </si>
  <si>
    <t>JWinks</t>
  </si>
  <si>
    <t>UMeMe 71</t>
  </si>
  <si>
    <t>PopStar</t>
  </si>
  <si>
    <t>http://michigansmash.challonge.com/UMEME71</t>
  </si>
  <si>
    <t>http://michigansmash.challonge.com/umeme71am</t>
  </si>
  <si>
    <t>Mo</t>
  </si>
  <si>
    <t>Megga 8</t>
  </si>
  <si>
    <t>http://michigansmash.challonge.com/meggawack8/</t>
  </si>
  <si>
    <t>UMeMe 72</t>
  </si>
  <si>
    <t>Iron_Kaiser</t>
  </si>
  <si>
    <t>http://challonge.com/umeme72</t>
  </si>
  <si>
    <t>Carnage</t>
  </si>
  <si>
    <t>Friday Night Smash Delight #56</t>
  </si>
  <si>
    <t>http://michigansmash.challonge.com/fnsd56meleesingles</t>
  </si>
  <si>
    <t>Friday Night Smash Delight #57</t>
  </si>
  <si>
    <t>Round Robin</t>
  </si>
  <si>
    <t>Geos</t>
  </si>
  <si>
    <t>http://nolimitgaming.challonge.com/fnsd57meleesingles</t>
  </si>
  <si>
    <t>CDay</t>
  </si>
  <si>
    <t>UMeMe 73</t>
  </si>
  <si>
    <t>Ethan</t>
  </si>
  <si>
    <t>Michigan League, Michigan Room</t>
  </si>
  <si>
    <t>Michigan</t>
  </si>
  <si>
    <t>http://michigansmash.challonge.com/UMeMe73/standings</t>
  </si>
  <si>
    <t>999</t>
  </si>
  <si>
    <t>Friday Night Smash Delight #58</t>
  </si>
  <si>
    <t>SETHsational</t>
  </si>
  <si>
    <t>https://smash.gg/tournament/friday-night-smash-delight-58-a-mini-showdown-2/events/melee-singles/brackets/152009</t>
  </si>
  <si>
    <t>Skraaaaa</t>
  </si>
  <si>
    <t>UMeMe 74</t>
  </si>
  <si>
    <t>Trap Man</t>
  </si>
  <si>
    <t>http://michigansmash.challonge.com/UMeMe74</t>
  </si>
  <si>
    <t>Drop</t>
  </si>
  <si>
    <t>David</t>
  </si>
  <si>
    <t>Corner Pressure VI</t>
  </si>
  <si>
    <t>Warren, MI</t>
  </si>
  <si>
    <t>https://smash.gg/tournament/corner-pressure-vi/events/melee-singles/brackets/157022</t>
  </si>
  <si>
    <t>The Big House 7</t>
  </si>
  <si>
    <t>Round 1 Pools</t>
  </si>
  <si>
    <t>Rawkhawk</t>
  </si>
  <si>
    <t>Kansas</t>
  </si>
  <si>
    <t>Cobo Center</t>
  </si>
  <si>
    <t>Oct 6-8</t>
  </si>
  <si>
    <t>Vincessant</t>
  </si>
  <si>
    <t>Philadelphia</t>
  </si>
  <si>
    <t>https://smash.gg/tournament/the-big-house-7</t>
  </si>
  <si>
    <t>SilentShadow</t>
  </si>
  <si>
    <t>Shade</t>
  </si>
  <si>
    <t>Round 2 Pools</t>
  </si>
  <si>
    <t>Scallop</t>
  </si>
  <si>
    <t>Colorado</t>
  </si>
  <si>
    <t>UMeMe 76</t>
  </si>
  <si>
    <t>Phlops</t>
  </si>
  <si>
    <t>http://michigansmash.challonge.com/UMeMe76</t>
  </si>
  <si>
    <t>UMeMe 77</t>
  </si>
  <si>
    <t>http://michigansmash.challonge.com/UMeMe77</t>
  </si>
  <si>
    <t>1st in Doubles w/ Joka</t>
  </si>
  <si>
    <t>http://michigansmash.challonge.com/umeme77dubs</t>
  </si>
  <si>
    <t>UMeMe 79</t>
  </si>
  <si>
    <t>Beckett</t>
  </si>
  <si>
    <t>Lempo</t>
  </si>
  <si>
    <t>http://michigansmash.challonge.com/UMeMe79</t>
  </si>
  <si>
    <t>UMeMe 80</t>
  </si>
  <si>
    <t>marvelboy</t>
  </si>
  <si>
    <t>Michigan League</t>
  </si>
  <si>
    <t>http://michigansmash.challonge.com/UMeMe80</t>
  </si>
  <si>
    <t>Youmacon 2017</t>
  </si>
  <si>
    <t>Eigaar</t>
  </si>
  <si>
    <t>https://smash.gg/tournament/youmacon-tournament-series-2017/events/melee-singles/brackets?filter=%7B%22phaseId%22%3A170660%7D</t>
  </si>
  <si>
    <t>Wu</t>
  </si>
  <si>
    <t>Friday Night Smash Delight #59</t>
  </si>
  <si>
    <t>Plum Hollow Lanes</t>
  </si>
  <si>
    <t>http://michigansmash.challonge.com/fnsd59meleesingles</t>
  </si>
  <si>
    <t>AExAG Charity LAN</t>
  </si>
  <si>
    <t>http://michigansmash.challonge.com/AEXAG</t>
  </si>
  <si>
    <t>JustJoe</t>
  </si>
  <si>
    <t>Chicago</t>
  </si>
  <si>
    <t>2nd in doubles w/ Mars</t>
  </si>
  <si>
    <t>Larfen</t>
  </si>
  <si>
    <t>http://michigansmash.challonge.com/AEXAGD</t>
  </si>
  <si>
    <t>UMeMe 82</t>
  </si>
  <si>
    <t>Lokemer</t>
  </si>
  <si>
    <t>Michigan Union, Kuenzel Room</t>
  </si>
  <si>
    <t>http://michigansmash.challonge.com/UMeMe82</t>
  </si>
  <si>
    <t>BigJoe</t>
  </si>
  <si>
    <t>http://michigansmash.challonge.com/UMeMe82AM</t>
  </si>
  <si>
    <t>WWE #11</t>
  </si>
  <si>
    <t>Soup Dumpling</t>
  </si>
  <si>
    <t>Wayne State Union</t>
  </si>
  <si>
    <t>Pope</t>
  </si>
  <si>
    <t>http://challonge.com/wwemelee11</t>
  </si>
  <si>
    <t>Jase</t>
  </si>
  <si>
    <t>Ascension: A New Era</t>
  </si>
  <si>
    <t>LSD</t>
  </si>
  <si>
    <t>Utah</t>
  </si>
  <si>
    <t>Fireside Cafe</t>
  </si>
  <si>
    <t>Gibs</t>
  </si>
  <si>
    <t>Columbus</t>
  </si>
  <si>
    <t>https://smash.gg/tournament/ascension-a-new-era/events</t>
  </si>
  <si>
    <t>Someone</t>
  </si>
  <si>
    <t>http://michigansmash.challonge.com/ascensionpro</t>
  </si>
  <si>
    <t>J-Matt</t>
  </si>
  <si>
    <t>7th in doubles w/ Joka</t>
  </si>
  <si>
    <t>AMPro</t>
  </si>
  <si>
    <t>Krump</t>
  </si>
  <si>
    <t>Zol</t>
  </si>
  <si>
    <t>Amac</t>
  </si>
  <si>
    <t>MXP Presents: Here Be Mid Tiers</t>
  </si>
  <si>
    <t>Placement Pools</t>
  </si>
  <si>
    <t>MeggaXP Zone</t>
  </si>
  <si>
    <t>Bonk</t>
  </si>
  <si>
    <t>https://smash.gg/tournament/mxp-presents-here-be-mid-tiers/events/melee-singles/brackets/164342</t>
  </si>
  <si>
    <t>5th in Doubles w/ Charlie</t>
  </si>
  <si>
    <t>Division 2 Pool</t>
  </si>
  <si>
    <t>Ruffian</t>
  </si>
  <si>
    <t>Nick Laipply</t>
  </si>
  <si>
    <t>WWE #12</t>
  </si>
  <si>
    <t>Propane</t>
  </si>
  <si>
    <t>WSU student union</t>
  </si>
  <si>
    <t>http://challonge.com/wwemelee12</t>
  </si>
  <si>
    <t>Tubby</t>
  </si>
  <si>
    <t>1st in doubles with Dak</t>
  </si>
  <si>
    <t>http://challonge.com/wwemeleedoubles12</t>
  </si>
  <si>
    <t>UMeMe 85</t>
  </si>
  <si>
    <t>Yoog</t>
  </si>
  <si>
    <t>http://michigansmash.challonge.com/UMeMe85</t>
  </si>
  <si>
    <t>AM Secondaries</t>
  </si>
  <si>
    <t>http://michigansmash.challonge.com/UMeMe85AM</t>
  </si>
  <si>
    <t>S@SH #10</t>
  </si>
  <si>
    <t>https://michigansmash.challonge.com/SASH10</t>
  </si>
  <si>
    <t>Zack Maitland</t>
  </si>
  <si>
    <t>http://michigansmash.challonge.com/SASH10d</t>
  </si>
  <si>
    <t>5th in doubles w/ Mars</t>
  </si>
  <si>
    <t>Magicubed</t>
  </si>
  <si>
    <t>UMeMe 86</t>
  </si>
  <si>
    <t>http://michigansmash.challonge.com/UMeMe86</t>
  </si>
  <si>
    <t>Friday Night Smash Delight @ Holiday Heist</t>
  </si>
  <si>
    <t>Farmington Hills, MI</t>
  </si>
  <si>
    <t>Radisson Hotel</t>
  </si>
  <si>
    <t>https://smash.gg/tournament/holiday-heist-3-1/events/melee-singles/brackets/188693</t>
  </si>
  <si>
    <t>brdwthacgr</t>
  </si>
  <si>
    <t>Lost in Space (Spacies Only)</t>
  </si>
  <si>
    <t>TM</t>
  </si>
  <si>
    <t>LL</t>
  </si>
  <si>
    <t>*For this tourney, if the higher seed player is a spacie main and the lower seed player is not, then the higher seed player must choose between playing their main with 3 stocks or playing the other spacie with 4. This tournament is not counted in any calculations other than the tournaments tab</t>
  </si>
  <si>
    <t>WW</t>
  </si>
  <si>
    <t>Sterling Lanes</t>
  </si>
  <si>
    <t>Dyl</t>
  </si>
  <si>
    <t>http://michigansmash.challonge.com/LostInSpace</t>
  </si>
  <si>
    <t>5th in Doubles w/ Charlie Harper</t>
  </si>
  <si>
    <t>http://michigansmash.challonge.com/lisdoubles</t>
  </si>
  <si>
    <t>Corner Pressure VII</t>
  </si>
  <si>
    <t>HAM</t>
  </si>
  <si>
    <t>https://smash.gg/tournament/corner-pressure-vii/events</t>
  </si>
  <si>
    <t>9th in doubles w/ Charlie Harper</t>
  </si>
  <si>
    <t>https://smash.gg/tournament/corner-pressure-vii/events/melee-doubles/brackets/180979</t>
  </si>
  <si>
    <t>UMeMe 87</t>
  </si>
  <si>
    <t>NemosDeadMom</t>
  </si>
  <si>
    <t>Michigan Union, Kuenzel</t>
  </si>
  <si>
    <t>http://michigansmash.challonge.com/UMEME87</t>
  </si>
  <si>
    <t>WWE #16</t>
  </si>
  <si>
    <t>Skraaaa</t>
  </si>
  <si>
    <t>WSU Student Union</t>
  </si>
  <si>
    <t>http://challonge.com/wwemelee16</t>
  </si>
  <si>
    <t>SWEET 29 Ft. Swedish Delight</t>
  </si>
  <si>
    <t>Soupaface</t>
  </si>
  <si>
    <t>Michigan Union, Pendleton</t>
  </si>
  <si>
    <t>https://smash.gg/tournament/sweet-29-ssbm-tournament-feat-swedish-delight</t>
  </si>
  <si>
    <t>13th in doubles w/ Cobb</t>
  </si>
  <si>
    <t>Stiff</t>
  </si>
  <si>
    <t>Deep Fox</t>
  </si>
  <si>
    <t>UMeMe 89</t>
  </si>
  <si>
    <t>Marvelboy</t>
  </si>
  <si>
    <t>Trialcolt</t>
  </si>
  <si>
    <t>http://challonge.com/umeme89singles</t>
  </si>
  <si>
    <t>Here Be Mid Tiers 2</t>
  </si>
  <si>
    <t>Mejonat</t>
  </si>
  <si>
    <t>MeggaXp</t>
  </si>
  <si>
    <t>https://smash.gg/tournament/meggaxp-here-be-mid-tiers-2/events/melee-singles/overview</t>
  </si>
  <si>
    <t>7th in doubles w/ Coin</t>
  </si>
  <si>
    <t>Voorheese</t>
  </si>
  <si>
    <t>https://smash.gg/tournament/meggaxp-here-be-mid-tiers-2/events/melee-doubles/overview</t>
  </si>
  <si>
    <t>Fancy</t>
  </si>
  <si>
    <t>Big Al</t>
  </si>
  <si>
    <t>Bicktrip</t>
  </si>
  <si>
    <t>Grand Valley Grand Prix #13</t>
  </si>
  <si>
    <t>Grand Rapids, MI</t>
  </si>
  <si>
    <t>Kirkhof Center</t>
  </si>
  <si>
    <t>Spaceman</t>
  </si>
  <si>
    <t>https://smash.gg/tournament/gv-grand-prix-13/events/melee-singles/overview</t>
  </si>
  <si>
    <t>N0b0dy</t>
  </si>
  <si>
    <t>Teneo</t>
  </si>
  <si>
    <t>Kush</t>
  </si>
  <si>
    <t>Endeavor #32</t>
  </si>
  <si>
    <t>Endeavor Games &amp; Collectibles!</t>
  </si>
  <si>
    <t>http://michigansmash.challonge.com/END32</t>
  </si>
  <si>
    <t>4Framez</t>
  </si>
  <si>
    <t>Cobb</t>
  </si>
  <si>
    <t>SWEET XXX</t>
  </si>
  <si>
    <t>MSU Student Union</t>
  </si>
  <si>
    <t>Syphichan</t>
  </si>
  <si>
    <t>https://smash.gg/tournament/sweet-xxx-super-smash-bros-melee-tournament/events/melee-singles/overview</t>
  </si>
  <si>
    <t>5th in doubles w/ Coin</t>
  </si>
  <si>
    <t>https://smash.gg/tournament/sweet-xxx-super-smash-bros-melee-tournament/events/melee-doubles/overview</t>
  </si>
  <si>
    <t>Pero Pero Gamero</t>
  </si>
  <si>
    <t>Sasquatch</t>
  </si>
  <si>
    <t>Double D</t>
  </si>
  <si>
    <t>S@SH 12</t>
  </si>
  <si>
    <t>tm</t>
  </si>
  <si>
    <t>http://michigansmash.challonge.com/sash12</t>
  </si>
  <si>
    <t>MB-Smash</t>
  </si>
  <si>
    <t>5th in doubles w/ CTL</t>
  </si>
  <si>
    <t>http://michigansmash.challonge.com/sash12doubles/standings</t>
  </si>
  <si>
    <t>WWE #21</t>
  </si>
  <si>
    <t>WSU Union</t>
  </si>
  <si>
    <t>http://challonge.com/wwemelee21</t>
  </si>
  <si>
    <t>Lampcamp</t>
  </si>
  <si>
    <t>WWE #22</t>
  </si>
  <si>
    <t>http://michigansmash.challonge.com/wwemelee22</t>
  </si>
  <si>
    <t>Albino</t>
  </si>
  <si>
    <t>1st in Doubles w/ Pops</t>
  </si>
  <si>
    <t>Jace</t>
  </si>
  <si>
    <t>Shogunate</t>
  </si>
  <si>
    <t>Ladder Pool</t>
  </si>
  <si>
    <t>https://smash.gg/tournament/shogunate/events/melee-singles/brackets/203043</t>
  </si>
  <si>
    <t>5th in Doubles w/ Joka</t>
  </si>
  <si>
    <t>https://smash.gg/tournament/shogunate/events/melee-doubles/overview</t>
  </si>
  <si>
    <t>Lids</t>
  </si>
  <si>
    <t>rowpieces</t>
  </si>
  <si>
    <t>Crawshaw</t>
  </si>
  <si>
    <t>Dymg</t>
  </si>
  <si>
    <t>The Iliad</t>
  </si>
  <si>
    <t>Jopo</t>
  </si>
  <si>
    <t>Troy Escape</t>
  </si>
  <si>
    <t>Dopefalco69</t>
  </si>
  <si>
    <t>http://michigansmash.challonge.com/TheIliad</t>
  </si>
  <si>
    <t>Birds of Prey</t>
  </si>
  <si>
    <t>Ossify</t>
  </si>
  <si>
    <t>Endeavor-Games &amp; Collectibles!</t>
  </si>
  <si>
    <t>Rollover Minutes</t>
  </si>
  <si>
    <t>https://smash.gg/tournament/birds-of-prey-ft-heartstrings/events/melee-singles/brackets/200257</t>
  </si>
  <si>
    <t>4th in Doubles w/ Cobb</t>
  </si>
  <si>
    <t>https://smash.gg/tournament/birds-of-prey-ft-heartstrings/events/melee-doubles/brackets/199322</t>
  </si>
  <si>
    <t>The National Arcadian</t>
  </si>
  <si>
    <t>St. Charles, IL</t>
  </si>
  <si>
    <t>Wiggy Jiggy Jed</t>
  </si>
  <si>
    <t>Wisconsin</t>
  </si>
  <si>
    <t>Pheasant Run Resort</t>
  </si>
  <si>
    <t>Justjoe</t>
  </si>
  <si>
    <t>Casual</t>
  </si>
  <si>
    <t>https://smash.gg/tournament/chicago-gaming-coalition-no-1</t>
  </si>
  <si>
    <t>Pleasantries</t>
  </si>
  <si>
    <t>Friday Night Smash Delight #62</t>
  </si>
  <si>
    <t>Ferndale, MI</t>
  </si>
  <si>
    <t>Thebananawizard</t>
  </si>
  <si>
    <t>High Score esports</t>
  </si>
  <si>
    <t>https://michigansmash.challonge.com/fnsd62meleesingles</t>
  </si>
  <si>
    <t>SWEET XXXI ft. Zain and Cobol</t>
  </si>
  <si>
    <t>KroKo</t>
  </si>
  <si>
    <t>https://smash.gg/tournament/sweet-31-ssbm-event-featuring-zain-colbol/events/melee-singles/brackets/227153</t>
  </si>
  <si>
    <t>Holiday</t>
  </si>
  <si>
    <t>The Iliad 4</t>
  </si>
  <si>
    <t>Ham</t>
  </si>
  <si>
    <t>https://michigansmash.challonge.com/TheIliad4</t>
  </si>
  <si>
    <t>Friday Night Smash Delight #63</t>
  </si>
  <si>
    <t>Monkeyzz</t>
  </si>
  <si>
    <t>https://michigansmash.challonge.com/fnsd63singles</t>
  </si>
  <si>
    <t>The Iliad 6</t>
  </si>
  <si>
    <t>Quil</t>
  </si>
  <si>
    <t>https://michigansmash.challonge.com/TheIliad6</t>
  </si>
  <si>
    <t>UMeMe 98</t>
  </si>
  <si>
    <t>Cy</t>
  </si>
  <si>
    <t>https://michigansmash.challonge.com/UMeMe98</t>
  </si>
  <si>
    <t>https://challonge.com/Umeme98AM2</t>
  </si>
  <si>
    <t>Mooshu</t>
  </si>
  <si>
    <t>Friday Night Smash Delight #64</t>
  </si>
  <si>
    <t>RR Bracket</t>
  </si>
  <si>
    <t>https://michigansmash.challonge.com/epl42ese</t>
  </si>
  <si>
    <t>Nicklecat</t>
  </si>
  <si>
    <t>Kirby</t>
  </si>
  <si>
    <t>Motor City Smackdown</t>
  </si>
  <si>
    <t>Wayne State Student Union</t>
  </si>
  <si>
    <t>https://smash.gg/tournament/motor-city-smackdown/events/melee-singles/brackets/191444</t>
  </si>
  <si>
    <t>2nd in Doubles w/ Cobb</t>
  </si>
  <si>
    <t>https://smash.gg/tournament/motor-city-smackdown/events/melee-doubles/brackets/191445</t>
  </si>
  <si>
    <t>1st in AM</t>
  </si>
  <si>
    <t>https://michigansmash.challonge.com/smackdownmeleeAM</t>
  </si>
  <si>
    <t>Royce Greenfield</t>
  </si>
  <si>
    <t>AM Bracket</t>
  </si>
  <si>
    <t>ZrAcid</t>
  </si>
  <si>
    <t>Michigan Arcadian 7: Spartain Stadium Arcadian 2</t>
  </si>
  <si>
    <t>Hairy Duck</t>
  </si>
  <si>
    <t>Doctor Tropical</t>
  </si>
  <si>
    <t>https://smash.gg/tournament/mia7-spartan-stadium-arcadian-2/details</t>
  </si>
  <si>
    <t>7th</t>
  </si>
  <si>
    <t>Squishy Boy</t>
  </si>
  <si>
    <t>Brum</t>
  </si>
  <si>
    <t>Jakpox</t>
  </si>
  <si>
    <t>Gamers For Giving 2018</t>
  </si>
  <si>
    <t>EMU Basketball Arena</t>
  </si>
  <si>
    <t>Friday Night Smash Delight #66</t>
  </si>
  <si>
    <t>Baked Potato</t>
  </si>
  <si>
    <t>https://michigansmash.challonge.com/fnsd66meleesingles/log</t>
  </si>
  <si>
    <t>4thwrldmrshl</t>
  </si>
  <si>
    <t>Yuuta</t>
  </si>
  <si>
    <t>F Mingee</t>
  </si>
  <si>
    <t>Yono</t>
  </si>
  <si>
    <t>I'm Lost</t>
  </si>
  <si>
    <t>Mr. Game &amp; Watch</t>
  </si>
  <si>
    <t>https://smash.gg/tournament/f-mingee/events</t>
  </si>
  <si>
    <t>4th in doubles w/ Cobb</t>
  </si>
  <si>
    <t>https://smash.gg/tournament/f-mingee/events/melee-doubles/brackets/250636</t>
  </si>
  <si>
    <t>Jon Jones</t>
  </si>
  <si>
    <t>UMeMe 104</t>
  </si>
  <si>
    <t>https://michigansmash.challonge.com/UMeMe104</t>
  </si>
  <si>
    <t>https://michigansmash.challonge.com/UMeMe104doubles</t>
  </si>
  <si>
    <t>The Iliad 14</t>
  </si>
  <si>
    <t>https://challonge.com/theiliad14</t>
  </si>
  <si>
    <t>Senoh</t>
  </si>
  <si>
    <t>Friday Night Smash Delight #69</t>
  </si>
  <si>
    <t>Farmington, MI</t>
  </si>
  <si>
    <t>J3</t>
  </si>
  <si>
    <t>Radison Hotel</t>
  </si>
  <si>
    <t>https://smash.gg/tournament/friday-night-smash-delight-69-saints-gaming-live-edition/events/melee-singles</t>
  </si>
  <si>
    <t>​</t>
  </si>
  <si>
    <t>Smash or Die 2</t>
  </si>
  <si>
    <t>dramasama</t>
  </si>
  <si>
    <t>Think Outside the Books</t>
  </si>
  <si>
    <t>https://michigansmash.challonge.com/SMASHORDIE2</t>
  </si>
  <si>
    <t>4th in doubles w/ Mushu</t>
  </si>
  <si>
    <t>https://michigansmash.challonge.com/smashordie2doubles</t>
  </si>
  <si>
    <t>Birds of Prey 2</t>
  </si>
  <si>
    <t>Jeo</t>
  </si>
  <si>
    <t>Endeavor-Games and Collectibles</t>
  </si>
  <si>
    <t>https://smash.gg/tournament/birds-of-prey-2/events/melee-singles</t>
  </si>
  <si>
    <t>9th in doubles w/ Cobb</t>
  </si>
  <si>
    <t>https://smash.gg/tournament/birds-of-prey-2/events/melee-doubles/overview?filter=%7B"search"%3A%7B"fieldsToSearch"%3A%5B"gamerTag"%2C"playerName"%5D%7D%7D&amp;page=1&amp;sortBy=</t>
  </si>
  <si>
    <t>Jestr</t>
  </si>
  <si>
    <t>vexis</t>
  </si>
  <si>
    <t>UMeMe 109</t>
  </si>
  <si>
    <t>cop crusher</t>
  </si>
  <si>
    <t>Michigan League, Kuenzel Room</t>
  </si>
  <si>
    <t>Charlie</t>
  </si>
  <si>
    <t>https://michigansmash.challonge.com/UMeMe109</t>
  </si>
  <si>
    <t>1st in doubles w/ Cobb</t>
  </si>
  <si>
    <t>https://michigansmash.challonge.com/UMeMe109Doubles</t>
  </si>
  <si>
    <t>UMeMe 110</t>
  </si>
  <si>
    <t>Nasty</t>
  </si>
  <si>
    <t>https://michigansmash.challonge.com/UMeMe110</t>
  </si>
  <si>
    <t>https://michigansmash.challonge.com/umeme110doubles</t>
  </si>
  <si>
    <t>3rd in doubles w/ Nyte</t>
  </si>
  <si>
    <t>Smash or Die 4</t>
  </si>
  <si>
    <t>https://michigansmash.challonge.com/smashordie4</t>
  </si>
  <si>
    <t>7th in doubles w/ Karils</t>
  </si>
  <si>
    <t>https://michigansmash.challonge.com/smashordie4doubles</t>
  </si>
  <si>
    <t>Friday Night Smash Delight #71</t>
  </si>
  <si>
    <t>Str8 Trippin</t>
  </si>
  <si>
    <t>Raddison Hotel</t>
  </si>
  <si>
    <t>https://smash.gg/tournament/friday-night-smash-delight-a-mini-showdown-3/events/melee-singles</t>
  </si>
  <si>
    <t>Tavi</t>
  </si>
  <si>
    <t>Showdown 3</t>
  </si>
  <si>
    <t>ThatOneGuy</t>
  </si>
  <si>
    <t>Juggleguy</t>
  </si>
  <si>
    <t>https://smash.gg/tournament/showdown-battle-royale-3/events/melee-singles/brackets/295231</t>
  </si>
  <si>
    <t>5th in Doubles w/ Cobb</t>
  </si>
  <si>
    <t>https://smash.gg/tournament/showdown-battle-royale-3/events/melee-doubles/brackets/201957</t>
  </si>
  <si>
    <t>Colm</t>
  </si>
  <si>
    <t>Cartoffel</t>
  </si>
  <si>
    <t>Wufflez</t>
  </si>
  <si>
    <t>Mirrorman</t>
  </si>
  <si>
    <t>Woley</t>
  </si>
  <si>
    <t>Smash or Die 5</t>
  </si>
  <si>
    <t>Dusty</t>
  </si>
  <si>
    <t>Baka4moe</t>
  </si>
  <si>
    <t>https://michigansmash.challonge.com/r95ckue6</t>
  </si>
  <si>
    <t>2nd in doubles w/ Joka</t>
  </si>
  <si>
    <t>https://michigansmash.challonge.com/smashordie5doubles</t>
  </si>
  <si>
    <t>Friday Night Smash Delight #72</t>
  </si>
  <si>
    <t>https://michigansmash.challonge.com/fnsdmeleesingles72</t>
  </si>
  <si>
    <t>Owen</t>
  </si>
  <si>
    <t>Smash or Die 6</t>
  </si>
  <si>
    <t>Deciduous</t>
  </si>
  <si>
    <t>https://michigansmash.challonge.com/SMASHORDIE6</t>
  </si>
  <si>
    <t>https://michigansmash.challonge.com/SMASHORDIE6DOUBLES</t>
  </si>
  <si>
    <t>UMeMe 113</t>
  </si>
  <si>
    <t>UMeMe 133</t>
  </si>
  <si>
    <t>Elm</t>
  </si>
  <si>
    <t>Other Danny</t>
  </si>
  <si>
    <t>https://michigansmash.challonge.com/umeme113</t>
  </si>
  <si>
    <t>1st in doubles w/ Mars</t>
  </si>
  <si>
    <t>https://challonge.com/umeme113doubles</t>
  </si>
  <si>
    <t>Boots</t>
  </si>
  <si>
    <t>Smash or Die 7</t>
  </si>
  <si>
    <t>https://michigansmash.challonge.com/b91nkbfn</t>
  </si>
  <si>
    <t>https://michigansmash.challonge.com/SOD7DOUBLES</t>
  </si>
  <si>
    <t>Revel and Rumble</t>
  </si>
  <si>
    <t>Hi-5</t>
  </si>
  <si>
    <t>Revel and Roll</t>
  </si>
  <si>
    <t>https://challonge.com/randrd</t>
  </si>
  <si>
    <t>3rd in doubles w/ Paul</t>
  </si>
  <si>
    <t>https://challonge.com/randr</t>
  </si>
  <si>
    <t>Smash or Die 8</t>
  </si>
  <si>
    <t>Machomansam</t>
  </si>
  <si>
    <t>https://challonge.com/smashordie8</t>
  </si>
  <si>
    <t>dymg</t>
  </si>
  <si>
    <t>UMeMe 115</t>
  </si>
  <si>
    <t>Plant</t>
  </si>
  <si>
    <t>https://michigansmash.challonge.com/umeme115</t>
  </si>
  <si>
    <t>1st in Doubles w/ Coin</t>
  </si>
  <si>
    <t>https://michigansmash.challonge.com/UMEME115Doubles</t>
  </si>
  <si>
    <t>Smash or Die 9</t>
  </si>
  <si>
    <t>Rodok</t>
  </si>
  <si>
    <t>https://michigansmash.challonge.com/SMASHORDIE9</t>
  </si>
  <si>
    <t>1st in doubles w/ Joka</t>
  </si>
  <si>
    <t>https://michigansmash.challonge.com/SOD9DOUBLES</t>
  </si>
  <si>
    <t>Mushu</t>
  </si>
  <si>
    <t>Here Be Mid Tiers 3</t>
  </si>
  <si>
    <t>Danormz</t>
  </si>
  <si>
    <t>Meggaxp zone</t>
  </si>
  <si>
    <t>https://smash.gg/tournament/here-be-mid-tiers-3-ft-250-pot-bonus/events/melee-singles/brackets/324305/656669</t>
  </si>
  <si>
    <t>9th in doubles w/ Tavi</t>
  </si>
  <si>
    <t>https://smash.gg/tournament/here-be-mid-tiers-3-ft-250-pot-bonus/events/doubles/standings</t>
  </si>
  <si>
    <t>L3375</t>
  </si>
  <si>
    <t>Toast</t>
  </si>
  <si>
    <t>Faygo</t>
  </si>
  <si>
    <t>Smash or Die 10</t>
  </si>
  <si>
    <t>https://michigansmash.challonge.com/SOD10</t>
  </si>
  <si>
    <t>Smash or Die 11</t>
  </si>
  <si>
    <t>https://michigansmash.challonge.com/SMASHORDIE11</t>
  </si>
  <si>
    <t>3rd in doubles w/ wrenches</t>
  </si>
  <si>
    <t>https://michigansmash.challonge.com/SOD11DOUBLES</t>
  </si>
  <si>
    <t>Smash or Die 12</t>
  </si>
  <si>
    <t>Typo</t>
  </si>
  <si>
    <t>https://michigansmash.challonge.com/SOD12</t>
  </si>
  <si>
    <t>Smash or Die 13</t>
  </si>
  <si>
    <t>https://michigansmash.challonge.com/SOD13</t>
  </si>
  <si>
    <t>https://michigansmash.challonge.com/SOD13DOUBLES</t>
  </si>
  <si>
    <t>The Big House 8</t>
  </si>
  <si>
    <t>Phase 1 Pools</t>
  </si>
  <si>
    <t>HSK</t>
  </si>
  <si>
    <t>Pennsylvania</t>
  </si>
  <si>
    <t>Cobo Convention Center</t>
  </si>
  <si>
    <t>Jerry</t>
  </si>
  <si>
    <t>Cobol</t>
  </si>
  <si>
    <t>Florida</t>
  </si>
  <si>
    <t>https://smash.gg/tournament/the-big-house-8/events/melee-singles/overview</t>
  </si>
  <si>
    <t>49th in doubles w/ Cobb</t>
  </si>
  <si>
    <t>Killablue</t>
  </si>
  <si>
    <t>https://smash.gg/tournament/the-big-house-8/events/melee-doubles/standings</t>
  </si>
  <si>
    <t>Phase 2 Pools</t>
  </si>
  <si>
    <t>ZettaVolt</t>
  </si>
  <si>
    <t>New England</t>
  </si>
  <si>
    <t>Smash or Die 14</t>
  </si>
  <si>
    <t>https://michigansmash.challonge.com/SOD14</t>
  </si>
  <si>
    <t>3rd in doubles w/ Joka</t>
  </si>
  <si>
    <t>https://michigansmash.challonge.com/SOD14DOUBLES</t>
  </si>
  <si>
    <t>Paul</t>
  </si>
  <si>
    <t>Broken Joystick</t>
  </si>
  <si>
    <t>White Lake, MI</t>
  </si>
  <si>
    <t>45s</t>
  </si>
  <si>
    <t>White Lake Community Hall</t>
  </si>
  <si>
    <t>https://smash.gg/tournament/broken-joystick-the-white-lake-community-hall/events/broken-joystick/overview</t>
  </si>
  <si>
    <t>Jayzee</t>
  </si>
  <si>
    <t>got a physical trophy</t>
  </si>
  <si>
    <t>Popstar</t>
  </si>
  <si>
    <t>Tofu</t>
  </si>
  <si>
    <t>WWE #57</t>
  </si>
  <si>
    <t>WWE #56</t>
  </si>
  <si>
    <t>Wayne State Apartments</t>
  </si>
  <si>
    <t>https://michigansmash.challonge.com/wwemelee57</t>
  </si>
  <si>
    <t>https://michigansmash.challonge.com/wwemelee57am</t>
  </si>
  <si>
    <t>Youmacon 2018</t>
  </si>
  <si>
    <t>Dream</t>
  </si>
  <si>
    <t>Railz</t>
  </si>
  <si>
    <t>Chia</t>
  </si>
  <si>
    <t>https://smash.gg/tournament/youmacon-battle-opera-2018/events/super-smash-bros-melee/overview</t>
  </si>
  <si>
    <t>UMeMe 119</t>
  </si>
  <si>
    <t>https://challonge.com/umeme119</t>
  </si>
  <si>
    <t>1ST</t>
  </si>
  <si>
    <t>Here Be Mid Tiers 4</t>
  </si>
  <si>
    <t>Nite</t>
  </si>
  <si>
    <t>AKA Moe</t>
  </si>
  <si>
    <t>https://smash.gg/tournament/here-be-mid-tiers-4-ft-250-pot-bonus/</t>
  </si>
  <si>
    <t>Mr. Monday</t>
  </si>
  <si>
    <t>4th in doubles w/ joka</t>
  </si>
  <si>
    <t>https://smash.gg/tournament/here-be-mid-tiers-4-ft-250-pot-bonus/events/doubles/overview</t>
  </si>
  <si>
    <t>Noshi</t>
  </si>
  <si>
    <t>The Captain</t>
  </si>
  <si>
    <t>Heroes: Ultimate Charity Launch Event</t>
  </si>
  <si>
    <t>Flint, MI</t>
  </si>
  <si>
    <t>Mr Crip</t>
  </si>
  <si>
    <t>Best Western</t>
  </si>
  <si>
    <t>Caucasian Asian</t>
  </si>
  <si>
    <t>kg92</t>
  </si>
  <si>
    <t>https://smash.gg/tournament/heroes-ultimate-charity-launch-event-1/events/melee-singles/overview</t>
  </si>
  <si>
    <t>Holiday Heist 4</t>
  </si>
  <si>
    <t>Caucasion Asian</t>
  </si>
  <si>
    <t>https://smash.gg/tournament/holiday-heist-4-powered-by-monster-energy-ultimate-edition-2/events/melee-1v1-singles/overview</t>
  </si>
  <si>
    <t>Kirin</t>
  </si>
  <si>
    <t>WWE 60</t>
  </si>
  <si>
    <t>Chattsworth Appartments</t>
  </si>
  <si>
    <t>https://michigansmash.challonge.com/wwemelee66</t>
  </si>
  <si>
    <t>1st in doubles w/ sheep</t>
  </si>
  <si>
    <t>https://michigansmash.challonge.com/wwemelee66dubs</t>
  </si>
  <si>
    <t>Infinity Gauntlet</t>
  </si>
  <si>
    <t>Grimz</t>
  </si>
  <si>
    <t>https://smash.gg/tournament/infinity-gauntlet/events/melee-singles/overview</t>
  </si>
  <si>
    <t>Sorry</t>
  </si>
  <si>
    <t>Taxi2Stock</t>
  </si>
  <si>
    <t>WWE 67</t>
  </si>
  <si>
    <t>https://michigansmash.challonge.com/wwemelee67</t>
  </si>
  <si>
    <t>UMeMe 122</t>
  </si>
  <si>
    <t>Ross School of Business</t>
  </si>
  <si>
    <t>https://challonge.com/umeme122</t>
  </si>
  <si>
    <t>UNITE: A Michigan Smash Event</t>
  </si>
  <si>
    <t>Klutz</t>
  </si>
  <si>
    <t>https://smash.gg/tournament/unite-a-michigan-smash-event/events/melee-singles/standings</t>
  </si>
  <si>
    <t>Jopps</t>
  </si>
  <si>
    <t>Wolverine sUMmit</t>
  </si>
  <si>
    <t>Dr. Booty</t>
  </si>
  <si>
    <t>Beckett's Place</t>
  </si>
  <si>
    <t>https://challonge.com/wolvsum2?fbclid=IwAR3ayN-PDRmI5bbwkl2ZA3ddF_ojiW4nMKBWfLU6DX4SfLsMhPmgEmraCZU</t>
  </si>
  <si>
    <t>https://www.youtube.com/playlist?list=PLA8PGqq1E708txMsJbd-VxjCJ8HT9ZEpF&amp;fbclid=IwAR16grrSiOSONGAVVV4_kAm6jtHNPBSiDkjOw75CywOdu1C1YGL-yEifH64</t>
  </si>
  <si>
    <t>https://www.youtube.com/playlist?list=PLs1KABZwBfe2-GQd03CEQV5p3Vx6Gtvdq&amp;fbclid=IwAR1WMPcLG38zX_vrGx7VbURhgypnLHczY_9AeJrkNLPjrzfEdzhSSbfv1u8</t>
  </si>
  <si>
    <t>Sawyer</t>
  </si>
  <si>
    <t>Ant</t>
  </si>
  <si>
    <t>Here Be Mid Tiers 5</t>
  </si>
  <si>
    <t>Swiss Pools</t>
  </si>
  <si>
    <t>https://smash.gg/tournament/here-be-mid-tiers-5-ft-150-pot-bonus/events/melee-singles/standings</t>
  </si>
  <si>
    <t>3rd in doubles w/cobb</t>
  </si>
  <si>
    <t>Zain</t>
  </si>
  <si>
    <t>UMeMe 124</t>
  </si>
  <si>
    <t>Ross</t>
  </si>
  <si>
    <t>https://challonge.com/UMEME124</t>
  </si>
  <si>
    <t>WWE #71</t>
  </si>
  <si>
    <t>Chattsworth Appt</t>
  </si>
  <si>
    <t>https://michigansmash.challonge.com/wwemelee71</t>
  </si>
  <si>
    <t>Broly</t>
  </si>
  <si>
    <t>Butterdonkey's Brilliant Bash</t>
  </si>
  <si>
    <t>Bosko</t>
  </si>
  <si>
    <t>https://challonge.com/icantbelieveitsnotumeme</t>
  </si>
  <si>
    <t>UMeMe 125</t>
  </si>
  <si>
    <t>https://challonge.com/UMEME125</t>
  </si>
  <si>
    <t>WWE #73</t>
  </si>
  <si>
    <t>Chattsworth Appts</t>
  </si>
  <si>
    <t>challonge.com/wwemelee73</t>
  </si>
  <si>
    <t>UMeMe 126</t>
  </si>
  <si>
    <t>STK</t>
  </si>
  <si>
    <t>https://challonge.com/umeme126</t>
  </si>
  <si>
    <t>UMeMe 127</t>
  </si>
  <si>
    <t>Provable</t>
  </si>
  <si>
    <t>DQd himself</t>
  </si>
  <si>
    <t>https://challonge.com/umeme127</t>
  </si>
  <si>
    <t>S@SH 17</t>
  </si>
  <si>
    <t>Tequilla</t>
  </si>
  <si>
    <t>https://michigansmash.challonge.com/SASH17melee</t>
  </si>
  <si>
    <t>UMeMe 128</t>
  </si>
  <si>
    <t>Jkrunch</t>
  </si>
  <si>
    <t>https://challonge.com/umeme128</t>
  </si>
  <si>
    <t>WWE #79 Grand Finale</t>
  </si>
  <si>
    <t>Chatsworth Appts</t>
  </si>
  <si>
    <t>https://michigansmash.challonge.com/wwemelee79</t>
  </si>
  <si>
    <t>Baka</t>
  </si>
  <si>
    <t>Here be Mid Tiers 6</t>
  </si>
  <si>
    <t>Rayboyp</t>
  </si>
  <si>
    <t>https://smash.gg/tournament/here-be-mid-tiers-6/events/melee-singles/standings</t>
  </si>
  <si>
    <t>7th in doubles w/ cobb</t>
  </si>
  <si>
    <t>https://smash.gg/tournament/here-be-mid-tiers-6/events/melee-doubles/standings</t>
  </si>
  <si>
    <t>Sevan</t>
  </si>
  <si>
    <t>Cartoffell</t>
  </si>
  <si>
    <t>Big Pappa</t>
  </si>
  <si>
    <t>Fenton Fallout #1</t>
  </si>
  <si>
    <t>Fenton, MI</t>
  </si>
  <si>
    <t>Ato2.11</t>
  </si>
  <si>
    <t>Fairfield Inn</t>
  </si>
  <si>
    <t>projared</t>
  </si>
  <si>
    <t>https://smash.gg/tournament/fenton-fallout-1/events/melee-singles/standings</t>
  </si>
  <si>
    <t>Ju1ce Fest</t>
  </si>
  <si>
    <t>Juice House</t>
  </si>
  <si>
    <t>https://challonge.com/x2f2i6oj</t>
  </si>
  <si>
    <t>https://challonge.com/ddz7f67p</t>
  </si>
  <si>
    <t>CTH #1</t>
  </si>
  <si>
    <t>Catch These Hands #1</t>
  </si>
  <si>
    <t>https://challonge.com/cth1</t>
  </si>
  <si>
    <t>Sillwander</t>
  </si>
  <si>
    <t>Mushu DQ'd right after beating me and quentin let me keep going</t>
  </si>
  <si>
    <t>Endeavor 100</t>
  </si>
  <si>
    <t>Endeavor games</t>
  </si>
  <si>
    <t>https://michigansmash.challonge.com/END100</t>
  </si>
  <si>
    <t>PBR #4</t>
  </si>
  <si>
    <t>Madison Heights, MI</t>
  </si>
  <si>
    <t>Pops Place</t>
  </si>
  <si>
    <t>https://michigansmash.challonge.com/pbrmelee4</t>
  </si>
  <si>
    <t>CTH #2</t>
  </si>
  <si>
    <t>https://challonge.com/cthtwo</t>
  </si>
  <si>
    <t>CEO 2019</t>
  </si>
  <si>
    <t>Daytona, FL</t>
  </si>
  <si>
    <t>Major</t>
  </si>
  <si>
    <t>Draco</t>
  </si>
  <si>
    <t>CFL</t>
  </si>
  <si>
    <t>Oceancenter</t>
  </si>
  <si>
    <t>Cool Lime</t>
  </si>
  <si>
    <t>MD/VA</t>
  </si>
  <si>
    <t>https://smash.gg/tournament/ceo-2019-fighting-game-championships/event/super-smash-bros-melee-singles/entrant/3042119</t>
  </si>
  <si>
    <t>25th in doubles w/ joka</t>
  </si>
  <si>
    <t>KingCons</t>
  </si>
  <si>
    <t>https://smash.gg/tournament/melee-doubles-ceo-2019-community-tournament/events/melee-doubles/standings</t>
  </si>
  <si>
    <t>GA Wes</t>
  </si>
  <si>
    <t>GA</t>
  </si>
  <si>
    <t>Aurora Blitz 2</t>
  </si>
  <si>
    <t>Traverse City, MI</t>
  </si>
  <si>
    <t>Great Wolf Lodge</t>
  </si>
  <si>
    <t>2Saint</t>
  </si>
  <si>
    <t>Tristate</t>
  </si>
  <si>
    <t>https://smash.gg/tournament/aurora-blitz-2/event/melee-singles/entrant/3191447</t>
  </si>
  <si>
    <t>https://smash.gg/tournament/aurora-blitz-2/events/melee-doubles/overview</t>
  </si>
  <si>
    <t>CTH #5</t>
  </si>
  <si>
    <t>Baron</t>
  </si>
  <si>
    <t>https://challonge.com/cth5</t>
  </si>
  <si>
    <t>CTH #6</t>
  </si>
  <si>
    <t>ThrownOrc</t>
  </si>
  <si>
    <t>https://challonge.com/cth6</t>
  </si>
  <si>
    <t>Here be Mid Tiers 7</t>
  </si>
  <si>
    <t>https://smash.gg/tournament/hbmt7-don-t-talk-about-the-mario/events/melee-singles/brackets/630886/1040133</t>
  </si>
  <si>
    <t>3rd in doubles w/ cobb</t>
  </si>
  <si>
    <t>https://smash.gg/tournament/hbmt7-don-t-talk-about-the-mario/events/melee-doubles/overview</t>
  </si>
  <si>
    <t>Cam</t>
  </si>
  <si>
    <t>SmallHandsBrian</t>
  </si>
  <si>
    <t>CTH #7</t>
  </si>
  <si>
    <t>https://challonge.com/ht2zras7</t>
  </si>
  <si>
    <t>CTH #8</t>
  </si>
  <si>
    <t>Hi-Def</t>
  </si>
  <si>
    <t>https://challonge.com/cth8</t>
  </si>
  <si>
    <t>CTH #9</t>
  </si>
  <si>
    <t>Ancient Bird</t>
  </si>
  <si>
    <t>https://challonge.com/606fqljc</t>
  </si>
  <si>
    <t>https://challonge.com/yvta0xyd</t>
  </si>
  <si>
    <t>Vermillion</t>
  </si>
  <si>
    <t>Mewtwo</t>
  </si>
  <si>
    <t>J$</t>
  </si>
  <si>
    <t>CTH #10</t>
  </si>
  <si>
    <t>Fish</t>
  </si>
  <si>
    <t>Negative</t>
  </si>
  <si>
    <t>https://challonge.com/CTH10</t>
  </si>
  <si>
    <t>Morsecode762</t>
  </si>
  <si>
    <t>Hollow</t>
  </si>
  <si>
    <t>Here Be Mid Tiers 8</t>
  </si>
  <si>
    <t>Q?</t>
  </si>
  <si>
    <t>https://smash.gg/tournament/here-be-mid-tierz-8/events/melee-singles/overview</t>
  </si>
  <si>
    <t>7th in doubles w/ joka</t>
  </si>
  <si>
    <t>https://smash.gg/tournament/here-be-mid-tierz-8/events/melee-doubles/overview</t>
  </si>
  <si>
    <t>Watson</t>
  </si>
  <si>
    <t>Zeeop</t>
  </si>
  <si>
    <t>Ober</t>
  </si>
  <si>
    <t>GioGio</t>
  </si>
  <si>
    <t>CTH #12</t>
  </si>
  <si>
    <t>https://challonge.com/CTH12</t>
  </si>
  <si>
    <t>The Big House 9</t>
  </si>
  <si>
    <t>NATO</t>
  </si>
  <si>
    <t>Cobo</t>
  </si>
  <si>
    <t>Ralph</t>
  </si>
  <si>
    <t>https://smash.gg/tournament/the-big-house-9/events/melee-singles/brackets/671278/1097047</t>
  </si>
  <si>
    <t>Ghast</t>
  </si>
  <si>
    <t>33rd in doubles w/ cobb</t>
  </si>
  <si>
    <t>https://smash.gg/tournament/the-big-house-9/event/melee-doubles/entrant/3313305</t>
  </si>
  <si>
    <t>Briefs</t>
  </si>
  <si>
    <t>CSL MI Fall 2019 Qualifier</t>
  </si>
  <si>
    <t>Pendleton</t>
  </si>
  <si>
    <t>https://smash.gg/tournament/csl-mi-fall-2019-qualifier/events/melee-1v1-singles/standings</t>
  </si>
  <si>
    <t>Tangent</t>
  </si>
  <si>
    <t>Paulo</t>
  </si>
  <si>
    <t>CTH#14</t>
  </si>
  <si>
    <t>Nemosdeadmom</t>
  </si>
  <si>
    <t>SunriseExpress</t>
  </si>
  <si>
    <t>https://challonge.com/CTH14</t>
  </si>
  <si>
    <t>BM↓B #1</t>
  </si>
  <si>
    <t>Brighton, MI</t>
  </si>
  <si>
    <t>https://challonge.com/bmdb1</t>
  </si>
  <si>
    <t>MJR</t>
  </si>
  <si>
    <t>https://michigansmash.challonge.com/bmdb1am</t>
  </si>
  <si>
    <t>pd</t>
  </si>
  <si>
    <t>Youmacon 2019</t>
  </si>
  <si>
    <t>SuperStummy</t>
  </si>
  <si>
    <t>https://smash.gg/tournament/youmacon-battle-opera-2019/event/super-smash-bros-melee-singles/standings</t>
  </si>
  <si>
    <t>Skraa</t>
  </si>
  <si>
    <t>Greshinator</t>
  </si>
  <si>
    <t>S-Man</t>
  </si>
  <si>
    <t>Maknae</t>
  </si>
  <si>
    <t>CTH#18</t>
  </si>
  <si>
    <t>Giga</t>
  </si>
  <si>
    <t>https://challonge.com/CTH18</t>
  </si>
  <si>
    <t>Wishblade</t>
  </si>
  <si>
    <t>Here Be Mid Tiers 9</t>
  </si>
  <si>
    <t>https://smash.gg/tournament/here-be-mid-tiers-9/event/melee-singles/standings</t>
  </si>
  <si>
    <t>3rd in dubs w/ Joka</t>
  </si>
  <si>
    <t>https://smash.gg/tournament/here-be-mid-tiers-9/event/melee-doubles/standings</t>
  </si>
  <si>
    <t>BMDB#4</t>
  </si>
  <si>
    <t>Polak</t>
  </si>
  <si>
    <t>https://smash.gg/tournament/bm-b-4</t>
  </si>
  <si>
    <t>date?</t>
  </si>
  <si>
    <t>Wolverina 2</t>
  </si>
  <si>
    <t>Alphapancake</t>
  </si>
  <si>
    <t>https://smash.gg/tournament/wolvarena-2/event/melee-singles/standings</t>
  </si>
  <si>
    <t>Holiday Heist 5</t>
  </si>
  <si>
    <t>Parklane Towers</t>
  </si>
  <si>
    <t>https://smash.gg/tournament/holiday-heist-5/event/melee-1v1-singles/standings</t>
  </si>
  <si>
    <t>AEW#1</t>
  </si>
  <si>
    <t>Auburn Hills, MI</t>
  </si>
  <si>
    <t>Echo</t>
  </si>
  <si>
    <t>https://michigansmash.challonge.com/AEW1</t>
  </si>
  <si>
    <t>1st in dubs w/ cobb</t>
  </si>
  <si>
    <t>Kroko</t>
  </si>
  <si>
    <t>https://michigansmash.challonge.com/AEW1dubs</t>
  </si>
  <si>
    <t>Dr T</t>
  </si>
  <si>
    <t>4thwrldmshl</t>
  </si>
  <si>
    <t>Detroit After Dark 1</t>
  </si>
  <si>
    <t>https://challonge.com/detroitafterdark1</t>
  </si>
  <si>
    <t>Smashproof#1</t>
  </si>
  <si>
    <t>Westland, MI</t>
  </si>
  <si>
    <t>Abgotag</t>
  </si>
  <si>
    <t>Tequila</t>
  </si>
  <si>
    <t>https://michigansmash.challonge.com/smashproof1</t>
  </si>
  <si>
    <t>1st</t>
  </si>
  <si>
    <t>AEW#2</t>
  </si>
  <si>
    <t>https://smash.gg/tournament/auburn-s-excellent-weekly-2/event/melee-singles/standings</t>
  </si>
  <si>
    <t>2nd in dubs w/ Cobb</t>
  </si>
  <si>
    <t>https://smash.gg/tournament/auburn-s-excellent-weekly-2/event/melee-doubles/standings</t>
  </si>
  <si>
    <t>BMDB#5?</t>
  </si>
  <si>
    <t>Polymath</t>
  </si>
  <si>
    <t>Tangent Banana</t>
  </si>
  <si>
    <t>AEW#3</t>
  </si>
  <si>
    <t>Eddie</t>
  </si>
  <si>
    <t>https://smash.gg/tournament/auburn-s-excellent-weekly-3/event/melee-singles/standings</t>
  </si>
  <si>
    <t>3rd in dubs w/ mufasa</t>
  </si>
  <si>
    <t>https://smash.gg/tournament/auburn-s-excellent-weekly-3/event/melee-doubles/overview</t>
  </si>
  <si>
    <t>BMDB#6?</t>
  </si>
  <si>
    <t>JMoney</t>
  </si>
  <si>
    <t>AlphaPancake</t>
  </si>
  <si>
    <t>Detroit After Dark #2</t>
  </si>
  <si>
    <t>Michigan Melee Arcadian: Winter 2020 Edition</t>
  </si>
  <si>
    <t>Groovy</t>
  </si>
  <si>
    <t>Blazer</t>
  </si>
  <si>
    <t>https://smash.gg/tournament/michigan-melee-arcadian-winter-2020-edition-1/event/melee-singles/standings</t>
  </si>
  <si>
    <t>1th</t>
  </si>
  <si>
    <t>BMDB#7?</t>
  </si>
  <si>
    <t>weekly</t>
  </si>
  <si>
    <t>BigPappa</t>
  </si>
  <si>
    <t>AEW#4</t>
  </si>
  <si>
    <t>local</t>
  </si>
  <si>
    <t>T</t>
  </si>
  <si>
    <t>CTH#25</t>
  </si>
  <si>
    <t>https://michigansmash.challonge.com/cth25</t>
  </si>
  <si>
    <t>AEW#5</t>
  </si>
  <si>
    <t>https://smash.gg/tournament/aew-auburn-s-excellent-weekly-5/event/melee-singles/overview</t>
  </si>
  <si>
    <t>1st in dubs w/ Joka</t>
  </si>
  <si>
    <t>https://smash.gg/tournament/aew-auburn-s-excellent-weekly-5/event/melee-doubles/overview</t>
  </si>
  <si>
    <t>Shadez</t>
  </si>
  <si>
    <t>Smashproof #2</t>
  </si>
  <si>
    <t>https://michigansmash.challonge.com/smashproof2</t>
  </si>
  <si>
    <t>The Mitten Midway DX</t>
  </si>
  <si>
    <t>https://smash.gg/tournament/the-mitten-midway-dx/event/melee-singles/overview</t>
  </si>
  <si>
    <t>Mr. Handy</t>
  </si>
  <si>
    <t>5th in dubs w/ Woley</t>
  </si>
  <si>
    <t>https://smash.gg/tournament/the-mitten-midway-dx/event/melee-doubles/standings</t>
  </si>
  <si>
    <t>Moocavo</t>
  </si>
  <si>
    <t>M8land</t>
  </si>
  <si>
    <t>Fred Lee</t>
  </si>
  <si>
    <t>MatchID</t>
  </si>
  <si>
    <t>Nobody</t>
  </si>
  <si>
    <t>Set Win %</t>
  </si>
  <si>
    <t>Set Wins</t>
  </si>
  <si>
    <t>Set Losses</t>
  </si>
  <si>
    <t>Sets Played</t>
  </si>
  <si>
    <t>Tourneys Entered</t>
  </si>
  <si>
    <t>sets /tourney</t>
  </si>
  <si>
    <t>Win %</t>
  </si>
  <si>
    <t>Wins</t>
  </si>
  <si>
    <t>Losses</t>
  </si>
  <si>
    <t>Games Played</t>
  </si>
  <si>
    <t>Games</t>
  </si>
  <si>
    <t>Sets</t>
  </si>
  <si>
    <t>None</t>
  </si>
  <si>
    <t>Number of Wins</t>
  </si>
  <si>
    <t>Number of Losses</t>
  </si>
  <si>
    <t>Total Played</t>
  </si>
  <si>
    <t>Tournaments</t>
  </si>
  <si>
    <t>Character</t>
  </si>
  <si>
    <t>Link</t>
  </si>
  <si>
    <t>DK</t>
  </si>
  <si>
    <t>Pichu</t>
  </si>
  <si>
    <t>Bowser</t>
  </si>
  <si>
    <t>Tournaments Attended by Type</t>
  </si>
  <si>
    <t>Tournaments Attended by Region</t>
  </si>
  <si>
    <t>Tournaments Attended by Series</t>
  </si>
  <si>
    <t>region</t>
  </si>
  <si>
    <t>city</t>
  </si>
  <si>
    <t>tourneys played</t>
  </si>
  <si>
    <t>wins</t>
  </si>
  <si>
    <t>losses</t>
  </si>
  <si>
    <t>sets/tourney</t>
  </si>
  <si>
    <t>Location</t>
  </si>
  <si>
    <t>Type</t>
  </si>
  <si>
    <t>Total</t>
  </si>
  <si>
    <t>Region</t>
  </si>
  <si>
    <t>UMeMe</t>
  </si>
  <si>
    <t>oakland</t>
  </si>
  <si>
    <t>livingston</t>
  </si>
  <si>
    <t>Southfield</t>
  </si>
  <si>
    <t>CMPL</t>
  </si>
  <si>
    <t>macomb</t>
  </si>
  <si>
    <t>Detroit</t>
  </si>
  <si>
    <t>WWE</t>
  </si>
  <si>
    <t>Jackson</t>
  </si>
  <si>
    <t>Jackson Megga Weekly</t>
  </si>
  <si>
    <t>wayne</t>
  </si>
  <si>
    <t>Ferndale</t>
  </si>
  <si>
    <t>Endeavor</t>
  </si>
  <si>
    <t>Ypsilanti</t>
  </si>
  <si>
    <t>Troy</t>
  </si>
  <si>
    <t>Smash or Die</t>
  </si>
  <si>
    <t>Lansing</t>
  </si>
  <si>
    <t>genesee</t>
  </si>
  <si>
    <t>Other</t>
  </si>
  <si>
    <t>West Michigan</t>
  </si>
  <si>
    <t>Genesee</t>
  </si>
  <si>
    <t>Grand Rapids</t>
  </si>
  <si>
    <t>Livingston</t>
  </si>
  <si>
    <t>Oakland</t>
  </si>
  <si>
    <t>Traverse City</t>
  </si>
  <si>
    <t>Wayne (Non Detroit)</t>
  </si>
  <si>
    <t>Overall Win % by Stage</t>
  </si>
  <si>
    <t xml:space="preserve">Wins </t>
  </si>
  <si>
    <t>Battlefield</t>
  </si>
  <si>
    <t>Dreamland</t>
  </si>
  <si>
    <t>Final Destination</t>
  </si>
  <si>
    <t>Fountain of Dreams</t>
  </si>
  <si>
    <t>Pokemon Stadium</t>
  </si>
  <si>
    <t>Yoshi's Story</t>
  </si>
  <si>
    <t>Win % by Character Against by Stage</t>
  </si>
  <si>
    <t>S</t>
  </si>
  <si>
    <t>A</t>
  </si>
  <si>
    <t>B</t>
  </si>
  <si>
    <t>Most Played Rank</t>
  </si>
  <si>
    <t>Tag</t>
  </si>
  <si>
    <t>Game Record</t>
  </si>
  <si>
    <t>Set Record</t>
  </si>
  <si>
    <t>A Very Short List of PR Wins</t>
  </si>
  <si>
    <t>PM Tournament History</t>
  </si>
  <si>
    <t>Win/Loss</t>
  </si>
  <si>
    <t>Pokemon Stadium 2</t>
  </si>
  <si>
    <t>Mallet</t>
  </si>
  <si>
    <t>Sonic</t>
  </si>
  <si>
    <t>Mr H</t>
  </si>
  <si>
    <t>Wario Ware</t>
  </si>
  <si>
    <t>Rob</t>
  </si>
  <si>
    <t>Charizard</t>
  </si>
  <si>
    <t>Yuko</t>
  </si>
  <si>
    <t>Dedede</t>
  </si>
  <si>
    <t>Jaws</t>
  </si>
  <si>
    <t>Smashville</t>
  </si>
  <si>
    <t>Dirt Boy</t>
  </si>
  <si>
    <t>Squirtle</t>
  </si>
  <si>
    <t>Meta</t>
  </si>
  <si>
    <t>Okage</t>
  </si>
  <si>
    <t>Ivysaur</t>
  </si>
  <si>
    <t>Delphino</t>
  </si>
  <si>
    <t>Zo9ine</t>
  </si>
  <si>
    <t>Veil</t>
  </si>
  <si>
    <t>Toon Link</t>
  </si>
  <si>
    <t>Okagengar</t>
  </si>
  <si>
    <t>Ivy</t>
  </si>
  <si>
    <t>Green Hill Zone</t>
  </si>
  <si>
    <t>Ike</t>
  </si>
  <si>
    <t>Pokemon Stadium 1</t>
  </si>
  <si>
    <t>J'haira</t>
  </si>
  <si>
    <t>EGMadness</t>
  </si>
  <si>
    <t>https://smash.gg/tournament/friday-night-smash-delight-69-saints-gaming-live-edition/events/project-m-1v1/brackets/270800</t>
  </si>
  <si>
    <t>Enter</t>
  </si>
  <si>
    <t>G&amp;W</t>
  </si>
  <si>
    <t>Set Didnt Count</t>
  </si>
  <si>
    <t>https://smash.gg/tournament/friday-night-smash-delight-a-mini-showdown-3/events/pm-singles</t>
  </si>
  <si>
    <t>Pandarian</t>
  </si>
  <si>
    <t>Lucas</t>
  </si>
  <si>
    <t>Imtoowhite</t>
  </si>
  <si>
    <t>ZSS</t>
  </si>
  <si>
    <t>ICs</t>
  </si>
  <si>
    <t>https://challonge.com/fnhs72</t>
  </si>
  <si>
    <t>Celery</t>
  </si>
  <si>
    <t>kliner69er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</si>
</sst>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M/d/yyyy"/>
    <numFmt numFmtId="165" formatCode="m/d/yyyy"/>
    <numFmt numFmtId="166" formatCode="m/d/yy"/>
    <numFmt numFmtId="167" formatCode="m/d"/>
    <numFmt numFmtId="168" formatCode="0.0%"/>
    <numFmt numFmtId="169" formatCode="#,##0.0"/>
    <numFmt numFmtId="170" formatCode="mmm&quot;-&quot;yy"/>
    <numFmt numFmtId="171" formatCode="0.0"/>
  </numFmts>
  <fonts count="40">
    <font>
      <sz val="10.0"/>
      <color rgb="FF000000"/>
      <name val="Arial"/>
    </font>
    <font>
      <b/>
      <color rgb="FFFFFFFF"/>
      <name val="Arial"/>
    </font>
    <font>
      <b/>
      <color rgb="FFFFFFFF"/>
    </font>
    <font/>
    <font>
      <color rgb="FFFFFFFF"/>
      <name val="Arial"/>
    </font>
    <font>
      <name val="Arial"/>
    </font>
    <font>
      <color rgb="FFFFFFFF"/>
    </font>
    <font>
      <u/>
      <color rgb="FFFFFFFF"/>
      <name val="Arial"/>
    </font>
    <font>
      <u/>
      <color rgb="FFFFFFFF"/>
      <name val="Arial"/>
    </font>
    <font>
      <u/>
      <color rgb="FFFFFFFF"/>
      <name val="Arial"/>
    </font>
    <font>
      <color rgb="FF000000"/>
    </font>
    <font>
      <u/>
      <color rgb="FFFFFFFF"/>
    </font>
    <font>
      <color rgb="FF000000"/>
      <name val="Arial"/>
    </font>
    <font>
      <u/>
      <color rgb="FFFFFFFF"/>
    </font>
    <font>
      <u/>
      <color rgb="FFFFFFFF"/>
    </font>
    <font>
      <u/>
      <color rgb="FFFFFFFF"/>
    </font>
    <font>
      <u/>
      <color rgb="FFFFFFFF"/>
    </font>
    <font>
      <u/>
      <color rgb="FFFFFFFF"/>
    </font>
    <font>
      <u/>
      <color rgb="FFFFFFFF"/>
    </font>
    <font>
      <b/>
      <color rgb="FFF1C232"/>
    </font>
    <font>
      <color rgb="FFF1C232"/>
    </font>
    <font>
      <u/>
      <color rgb="FFF1C232"/>
    </font>
    <font>
      <u/>
      <color rgb="FFFFFFFF"/>
    </font>
    <font>
      <u/>
      <color rgb="FFFFFFFF"/>
    </font>
    <font>
      <u/>
      <color rgb="FFFFFFFF"/>
    </font>
    <font>
      <u/>
      <color rgb="FFFFFFFF"/>
    </font>
    <font>
      <b/>
      <sz val="10.0"/>
      <color rgb="FFFFFFFF"/>
      <name val="Arial"/>
    </font>
    <font>
      <b/>
      <name val="Arial"/>
    </font>
    <font>
      <b/>
      <sz val="11.0"/>
      <color rgb="FF000000"/>
      <name val="Inconsolata"/>
    </font>
    <font>
      <b/>
    </font>
    <font>
      <color rgb="FF0062A0"/>
      <name val="Inherit"/>
    </font>
    <font>
      <b/>
      <sz val="12.0"/>
      <color rgb="FFFFFFFF"/>
    </font>
    <font>
      <b/>
      <sz val="10.0"/>
      <color rgb="FFFFFFFF"/>
    </font>
    <font>
      <sz val="11.0"/>
      <color rgb="FF000000"/>
      <name val="Inconsolata"/>
    </font>
    <font>
      <color rgb="FFFFCE00"/>
    </font>
    <font>
      <b/>
      <sz val="18.0"/>
      <color rgb="FFFFFFFF"/>
    </font>
    <font>
      <b/>
      <sz val="14.0"/>
      <color rgb="FFFFFFFF"/>
    </font>
    <font>
      <b/>
      <sz val="12.0"/>
    </font>
    <font>
      <b/>
      <sz val="12.0"/>
      <color rgb="FF0A0101"/>
      <name val="&quot;Helvetica Neue&quot;"/>
    </font>
    <font>
      <b/>
      <sz val="11.0"/>
      <color rgb="FFFFFFFF"/>
      <name val="Arial"/>
    </font>
  </fonts>
  <fills count="38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070077"/>
        <bgColor rgb="FF070077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FF00FF"/>
        <bgColor rgb="FFFF00FF"/>
      </patternFill>
    </fill>
    <fill>
      <patternFill patternType="solid">
        <fgColor rgb="FF000000"/>
        <bgColor rgb="FF000000"/>
      </patternFill>
    </fill>
    <fill>
      <patternFill patternType="solid">
        <fgColor rgb="FF00FFFF"/>
        <bgColor rgb="FF00FFFF"/>
      </patternFill>
    </fill>
    <fill>
      <patternFill patternType="solid">
        <fgColor rgb="FFCC0000"/>
        <bgColor rgb="FFCC0000"/>
      </patternFill>
    </fill>
    <fill>
      <patternFill patternType="solid">
        <fgColor rgb="FFFFCC00"/>
        <bgColor rgb="FFFFCC00"/>
      </patternFill>
    </fill>
    <fill>
      <patternFill patternType="solid">
        <fgColor rgb="FFFFCE00"/>
        <bgColor rgb="FFFFCE00"/>
      </patternFill>
    </fill>
    <fill>
      <patternFill patternType="solid">
        <fgColor rgb="FFFF4100"/>
        <bgColor rgb="FFFF4100"/>
      </patternFill>
    </fill>
    <fill>
      <patternFill patternType="solid">
        <fgColor rgb="FFFFAD00"/>
        <bgColor rgb="FFFFAD00"/>
      </patternFill>
    </fill>
    <fill>
      <patternFill patternType="solid">
        <fgColor rgb="FFFF5100"/>
        <bgColor rgb="FFFF5100"/>
      </patternFill>
    </fill>
    <fill>
      <patternFill patternType="solid">
        <fgColor rgb="FFB7B7B7"/>
        <bgColor rgb="FFB7B7B7"/>
      </patternFill>
    </fill>
    <fill>
      <patternFill patternType="solid">
        <fgColor rgb="FFFF0D00"/>
        <bgColor rgb="FFFF0D00"/>
      </patternFill>
    </fill>
    <fill>
      <patternFill patternType="solid">
        <fgColor rgb="FF434343"/>
        <bgColor rgb="FF434343"/>
      </patternFill>
    </fill>
    <fill>
      <patternFill patternType="solid">
        <fgColor rgb="FFEFFF10"/>
        <bgColor rgb="FFEFFF10"/>
      </patternFill>
    </fill>
    <fill>
      <patternFill patternType="solid">
        <fgColor rgb="FFBDFF42"/>
        <bgColor rgb="FFBDFF42"/>
      </patternFill>
    </fill>
    <fill>
      <patternFill patternType="solid">
        <fgColor rgb="FF7BFF84"/>
        <bgColor rgb="FF7BFF84"/>
      </patternFill>
    </fill>
    <fill>
      <patternFill patternType="solid">
        <fgColor rgb="FFFFFF00"/>
        <bgColor rgb="FFFFFF00"/>
      </patternFill>
    </fill>
    <fill>
      <patternFill patternType="solid">
        <fgColor rgb="FF666666"/>
        <bgColor rgb="FF666666"/>
      </patternFill>
    </fill>
    <fill>
      <patternFill patternType="solid">
        <fgColor rgb="FFDAFF25"/>
        <bgColor rgb="FFDAFF25"/>
      </patternFill>
    </fill>
    <fill>
      <patternFill patternType="solid">
        <fgColor rgb="FF999999"/>
        <bgColor rgb="FF999999"/>
      </patternFill>
    </fill>
    <fill>
      <patternFill patternType="solid">
        <fgColor rgb="FFD5FF2A"/>
        <bgColor rgb="FFD5FF2A"/>
      </patternFill>
    </fill>
    <fill>
      <patternFill patternType="solid">
        <fgColor rgb="FF92FF6D"/>
        <bgColor rgb="FF92FF6D"/>
      </patternFill>
    </fill>
    <fill>
      <patternFill patternType="solid">
        <fgColor rgb="FFA6FF59"/>
        <bgColor rgb="FFA6FF59"/>
      </patternFill>
    </fill>
    <fill>
      <patternFill patternType="solid">
        <fgColor rgb="FFF5FF0A"/>
        <bgColor rgb="FFF5FF0A"/>
      </patternFill>
    </fill>
    <fill>
      <patternFill patternType="solid">
        <fgColor rgb="FFF3FF0C"/>
        <bgColor rgb="FFF3FF0C"/>
      </patternFill>
    </fill>
    <fill>
      <patternFill patternType="solid">
        <fgColor rgb="FFFF0900"/>
        <bgColor rgb="FFFF0900"/>
      </patternFill>
    </fill>
    <fill>
      <patternFill patternType="solid">
        <fgColor rgb="FFFF2800"/>
        <bgColor rgb="FFFF2800"/>
      </patternFill>
    </fill>
    <fill>
      <patternFill patternType="solid">
        <fgColor rgb="FFFF6300"/>
        <bgColor rgb="FFFF6300"/>
      </patternFill>
    </fill>
    <fill>
      <patternFill patternType="solid">
        <fgColor rgb="FFFFEA00"/>
        <bgColor rgb="FFFFEA00"/>
      </patternFill>
    </fill>
  </fills>
  <borders count="40">
    <border/>
    <border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</border>
    <border>
      <left style="thick">
        <color rgb="FFFFFFFF"/>
      </left>
      <top style="thick">
        <color rgb="FFFFFFFF"/>
      </top>
    </border>
    <border>
      <right style="thick">
        <color rgb="FFFFFFFF"/>
      </right>
      <top style="thick">
        <color rgb="FFFFFFFF"/>
      </top>
    </border>
    <border>
      <top style="thick">
        <color rgb="FFFFFFFF"/>
      </top>
    </border>
    <border>
      <left style="thick">
        <color rgb="FFFFFFFF"/>
      </left>
    </border>
    <border>
      <right style="thick">
        <color rgb="FFFFFFFF"/>
      </right>
    </border>
    <border>
      <left style="thick">
        <color rgb="FFFFFFFF"/>
      </left>
      <bottom style="thick">
        <color rgb="FFFFFFFF"/>
      </bottom>
    </border>
    <border>
      <right style="thick">
        <color rgb="FFFFFFFF"/>
      </right>
      <bottom style="thick">
        <color rgb="FFFFFFFF"/>
      </bottom>
    </border>
    <border>
      <bottom style="thick">
        <color rgb="FFFFFFFF"/>
      </bottom>
    </border>
  </borders>
  <cellStyleXfs count="1">
    <xf borderId="0" fillId="0" fontId="0" numFmtId="0" applyAlignment="1" applyFont="1"/>
  </cellStyleXfs>
  <cellXfs count="5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1"/>
    </xf>
    <xf borderId="1" fillId="2" fontId="1" numFmtId="0" xfId="0" applyAlignment="1" applyBorder="1" applyFont="1">
      <alignment readingOrder="0" shrinkToFit="0" vertical="bottom" wrapText="1"/>
    </xf>
    <xf borderId="1" fillId="2" fontId="1" numFmtId="164" xfId="0" applyAlignment="1" applyBorder="1" applyFont="1" applyNumberFormat="1">
      <alignment readingOrder="0" shrinkToFit="0" vertical="bottom" wrapText="1"/>
    </xf>
    <xf borderId="0" fillId="2" fontId="2" numFmtId="49" xfId="0" applyAlignment="1" applyFont="1" applyNumberFormat="1">
      <alignment readingOrder="0" shrinkToFit="0" wrapText="1"/>
    </xf>
    <xf borderId="0" fillId="2" fontId="2" numFmtId="0" xfId="0" applyAlignment="1" applyFont="1">
      <alignment readingOrder="0" shrinkToFit="0" wrapText="1"/>
    </xf>
    <xf borderId="0" fillId="2" fontId="1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shrinkToFit="0" wrapText="1"/>
    </xf>
    <xf borderId="2" fillId="2" fontId="1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2" fillId="2" fontId="4" numFmtId="0" xfId="0" applyAlignment="1" applyBorder="1" applyFont="1">
      <alignment readingOrder="0" vertical="bottom"/>
    </xf>
    <xf borderId="0" fillId="3" fontId="5" numFmtId="164" xfId="0" applyAlignment="1" applyFill="1" applyFont="1" applyNumberFormat="1">
      <alignment readingOrder="0" vertical="bottom"/>
    </xf>
    <xf borderId="0" fillId="3" fontId="5" numFmtId="0" xfId="0" applyAlignment="1" applyFont="1">
      <alignment vertical="bottom"/>
    </xf>
    <xf borderId="0" fillId="3" fontId="3" numFmtId="49" xfId="0" applyFont="1" applyNumberFormat="1"/>
    <xf borderId="0" fillId="3" fontId="3" numFmtId="0" xfId="0" applyFont="1"/>
    <xf borderId="0" fillId="3" fontId="3" numFmtId="0" xfId="0" applyAlignment="1" applyFont="1">
      <alignment readingOrder="0"/>
    </xf>
    <xf borderId="0" fillId="3" fontId="5" numFmtId="0" xfId="0" applyAlignment="1" applyFont="1">
      <alignment readingOrder="0" vertical="bottom"/>
    </xf>
    <xf borderId="3" fillId="3" fontId="5" numFmtId="0" xfId="0" applyAlignment="1" applyBorder="1" applyFont="1">
      <alignment vertical="bottom"/>
    </xf>
    <xf borderId="0" fillId="3" fontId="5" numFmtId="0" xfId="0" applyAlignment="1" applyFont="1">
      <alignment vertical="bottom"/>
    </xf>
    <xf borderId="0" fillId="4" fontId="5" numFmtId="164" xfId="0" applyAlignment="1" applyFill="1" applyFont="1" applyNumberFormat="1">
      <alignment readingOrder="0" vertical="bottom"/>
    </xf>
    <xf borderId="0" fillId="4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3" numFmtId="49" xfId="0" applyFont="1" applyNumberFormat="1"/>
    <xf borderId="0" fillId="0" fontId="3" numFmtId="0" xfId="0" applyFont="1"/>
    <xf borderId="0" fillId="0" fontId="3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3" fillId="0" fontId="5" numFmtId="0" xfId="0" applyAlignment="1" applyBorder="1" applyFont="1">
      <alignment vertical="bottom"/>
    </xf>
    <xf borderId="2" fillId="2" fontId="4" numFmtId="14" xfId="0" applyAlignment="1" applyBorder="1" applyFont="1" applyNumberFormat="1">
      <alignment horizontal="right" vertical="bottom"/>
    </xf>
    <xf borderId="3" fillId="0" fontId="5" numFmtId="0" xfId="0" applyAlignment="1" applyBorder="1" applyFont="1">
      <alignment readingOrder="0" vertical="bottom"/>
    </xf>
    <xf borderId="3" fillId="0" fontId="5" numFmtId="0" xfId="0" applyAlignment="1" applyBorder="1" applyFont="1">
      <alignment vertical="bottom"/>
    </xf>
    <xf borderId="2" fillId="2" fontId="4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4" fillId="2" fontId="4" numFmtId="0" xfId="0" applyAlignment="1" applyBorder="1" applyFont="1">
      <alignment vertical="bottom"/>
    </xf>
    <xf borderId="1" fillId="3" fontId="5" numFmtId="164" xfId="0" applyAlignment="1" applyBorder="1" applyFont="1" applyNumberFormat="1">
      <alignment readingOrder="0" vertical="bottom"/>
    </xf>
    <xf borderId="1" fillId="3" fontId="5" numFmtId="0" xfId="0" applyAlignment="1" applyBorder="1" applyFont="1">
      <alignment vertical="bottom"/>
    </xf>
    <xf borderId="1" fillId="3" fontId="3" numFmtId="49" xfId="0" applyBorder="1" applyFont="1" applyNumberFormat="1"/>
    <xf borderId="1" fillId="3" fontId="3" numFmtId="0" xfId="0" applyBorder="1" applyFont="1"/>
    <xf borderId="1" fillId="3" fontId="3" numFmtId="0" xfId="0" applyAlignment="1" applyBorder="1" applyFont="1">
      <alignment readingOrder="0"/>
    </xf>
    <xf borderId="1" fillId="3" fontId="5" numFmtId="0" xfId="0" applyAlignment="1" applyBorder="1" applyFont="1">
      <alignment vertical="bottom"/>
    </xf>
    <xf borderId="5" fillId="3" fontId="5" numFmtId="0" xfId="0" applyAlignment="1" applyBorder="1" applyFont="1">
      <alignment vertical="bottom"/>
    </xf>
    <xf borderId="1" fillId="4" fontId="4" numFmtId="0" xfId="0" applyAlignment="1" applyBorder="1" applyFont="1">
      <alignment vertical="bottom"/>
    </xf>
    <xf borderId="1" fillId="0" fontId="5" numFmtId="164" xfId="0" applyAlignment="1" applyBorder="1" applyFont="1" applyNumberFormat="1">
      <alignment vertical="bottom"/>
    </xf>
    <xf borderId="1" fillId="0" fontId="5" numFmtId="0" xfId="0" applyAlignment="1" applyBorder="1" applyFont="1">
      <alignment vertical="bottom"/>
    </xf>
    <xf borderId="4" fillId="2" fontId="4" numFmtId="0" xfId="0" applyAlignment="1" applyBorder="1" applyFont="1">
      <alignment readingOrder="0" vertical="bottom"/>
    </xf>
    <xf borderId="6" fillId="3" fontId="3" numFmtId="49" xfId="0" applyBorder="1" applyFont="1" applyNumberFormat="1"/>
    <xf borderId="6" fillId="3" fontId="3" numFmtId="0" xfId="0" applyBorder="1" applyFont="1"/>
    <xf borderId="6" fillId="3" fontId="3" numFmtId="0" xfId="0" applyAlignment="1" applyBorder="1" applyFont="1">
      <alignment readingOrder="0"/>
    </xf>
    <xf borderId="0" fillId="3" fontId="3" numFmtId="49" xfId="0" applyAlignment="1" applyFont="1" applyNumberFormat="1">
      <alignment readingOrder="0"/>
    </xf>
    <xf borderId="3" fillId="3" fontId="5" numFmtId="0" xfId="0" applyAlignment="1" applyBorder="1" applyFont="1">
      <alignment readingOrder="0" vertical="bottom"/>
    </xf>
    <xf borderId="1" fillId="4" fontId="5" numFmtId="164" xfId="0" applyAlignment="1" applyBorder="1" applyFont="1" applyNumberFormat="1">
      <alignment readingOrder="0" vertical="bottom"/>
    </xf>
    <xf borderId="1" fillId="4" fontId="5" numFmtId="0" xfId="0" applyAlignment="1" applyBorder="1" applyFont="1">
      <alignment vertical="bottom"/>
    </xf>
    <xf borderId="1" fillId="0" fontId="5" numFmtId="0" xfId="0" applyAlignment="1" applyBorder="1" applyFont="1">
      <alignment vertical="bottom"/>
    </xf>
    <xf borderId="1" fillId="0" fontId="3" numFmtId="49" xfId="0" applyBorder="1" applyFont="1" applyNumberFormat="1"/>
    <xf borderId="1" fillId="0" fontId="3" numFmtId="0" xfId="0" applyBorder="1" applyFont="1"/>
    <xf borderId="1" fillId="0" fontId="3" numFmtId="0" xfId="0" applyAlignment="1" applyBorder="1" applyFont="1">
      <alignment readingOrder="0"/>
    </xf>
    <xf borderId="5" fillId="0" fontId="5" numFmtId="0" xfId="0" applyAlignment="1" applyBorder="1" applyFont="1">
      <alignment vertical="bottom"/>
    </xf>
    <xf borderId="3" fillId="3" fontId="5" numFmtId="0" xfId="0" applyAlignment="1" applyBorder="1" applyFont="1">
      <alignment vertical="bottom"/>
    </xf>
    <xf borderId="0" fillId="5" fontId="5" numFmtId="164" xfId="0" applyAlignment="1" applyFill="1" applyFont="1" applyNumberFormat="1">
      <alignment readingOrder="0" vertical="bottom"/>
    </xf>
    <xf borderId="0" fillId="5" fontId="5" numFmtId="0" xfId="0" applyAlignment="1" applyFont="1">
      <alignment vertical="bottom"/>
    </xf>
    <xf borderId="0" fillId="5" fontId="3" numFmtId="49" xfId="0" applyFont="1" applyNumberFormat="1"/>
    <xf borderId="0" fillId="5" fontId="3" numFmtId="0" xfId="0" applyFont="1"/>
    <xf borderId="0" fillId="5" fontId="3" numFmtId="0" xfId="0" applyAlignment="1" applyFont="1">
      <alignment readingOrder="0"/>
    </xf>
    <xf borderId="0" fillId="5" fontId="5" numFmtId="0" xfId="0" applyAlignment="1" applyFont="1">
      <alignment vertical="bottom"/>
    </xf>
    <xf borderId="3" fillId="5" fontId="5" numFmtId="0" xfId="0" applyAlignment="1" applyBorder="1" applyFont="1">
      <alignment vertical="bottom"/>
    </xf>
    <xf borderId="4" fillId="2" fontId="4" numFmtId="0" xfId="0" applyAlignment="1" applyBorder="1" applyFont="1">
      <alignment vertical="bottom"/>
    </xf>
    <xf borderId="5" fillId="3" fontId="5" numFmtId="0" xfId="0" applyAlignment="1" applyBorder="1" applyFont="1">
      <alignment readingOrder="0" vertical="bottom"/>
    </xf>
    <xf borderId="1" fillId="4" fontId="4" numFmtId="0" xfId="0" applyAlignment="1" applyBorder="1" applyFont="1">
      <alignment vertical="bottom"/>
    </xf>
    <xf borderId="2" fillId="2" fontId="1" numFmtId="0" xfId="0" applyAlignment="1" applyBorder="1" applyFont="1">
      <alignment readingOrder="0" vertical="bottom"/>
    </xf>
    <xf borderId="0" fillId="0" fontId="5" numFmtId="164" xfId="0" applyAlignment="1" applyFont="1" applyNumberFormat="1">
      <alignment readingOrder="0" vertical="bottom"/>
    </xf>
    <xf borderId="6" fillId="4" fontId="5" numFmtId="0" xfId="0" applyAlignment="1" applyBorder="1" applyFont="1">
      <alignment vertical="bottom"/>
    </xf>
    <xf borderId="6" fillId="0" fontId="3" numFmtId="49" xfId="0" applyBorder="1" applyFont="1" applyNumberFormat="1"/>
    <xf borderId="6" fillId="0" fontId="3" numFmtId="0" xfId="0" applyBorder="1" applyFont="1"/>
    <xf borderId="6" fillId="0" fontId="3" numFmtId="0" xfId="0" applyAlignment="1" applyBorder="1" applyFont="1">
      <alignment readingOrder="0"/>
    </xf>
    <xf borderId="2" fillId="2" fontId="4" numFmtId="14" xfId="0" applyAlignment="1" applyBorder="1" applyFont="1" applyNumberFormat="1">
      <alignment horizontal="right" vertical="bottom"/>
    </xf>
    <xf borderId="1" fillId="0" fontId="5" numFmtId="164" xfId="0" applyAlignment="1" applyBorder="1" applyFont="1" applyNumberFormat="1">
      <alignment readingOrder="0" vertical="bottom"/>
    </xf>
    <xf borderId="1" fillId="0" fontId="5" numFmtId="0" xfId="0" applyAlignment="1" applyBorder="1" applyFont="1">
      <alignment readingOrder="0" vertical="bottom"/>
    </xf>
    <xf borderId="5" fillId="0" fontId="5" numFmtId="0" xfId="0" applyAlignment="1" applyBorder="1" applyFont="1">
      <alignment readingOrder="0" vertical="bottom"/>
    </xf>
    <xf borderId="5" fillId="0" fontId="5" numFmtId="0" xfId="0" applyAlignment="1" applyBorder="1" applyFont="1">
      <alignment vertical="bottom"/>
    </xf>
    <xf borderId="6" fillId="3" fontId="3" numFmtId="49" xfId="0" applyAlignment="1" applyBorder="1" applyFont="1" applyNumberFormat="1">
      <alignment readingOrder="0"/>
    </xf>
    <xf borderId="0" fillId="0" fontId="3" numFmtId="49" xfId="0" applyAlignment="1" applyFont="1" applyNumberFormat="1">
      <alignment readingOrder="0"/>
    </xf>
    <xf borderId="0" fillId="4" fontId="4" numFmtId="0" xfId="0" applyAlignment="1" applyFont="1">
      <alignment vertical="bottom"/>
    </xf>
    <xf borderId="0" fillId="0" fontId="5" numFmtId="164" xfId="0" applyAlignment="1" applyFont="1" applyNumberFormat="1">
      <alignment vertical="bottom"/>
    </xf>
    <xf borderId="6" fillId="2" fontId="1" numFmtId="0" xfId="0" applyAlignment="1" applyBorder="1" applyFont="1">
      <alignment readingOrder="0" vertical="bottom"/>
    </xf>
    <xf borderId="6" fillId="0" fontId="5" numFmtId="164" xfId="0" applyAlignment="1" applyBorder="1" applyFont="1" applyNumberFormat="1">
      <alignment readingOrder="0" vertical="bottom"/>
    </xf>
    <xf borderId="6" fillId="0" fontId="5" numFmtId="0" xfId="0" applyAlignment="1" applyBorder="1" applyFont="1">
      <alignment vertical="bottom"/>
    </xf>
    <xf borderId="6" fillId="0" fontId="3" numFmtId="49" xfId="0" applyAlignment="1" applyBorder="1" applyFont="1" applyNumberFormat="1">
      <alignment readingOrder="0"/>
    </xf>
    <xf borderId="6" fillId="0" fontId="5" numFmtId="0" xfId="0" applyAlignment="1" applyBorder="1" applyFont="1">
      <alignment readingOrder="0" vertical="bottom"/>
    </xf>
    <xf borderId="7" fillId="0" fontId="5" numFmtId="0" xfId="0" applyAlignment="1" applyBorder="1" applyFont="1">
      <alignment readingOrder="0" vertical="bottom"/>
    </xf>
    <xf borderId="7" fillId="0" fontId="5" numFmtId="0" xfId="0" applyAlignment="1" applyBorder="1" applyFont="1">
      <alignment vertical="bottom"/>
    </xf>
    <xf borderId="2" fillId="2" fontId="4" numFmtId="14" xfId="0" applyAlignment="1" applyBorder="1" applyFont="1" applyNumberFormat="1">
      <alignment horizontal="right" readingOrder="0" vertical="bottom"/>
    </xf>
    <xf borderId="0" fillId="4" fontId="5" numFmtId="0" xfId="0" applyAlignment="1" applyFont="1">
      <alignment readingOrder="0" vertical="bottom"/>
    </xf>
    <xf borderId="3" fillId="4" fontId="5" numFmtId="0" xfId="0" applyAlignment="1" applyBorder="1" applyFont="1">
      <alignment readingOrder="0" vertical="bottom"/>
    </xf>
    <xf borderId="1" fillId="3" fontId="5" numFmtId="0" xfId="0" applyAlignment="1" applyBorder="1" applyFont="1">
      <alignment readingOrder="0" vertical="bottom"/>
    </xf>
    <xf borderId="0" fillId="0" fontId="6" numFmtId="0" xfId="0" applyFont="1"/>
    <xf borderId="0" fillId="0" fontId="3" numFmtId="164" xfId="0" applyFont="1" applyNumberFormat="1"/>
    <xf borderId="8" fillId="2" fontId="1" numFmtId="0" xfId="0" applyAlignment="1" applyBorder="1" applyFont="1">
      <alignment readingOrder="0" vertical="bottom"/>
    </xf>
    <xf borderId="6" fillId="0" fontId="3" numFmtId="164" xfId="0" applyBorder="1" applyFont="1" applyNumberFormat="1"/>
    <xf borderId="7" fillId="0" fontId="3" numFmtId="0" xfId="0" applyBorder="1" applyFont="1"/>
    <xf borderId="3" fillId="0" fontId="3" numFmtId="0" xfId="0" applyBorder="1" applyFont="1"/>
    <xf borderId="0" fillId="3" fontId="3" numFmtId="164" xfId="0" applyFont="1" applyNumberFormat="1"/>
    <xf borderId="0" fillId="3" fontId="3" numFmtId="0" xfId="0" applyFont="1"/>
    <xf borderId="3" fillId="3" fontId="3" numFmtId="0" xfId="0" applyBorder="1" applyFont="1"/>
    <xf borderId="2" fillId="2" fontId="7" numFmtId="0" xfId="0" applyAlignment="1" applyBorder="1" applyFont="1">
      <alignment readingOrder="0" vertical="bottom"/>
    </xf>
    <xf borderId="1" fillId="3" fontId="3" numFmtId="164" xfId="0" applyBorder="1" applyFont="1" applyNumberFormat="1"/>
    <xf borderId="1" fillId="3" fontId="3" numFmtId="0" xfId="0" applyBorder="1" applyFont="1"/>
    <xf borderId="5" fillId="3" fontId="3" numFmtId="0" xfId="0" applyBorder="1" applyFont="1"/>
    <xf borderId="0" fillId="4" fontId="6" numFmtId="0" xfId="0" applyFont="1"/>
    <xf borderId="2" fillId="2" fontId="4" numFmtId="0" xfId="0" applyAlignment="1" applyBorder="1" applyFont="1">
      <alignment horizontal="right" readingOrder="0" vertical="bottom"/>
    </xf>
    <xf borderId="6" fillId="3" fontId="5" numFmtId="164" xfId="0" applyAlignment="1" applyBorder="1" applyFont="1" applyNumberFormat="1">
      <alignment readingOrder="0" vertical="bottom"/>
    </xf>
    <xf borderId="6" fillId="3" fontId="5" numFmtId="0" xfId="0" applyAlignment="1" applyBorder="1" applyFont="1">
      <alignment vertical="bottom"/>
    </xf>
    <xf borderId="6" fillId="3" fontId="5" numFmtId="0" xfId="0" applyAlignment="1" applyBorder="1" applyFont="1">
      <alignment readingOrder="0" vertical="bottom"/>
    </xf>
    <xf borderId="7" fillId="3" fontId="5" numFmtId="0" xfId="0" applyAlignment="1" applyBorder="1" applyFont="1">
      <alignment readingOrder="0" vertical="bottom"/>
    </xf>
    <xf borderId="1" fillId="0" fontId="3" numFmtId="49" xfId="0" applyAlignment="1" applyBorder="1" applyFont="1" applyNumberFormat="1">
      <alignment readingOrder="0"/>
    </xf>
    <xf borderId="1" fillId="4" fontId="3" numFmtId="0" xfId="0" applyAlignment="1" applyBorder="1" applyFont="1">
      <alignment readingOrder="0"/>
    </xf>
    <xf borderId="2" fillId="6" fontId="1" numFmtId="0" xfId="0" applyAlignment="1" applyBorder="1" applyFill="1" applyFont="1">
      <alignment readingOrder="0" vertical="bottom"/>
    </xf>
    <xf borderId="2" fillId="6" fontId="4" numFmtId="0" xfId="0" applyAlignment="1" applyBorder="1" applyFont="1">
      <alignment vertical="bottom"/>
    </xf>
    <xf borderId="2" fillId="6" fontId="4" numFmtId="0" xfId="0" applyAlignment="1" applyBorder="1" applyFont="1">
      <alignment horizontal="right" readingOrder="0" vertical="bottom"/>
    </xf>
    <xf borderId="2" fillId="6" fontId="4" numFmtId="14" xfId="0" applyAlignment="1" applyBorder="1" applyFont="1" applyNumberFormat="1">
      <alignment horizontal="right" readingOrder="0" vertical="bottom"/>
    </xf>
    <xf borderId="0" fillId="4" fontId="3" numFmtId="0" xfId="0" applyAlignment="1" applyFont="1">
      <alignment readingOrder="0"/>
    </xf>
    <xf borderId="2" fillId="6" fontId="8" numFmtId="0" xfId="0" applyAlignment="1" applyBorder="1" applyFont="1">
      <alignment horizontal="right" readingOrder="0" vertical="bottom"/>
    </xf>
    <xf borderId="1" fillId="6" fontId="4" numFmtId="14" xfId="0" applyAlignment="1" applyBorder="1" applyFont="1" applyNumberFormat="1">
      <alignment horizontal="right" readingOrder="0" vertical="bottom"/>
    </xf>
    <xf borderId="1" fillId="3" fontId="3" numFmtId="49" xfId="0" applyAlignment="1" applyBorder="1" applyFont="1" applyNumberFormat="1">
      <alignment readingOrder="0"/>
    </xf>
    <xf borderId="2" fillId="2" fontId="4" numFmtId="14" xfId="0" applyAlignment="1" applyBorder="1" applyFont="1" applyNumberFormat="1">
      <alignment horizontal="right" readingOrder="0" vertical="bottom"/>
    </xf>
    <xf borderId="2" fillId="2" fontId="9" numFmtId="0" xfId="0" applyAlignment="1" applyBorder="1" applyFont="1">
      <alignment horizontal="right" readingOrder="0" vertical="bottom"/>
    </xf>
    <xf borderId="4" fillId="2" fontId="4" numFmtId="14" xfId="0" applyAlignment="1" applyBorder="1" applyFont="1" applyNumberFormat="1">
      <alignment horizontal="right" readingOrder="0" vertical="bottom"/>
    </xf>
    <xf borderId="0" fillId="4" fontId="3" numFmtId="49" xfId="0" applyAlignment="1" applyFont="1" applyNumberFormat="1">
      <alignment readingOrder="0"/>
    </xf>
    <xf borderId="0" fillId="4" fontId="5" numFmtId="0" xfId="0" applyAlignment="1" applyFont="1">
      <alignment vertical="bottom"/>
    </xf>
    <xf borderId="3" fillId="4" fontId="5" numFmtId="0" xfId="0" applyAlignment="1" applyBorder="1" applyFont="1">
      <alignment vertical="bottom"/>
    </xf>
    <xf borderId="1" fillId="4" fontId="5" numFmtId="0" xfId="0" applyAlignment="1" applyBorder="1" applyFont="1">
      <alignment readingOrder="0" vertical="bottom"/>
    </xf>
    <xf borderId="1" fillId="4" fontId="3" numFmtId="49" xfId="0" applyAlignment="1" applyBorder="1" applyFont="1" applyNumberFormat="1">
      <alignment readingOrder="0"/>
    </xf>
    <xf borderId="1" fillId="4" fontId="5" numFmtId="0" xfId="0" applyAlignment="1" applyBorder="1" applyFont="1">
      <alignment vertical="bottom"/>
    </xf>
    <xf borderId="5" fillId="4" fontId="5" numFmtId="0" xfId="0" applyAlignment="1" applyBorder="1" applyFont="1">
      <alignment vertical="bottom"/>
    </xf>
    <xf borderId="8" fillId="2" fontId="2" numFmtId="0" xfId="0" applyAlignment="1" applyBorder="1" applyFont="1">
      <alignment readingOrder="0"/>
    </xf>
    <xf borderId="2" fillId="2" fontId="6" numFmtId="0" xfId="0" applyAlignment="1" applyBorder="1" applyFont="1">
      <alignment readingOrder="0"/>
    </xf>
    <xf borderId="6" fillId="0" fontId="3" numFmtId="164" xfId="0" applyAlignment="1" applyBorder="1" applyFont="1" applyNumberFormat="1">
      <alignment readingOrder="0"/>
    </xf>
    <xf borderId="7" fillId="3" fontId="3" numFmtId="0" xfId="0" applyAlignment="1" applyBorder="1" applyFont="1">
      <alignment readingOrder="0"/>
    </xf>
    <xf borderId="0" fillId="0" fontId="3" numFmtId="164" xfId="0" applyAlignment="1" applyFont="1" applyNumberFormat="1">
      <alignment readingOrder="0"/>
    </xf>
    <xf borderId="3" fillId="3" fontId="3" numFmtId="0" xfId="0" applyAlignment="1" applyBorder="1" applyFont="1">
      <alignment readingOrder="0"/>
    </xf>
    <xf borderId="2" fillId="2" fontId="6" numFmtId="14" xfId="0" applyAlignment="1" applyBorder="1" applyFont="1" applyNumberFormat="1">
      <alignment readingOrder="0"/>
    </xf>
    <xf borderId="2" fillId="2" fontId="6" numFmtId="0" xfId="0" applyBorder="1" applyFont="1"/>
    <xf borderId="4" fillId="2" fontId="6" numFmtId="0" xfId="0" applyBorder="1" applyFont="1"/>
    <xf borderId="1" fillId="0" fontId="3" numFmtId="164" xfId="0" applyAlignment="1" applyBorder="1" applyFont="1" applyNumberFormat="1">
      <alignment readingOrder="0"/>
    </xf>
    <xf borderId="1" fillId="0" fontId="3" numFmtId="0" xfId="0" applyBorder="1" applyFont="1"/>
    <xf borderId="5" fillId="0" fontId="3" numFmtId="0" xfId="0" applyBorder="1" applyFont="1"/>
    <xf borderId="9" fillId="3" fontId="5" numFmtId="164" xfId="0" applyAlignment="1" applyBorder="1" applyFont="1" applyNumberFormat="1">
      <alignment readingOrder="0" vertical="bottom"/>
    </xf>
    <xf borderId="7" fillId="3" fontId="5" numFmtId="0" xfId="0" applyAlignment="1" applyBorder="1" applyFont="1">
      <alignment vertical="bottom"/>
    </xf>
    <xf borderId="3" fillId="4" fontId="5" numFmtId="0" xfId="0" applyAlignment="1" applyBorder="1" applyFont="1">
      <alignment vertical="bottom"/>
    </xf>
    <xf borderId="1" fillId="2" fontId="4" numFmtId="0" xfId="0" applyAlignment="1" applyBorder="1" applyFont="1">
      <alignment vertical="bottom"/>
    </xf>
    <xf borderId="1" fillId="2" fontId="4" numFmtId="14" xfId="0" applyAlignment="1" applyBorder="1" applyFont="1" applyNumberFormat="1">
      <alignment horizontal="right" readingOrder="0" vertical="bottom"/>
    </xf>
    <xf borderId="5" fillId="4" fontId="5" numFmtId="0" xfId="0" applyAlignment="1" applyBorder="1" applyFont="1">
      <alignment readingOrder="0" vertical="bottom"/>
    </xf>
    <xf borderId="6" fillId="4" fontId="10" numFmtId="165" xfId="0" applyAlignment="1" applyBorder="1" applyFont="1" applyNumberFormat="1">
      <alignment readingOrder="0"/>
    </xf>
    <xf borderId="6" fillId="3" fontId="3" numFmtId="0" xfId="0" applyBorder="1" applyFont="1"/>
    <xf borderId="7" fillId="3" fontId="3" numFmtId="0" xfId="0" applyBorder="1" applyFont="1"/>
    <xf borderId="0" fillId="4" fontId="10" numFmtId="165" xfId="0" applyAlignment="1" applyFont="1" applyNumberFormat="1">
      <alignment readingOrder="0"/>
    </xf>
    <xf borderId="2" fillId="2" fontId="6" numFmtId="165" xfId="0" applyAlignment="1" applyBorder="1" applyFont="1" applyNumberFormat="1">
      <alignment readingOrder="0"/>
    </xf>
    <xf borderId="1" fillId="4" fontId="10" numFmtId="165" xfId="0" applyAlignment="1" applyBorder="1" applyFont="1" applyNumberFormat="1">
      <alignment readingOrder="0"/>
    </xf>
    <xf borderId="4" fillId="2" fontId="4" numFmtId="14" xfId="0" applyAlignment="1" applyBorder="1" applyFont="1" applyNumberFormat="1">
      <alignment horizontal="right" readingOrder="0" vertical="bottom"/>
    </xf>
    <xf borderId="5" fillId="4" fontId="5" numFmtId="0" xfId="0" applyAlignment="1" applyBorder="1" applyFont="1">
      <alignment vertical="bottom"/>
    </xf>
    <xf borderId="2" fillId="2" fontId="4" numFmtId="49" xfId="0" applyAlignment="1" applyBorder="1" applyFont="1" applyNumberFormat="1">
      <alignment horizontal="right" readingOrder="0" vertical="bottom"/>
    </xf>
    <xf borderId="2" fillId="2" fontId="4" numFmtId="49" xfId="0" applyAlignment="1" applyBorder="1" applyFont="1" applyNumberFormat="1">
      <alignment readingOrder="0" vertical="bottom"/>
    </xf>
    <xf borderId="2" fillId="2" fontId="4" numFmtId="49" xfId="0" applyAlignment="1" applyBorder="1" applyFont="1" applyNumberFormat="1">
      <alignment horizontal="right" readingOrder="0" vertical="bottom"/>
    </xf>
    <xf borderId="5" fillId="3" fontId="5" numFmtId="0" xfId="0" applyAlignment="1" applyBorder="1" applyFont="1">
      <alignment vertical="bottom"/>
    </xf>
    <xf borderId="8" fillId="2" fontId="4" numFmtId="14" xfId="0" applyAlignment="1" applyBorder="1" applyFont="1" applyNumberFormat="1">
      <alignment horizontal="right" readingOrder="0" vertical="bottom"/>
    </xf>
    <xf borderId="6" fillId="4" fontId="10" numFmtId="166" xfId="0" applyAlignment="1" applyBorder="1" applyFont="1" applyNumberFormat="1">
      <alignment readingOrder="0"/>
    </xf>
    <xf borderId="6" fillId="0" fontId="3" numFmtId="0" xfId="0" applyBorder="1" applyFont="1"/>
    <xf borderId="7" fillId="0" fontId="3" numFmtId="0" xfId="0" applyBorder="1" applyFont="1"/>
    <xf borderId="0" fillId="4" fontId="10" numFmtId="166" xfId="0" applyAlignment="1" applyFont="1" applyNumberFormat="1">
      <alignment readingOrder="0"/>
    </xf>
    <xf borderId="2" fillId="2" fontId="6" numFmtId="166" xfId="0" applyAlignment="1" applyBorder="1" applyFont="1" applyNumberFormat="1">
      <alignment readingOrder="0"/>
    </xf>
    <xf borderId="1" fillId="4" fontId="10" numFmtId="166" xfId="0" applyAlignment="1" applyBorder="1" applyFont="1" applyNumberFormat="1">
      <alignment readingOrder="0"/>
    </xf>
    <xf borderId="4" fillId="2" fontId="6" numFmtId="166" xfId="0" applyAlignment="1" applyBorder="1" applyFont="1" applyNumberFormat="1">
      <alignment readingOrder="0"/>
    </xf>
    <xf borderId="0" fillId="2" fontId="6" numFmtId="0" xfId="0" applyAlignment="1" applyFont="1">
      <alignment readingOrder="0"/>
    </xf>
    <xf borderId="0" fillId="2" fontId="6" numFmtId="0" xfId="0" applyFont="1"/>
    <xf borderId="1" fillId="2" fontId="6" numFmtId="0" xfId="0" applyBorder="1" applyFont="1"/>
    <xf borderId="0" fillId="4" fontId="3" numFmtId="0" xfId="0" applyFont="1"/>
    <xf borderId="3" fillId="4" fontId="3" numFmtId="0" xfId="0" applyBorder="1" applyFont="1"/>
    <xf borderId="2" fillId="2" fontId="11" numFmtId="0" xfId="0" applyAlignment="1" applyBorder="1" applyFont="1">
      <alignment readingOrder="0"/>
    </xf>
    <xf borderId="5" fillId="3" fontId="3" numFmtId="0" xfId="0" applyAlignment="1" applyBorder="1" applyFont="1">
      <alignment readingOrder="0"/>
    </xf>
    <xf borderId="0" fillId="0" fontId="5" numFmtId="49" xfId="0" applyAlignment="1" applyFont="1" applyNumberFormat="1">
      <alignment readingOrder="0" vertical="bottom"/>
    </xf>
    <xf borderId="0" fillId="3" fontId="5" numFmtId="49" xfId="0" applyAlignment="1" applyFont="1" applyNumberFormat="1">
      <alignment readingOrder="0" vertical="bottom"/>
    </xf>
    <xf borderId="1" fillId="0" fontId="5" numFmtId="49" xfId="0" applyAlignment="1" applyBorder="1" applyFont="1" applyNumberFormat="1">
      <alignment readingOrder="0" vertical="bottom"/>
    </xf>
    <xf borderId="0" fillId="0" fontId="5" numFmtId="49" xfId="0" applyAlignment="1" applyFont="1" applyNumberFormat="1">
      <alignment vertical="bottom"/>
    </xf>
    <xf borderId="8" fillId="7" fontId="2" numFmtId="0" xfId="0" applyAlignment="1" applyBorder="1" applyFill="1" applyFont="1">
      <alignment readingOrder="0"/>
    </xf>
    <xf borderId="2" fillId="7" fontId="6" numFmtId="0" xfId="0" applyAlignment="1" applyBorder="1" applyFont="1">
      <alignment readingOrder="0"/>
    </xf>
    <xf borderId="3" fillId="0" fontId="3" numFmtId="0" xfId="0" applyAlignment="1" applyBorder="1" applyFont="1">
      <alignment readingOrder="0"/>
    </xf>
    <xf borderId="2" fillId="7" fontId="6" numFmtId="0" xfId="0" applyBorder="1" applyFont="1"/>
    <xf borderId="4" fillId="7" fontId="6" numFmtId="0" xfId="0" applyBorder="1" applyFont="1"/>
    <xf borderId="6" fillId="4" fontId="10" numFmtId="167" xfId="0" applyAlignment="1" applyBorder="1" applyFont="1" applyNumberFormat="1">
      <alignment readingOrder="0"/>
    </xf>
    <xf borderId="0" fillId="4" fontId="10" numFmtId="167" xfId="0" applyAlignment="1" applyFont="1" applyNumberFormat="1">
      <alignment readingOrder="0"/>
    </xf>
    <xf borderId="2" fillId="2" fontId="6" numFmtId="167" xfId="0" applyAlignment="1" applyBorder="1" applyFont="1" applyNumberFormat="1">
      <alignment readingOrder="0"/>
    </xf>
    <xf borderId="1" fillId="4" fontId="10" numFmtId="167" xfId="0" applyAlignment="1" applyBorder="1" applyFont="1" applyNumberFormat="1">
      <alignment readingOrder="0"/>
    </xf>
    <xf borderId="8" fillId="6" fontId="2" numFmtId="0" xfId="0" applyAlignment="1" applyBorder="1" applyFont="1">
      <alignment readingOrder="0"/>
    </xf>
    <xf borderId="2" fillId="6" fontId="6" numFmtId="0" xfId="0" applyAlignment="1" applyBorder="1" applyFont="1">
      <alignment readingOrder="0"/>
    </xf>
    <xf borderId="7" fillId="0" fontId="3" numFmtId="0" xfId="0" applyAlignment="1" applyBorder="1" applyFont="1">
      <alignment readingOrder="0"/>
    </xf>
    <xf borderId="2" fillId="6" fontId="6" numFmtId="167" xfId="0" applyAlignment="1" applyBorder="1" applyFont="1" applyNumberFormat="1">
      <alignment readingOrder="0"/>
    </xf>
    <xf borderId="2" fillId="6" fontId="6" numFmtId="0" xfId="0" applyBorder="1" applyFont="1"/>
    <xf borderId="4" fillId="6" fontId="6" numFmtId="0" xfId="0" applyBorder="1" applyFont="1"/>
    <xf borderId="9" fillId="4" fontId="10" numFmtId="167" xfId="0" applyAlignment="1" applyBorder="1" applyFont="1" applyNumberFormat="1">
      <alignment readingOrder="0"/>
    </xf>
    <xf borderId="6" fillId="3" fontId="10" numFmtId="167" xfId="0" applyAlignment="1" applyBorder="1" applyFont="1" applyNumberFormat="1">
      <alignment readingOrder="0"/>
    </xf>
    <xf borderId="0" fillId="3" fontId="10" numFmtId="167" xfId="0" applyAlignment="1" applyFont="1" applyNumberFormat="1">
      <alignment readingOrder="0"/>
    </xf>
    <xf borderId="1" fillId="3" fontId="10" numFmtId="167" xfId="0" applyAlignment="1" applyBorder="1" applyFont="1" applyNumberFormat="1">
      <alignment readingOrder="0"/>
    </xf>
    <xf borderId="4" fillId="2" fontId="6" numFmtId="167" xfId="0" applyAlignment="1" applyBorder="1" applyFont="1" applyNumberFormat="1">
      <alignment readingOrder="0"/>
    </xf>
    <xf borderId="1" fillId="4" fontId="3" numFmtId="0" xfId="0" applyBorder="1" applyFont="1"/>
    <xf borderId="5" fillId="4" fontId="3" numFmtId="0" xfId="0" applyBorder="1" applyFont="1"/>
    <xf borderId="4" fillId="2" fontId="6" numFmtId="0" xfId="0" applyAlignment="1" applyBorder="1" applyFont="1">
      <alignment readingOrder="0"/>
    </xf>
    <xf borderId="0" fillId="0" fontId="3" numFmtId="167" xfId="0" applyAlignment="1" applyFont="1" applyNumberFormat="1">
      <alignment readingOrder="0"/>
    </xf>
    <xf borderId="0" fillId="3" fontId="3" numFmtId="164" xfId="0" applyAlignment="1" applyFont="1" applyNumberFormat="1">
      <alignment readingOrder="0"/>
    </xf>
    <xf borderId="6" fillId="3" fontId="3" numFmtId="164" xfId="0" applyAlignment="1" applyBorder="1" applyFont="1" applyNumberFormat="1">
      <alignment readingOrder="0"/>
    </xf>
    <xf borderId="9" fillId="0" fontId="3" numFmtId="164" xfId="0" applyAlignment="1" applyBorder="1" applyFont="1" applyNumberFormat="1">
      <alignment readingOrder="0"/>
    </xf>
    <xf borderId="8" fillId="8" fontId="2" numFmtId="0" xfId="0" applyAlignment="1" applyBorder="1" applyFill="1" applyFont="1">
      <alignment readingOrder="0"/>
    </xf>
    <xf borderId="2" fillId="8" fontId="6" numFmtId="0" xfId="0" applyAlignment="1" applyBorder="1" applyFont="1">
      <alignment readingOrder="0"/>
    </xf>
    <xf borderId="2" fillId="8" fontId="6" numFmtId="167" xfId="0" applyAlignment="1" applyBorder="1" applyFont="1" applyNumberFormat="1">
      <alignment readingOrder="0"/>
    </xf>
    <xf borderId="4" fillId="8" fontId="6" numFmtId="0" xfId="0" applyBorder="1" applyFont="1"/>
    <xf borderId="2" fillId="6" fontId="6" numFmtId="166" xfId="0" applyAlignment="1" applyBorder="1" applyFont="1" applyNumberFormat="1">
      <alignment readingOrder="0"/>
    </xf>
    <xf borderId="1" fillId="3" fontId="3" numFmtId="0" xfId="0" applyAlignment="1" applyBorder="1" applyFont="1">
      <alignment horizontal="left" readingOrder="0"/>
    </xf>
    <xf borderId="0" fillId="3" fontId="10" numFmtId="166" xfId="0" applyAlignment="1" applyFont="1" applyNumberFormat="1">
      <alignment readingOrder="0"/>
    </xf>
    <xf borderId="6" fillId="3" fontId="10" numFmtId="166" xfId="0" applyAlignment="1" applyBorder="1" applyFont="1" applyNumberFormat="1">
      <alignment readingOrder="0"/>
    </xf>
    <xf borderId="1" fillId="3" fontId="10" numFmtId="166" xfId="0" applyAlignment="1" applyBorder="1" applyFont="1" applyNumberFormat="1">
      <alignment readingOrder="0"/>
    </xf>
    <xf borderId="6" fillId="4" fontId="3" numFmtId="0" xfId="0" applyAlignment="1" applyBorder="1" applyFont="1">
      <alignment readingOrder="0"/>
    </xf>
    <xf borderId="3" fillId="3" fontId="3" numFmtId="0" xfId="0" applyAlignment="1" applyBorder="1" applyFont="1">
      <alignment readingOrder="0"/>
    </xf>
    <xf borderId="6" fillId="4" fontId="3" numFmtId="49" xfId="0" applyAlignment="1" applyBorder="1" applyFont="1" applyNumberFormat="1">
      <alignment readingOrder="0"/>
    </xf>
    <xf borderId="6" fillId="4" fontId="3" numFmtId="0" xfId="0" applyBorder="1" applyFont="1"/>
    <xf borderId="7" fillId="4" fontId="3" numFmtId="0" xfId="0" applyBorder="1" applyFont="1"/>
    <xf borderId="8" fillId="2" fontId="6" numFmtId="166" xfId="0" applyAlignment="1" applyBorder="1" applyFont="1" applyNumberFormat="1">
      <alignment readingOrder="0"/>
    </xf>
    <xf borderId="2" fillId="2" fontId="6" numFmtId="0" xfId="0" applyBorder="1" applyFont="1"/>
    <xf borderId="6" fillId="4" fontId="12" numFmtId="166" xfId="0" applyAlignment="1" applyBorder="1" applyFont="1" applyNumberFormat="1">
      <alignment horizontal="right" vertical="bottom"/>
    </xf>
    <xf borderId="0" fillId="4" fontId="12" numFmtId="166" xfId="0" applyAlignment="1" applyFont="1" applyNumberFormat="1">
      <alignment horizontal="right" vertical="bottom"/>
    </xf>
    <xf borderId="1" fillId="4" fontId="12" numFmtId="166" xfId="0" applyAlignment="1" applyBorder="1" applyFont="1" applyNumberFormat="1">
      <alignment horizontal="right" vertical="bottom"/>
    </xf>
    <xf borderId="2" fillId="4" fontId="10" numFmtId="166" xfId="0" applyAlignment="1" applyBorder="1" applyFont="1" applyNumberFormat="1">
      <alignment readingOrder="0"/>
    </xf>
    <xf borderId="0" fillId="9" fontId="3" numFmtId="0" xfId="0" applyAlignment="1" applyFill="1" applyFont="1">
      <alignment readingOrder="0"/>
    </xf>
    <xf borderId="0" fillId="9" fontId="3" numFmtId="49" xfId="0" applyAlignment="1" applyFont="1" applyNumberFormat="1">
      <alignment readingOrder="0"/>
    </xf>
    <xf borderId="0" fillId="9" fontId="3" numFmtId="0" xfId="0" applyFont="1"/>
    <xf borderId="3" fillId="9" fontId="3" numFmtId="0" xfId="0" applyBorder="1" applyFont="1"/>
    <xf borderId="0" fillId="9" fontId="5" numFmtId="0" xfId="0" applyAlignment="1" applyFont="1">
      <alignment readingOrder="0" vertical="bottom"/>
    </xf>
    <xf borderId="1" fillId="9" fontId="3" numFmtId="0" xfId="0" applyAlignment="1" applyBorder="1" applyFont="1">
      <alignment readingOrder="0"/>
    </xf>
    <xf borderId="1" fillId="9" fontId="3" numFmtId="49" xfId="0" applyAlignment="1" applyBorder="1" applyFont="1" applyNumberFormat="1">
      <alignment readingOrder="0"/>
    </xf>
    <xf borderId="1" fillId="9" fontId="3" numFmtId="0" xfId="0" applyBorder="1" applyFont="1"/>
    <xf borderId="5" fillId="9" fontId="3" numFmtId="0" xfId="0" applyBorder="1" applyFont="1"/>
    <xf borderId="9" fillId="4" fontId="10" numFmtId="166" xfId="0" applyAlignment="1" applyBorder="1" applyFont="1" applyNumberFormat="1">
      <alignment readingOrder="0"/>
    </xf>
    <xf borderId="6" fillId="2" fontId="6" numFmtId="166" xfId="0" applyAlignment="1" applyBorder="1" applyFont="1" applyNumberFormat="1">
      <alignment readingOrder="0"/>
    </xf>
    <xf borderId="0" fillId="2" fontId="6" numFmtId="166" xfId="0" applyAlignment="1" applyFont="1" applyNumberFormat="1">
      <alignment readingOrder="0"/>
    </xf>
    <xf borderId="1" fillId="2" fontId="6" numFmtId="166" xfId="0" applyAlignment="1" applyBorder="1" applyFont="1" applyNumberFormat="1">
      <alignment readingOrder="0"/>
    </xf>
    <xf borderId="2" fillId="7" fontId="13" numFmtId="0" xfId="0" applyAlignment="1" applyBorder="1" applyFont="1">
      <alignment readingOrder="0"/>
    </xf>
    <xf borderId="4" fillId="2" fontId="14" numFmtId="0" xfId="0" applyAlignment="1" applyBorder="1" applyFont="1">
      <alignment readingOrder="0"/>
    </xf>
    <xf borderId="5" fillId="0" fontId="3" numFmtId="0" xfId="0" applyAlignment="1" applyBorder="1" applyFont="1">
      <alignment readingOrder="0"/>
    </xf>
    <xf borderId="6" fillId="4" fontId="6" numFmtId="0" xfId="0" applyBorder="1" applyFont="1"/>
    <xf borderId="6" fillId="6" fontId="6" numFmtId="166" xfId="0" applyAlignment="1" applyBorder="1" applyFont="1" applyNumberFormat="1">
      <alignment readingOrder="0"/>
    </xf>
    <xf borderId="0" fillId="6" fontId="6" numFmtId="166" xfId="0" applyAlignment="1" applyFont="1" applyNumberFormat="1">
      <alignment readingOrder="0"/>
    </xf>
    <xf borderId="2" fillId="6" fontId="15" numFmtId="0" xfId="0" applyAlignment="1" applyBorder="1" applyFont="1">
      <alignment readingOrder="0"/>
    </xf>
    <xf borderId="1" fillId="6" fontId="6" numFmtId="166" xfId="0" applyAlignment="1" applyBorder="1" applyFont="1" applyNumberFormat="1">
      <alignment readingOrder="0"/>
    </xf>
    <xf borderId="8" fillId="10" fontId="2" numFmtId="0" xfId="0" applyAlignment="1" applyBorder="1" applyFill="1" applyFont="1">
      <alignment readingOrder="0"/>
    </xf>
    <xf borderId="2" fillId="10" fontId="6" numFmtId="0" xfId="0" applyAlignment="1" applyBorder="1" applyFont="1">
      <alignment readingOrder="0"/>
    </xf>
    <xf borderId="6" fillId="10" fontId="6" numFmtId="166" xfId="0" applyAlignment="1" applyBorder="1" applyFont="1" applyNumberFormat="1">
      <alignment readingOrder="0"/>
    </xf>
    <xf borderId="0" fillId="0" fontId="3" numFmtId="0" xfId="0" applyAlignment="1" applyFont="1">
      <alignment horizontal="left" readingOrder="0" shrinkToFit="0" vertical="center" wrapText="1"/>
    </xf>
    <xf borderId="0" fillId="10" fontId="6" numFmtId="166" xfId="0" applyAlignment="1" applyFont="1" applyNumberFormat="1">
      <alignment readingOrder="0"/>
    </xf>
    <xf borderId="2" fillId="10" fontId="6" numFmtId="166" xfId="0" applyAlignment="1" applyBorder="1" applyFont="1" applyNumberFormat="1">
      <alignment readingOrder="0"/>
    </xf>
    <xf borderId="2" fillId="10" fontId="16" numFmtId="0" xfId="0" applyAlignment="1" applyBorder="1" applyFont="1">
      <alignment readingOrder="0"/>
    </xf>
    <xf borderId="4" fillId="10" fontId="17" numFmtId="0" xfId="0" applyAlignment="1" applyBorder="1" applyFont="1">
      <alignment readingOrder="0"/>
    </xf>
    <xf borderId="1" fillId="10" fontId="6" numFmtId="166" xfId="0" applyAlignment="1" applyBorder="1" applyFont="1" applyNumberFormat="1">
      <alignment readingOrder="0"/>
    </xf>
    <xf borderId="0" fillId="4" fontId="6" numFmtId="0" xfId="0" applyAlignment="1" applyFont="1">
      <alignment readingOrder="0"/>
    </xf>
    <xf borderId="6" fillId="2" fontId="6" numFmtId="167" xfId="0" applyAlignment="1" applyBorder="1" applyFont="1" applyNumberFormat="1">
      <alignment readingOrder="0"/>
    </xf>
    <xf borderId="0" fillId="2" fontId="6" numFmtId="167" xfId="0" applyAlignment="1" applyFont="1" applyNumberFormat="1">
      <alignment readingOrder="0"/>
    </xf>
    <xf borderId="1" fillId="2" fontId="6" numFmtId="167" xfId="0" applyAlignment="1" applyBorder="1" applyFont="1" applyNumberFormat="1">
      <alignment readingOrder="0"/>
    </xf>
    <xf borderId="0" fillId="3" fontId="3" numFmtId="0" xfId="0" applyAlignment="1" applyFont="1">
      <alignment readingOrder="0"/>
    </xf>
    <xf borderId="0" fillId="0" fontId="3" numFmtId="0" xfId="0" applyAlignment="1" applyFont="1">
      <alignment readingOrder="0"/>
    </xf>
    <xf borderId="1" fillId="3" fontId="3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8" fillId="2" fontId="6" numFmtId="167" xfId="0" applyAlignment="1" applyBorder="1" applyFont="1" applyNumberFormat="1">
      <alignment readingOrder="0"/>
    </xf>
    <xf borderId="6" fillId="8" fontId="6" numFmtId="166" xfId="0" applyAlignment="1" applyBorder="1" applyFont="1" applyNumberFormat="1">
      <alignment readingOrder="0"/>
    </xf>
    <xf borderId="6" fillId="0" fontId="3" numFmtId="0" xfId="0" applyAlignment="1" applyBorder="1" applyFont="1">
      <alignment readingOrder="0"/>
    </xf>
    <xf borderId="0" fillId="8" fontId="6" numFmtId="166" xfId="0" applyAlignment="1" applyFont="1" applyNumberFormat="1">
      <alignment readingOrder="0"/>
    </xf>
    <xf borderId="2" fillId="8" fontId="6" numFmtId="166" xfId="0" applyAlignment="1" applyBorder="1" applyFont="1" applyNumberFormat="1">
      <alignment readingOrder="0"/>
    </xf>
    <xf borderId="2" fillId="8" fontId="6" numFmtId="0" xfId="0" applyBorder="1" applyFont="1"/>
    <xf borderId="1" fillId="8" fontId="6" numFmtId="166" xfId="0" applyAlignment="1" applyBorder="1" applyFont="1" applyNumberFormat="1">
      <alignment readingOrder="0"/>
    </xf>
    <xf borderId="6" fillId="0" fontId="5" numFmtId="0" xfId="0" applyAlignment="1" applyBorder="1" applyFont="1">
      <alignment vertical="bottom"/>
    </xf>
    <xf borderId="0" fillId="0" fontId="3" numFmtId="166" xfId="0" applyFont="1" applyNumberFormat="1"/>
    <xf borderId="6" fillId="3" fontId="5" numFmtId="0" xfId="0" applyAlignment="1" applyBorder="1" applyFont="1">
      <alignment vertical="bottom"/>
    </xf>
    <xf borderId="10" fillId="2" fontId="2" numFmtId="0" xfId="0" applyAlignment="1" applyBorder="1" applyFont="1">
      <alignment readingOrder="0"/>
    </xf>
    <xf borderId="6" fillId="2" fontId="2" numFmtId="0" xfId="0" applyAlignment="1" applyBorder="1" applyFont="1">
      <alignment readingOrder="0"/>
    </xf>
    <xf borderId="0" fillId="2" fontId="2" numFmtId="0" xfId="0" applyAlignment="1" applyFont="1">
      <alignment readingOrder="0"/>
    </xf>
    <xf borderId="1" fillId="2" fontId="2" numFmtId="0" xfId="0" applyAlignment="1" applyBorder="1" applyFont="1">
      <alignment readingOrder="0"/>
    </xf>
    <xf borderId="6" fillId="4" fontId="3" numFmtId="166" xfId="0" applyAlignment="1" applyBorder="1" applyFont="1" applyNumberFormat="1">
      <alignment readingOrder="0"/>
    </xf>
    <xf borderId="6" fillId="4" fontId="3" numFmtId="0" xfId="0" applyBorder="1" applyFont="1"/>
    <xf borderId="0" fillId="4" fontId="3" numFmtId="166" xfId="0" applyAlignment="1" applyFont="1" applyNumberFormat="1">
      <alignment readingOrder="0"/>
    </xf>
    <xf borderId="0" fillId="4" fontId="3" numFmtId="0" xfId="0" applyFont="1"/>
    <xf borderId="0" fillId="4" fontId="3" numFmtId="0" xfId="0" applyAlignment="1" applyFont="1">
      <alignment readingOrder="0"/>
    </xf>
    <xf borderId="1" fillId="4" fontId="3" numFmtId="166" xfId="0" applyAlignment="1" applyBorder="1" applyFont="1" applyNumberFormat="1">
      <alignment readingOrder="0"/>
    </xf>
    <xf borderId="6" fillId="4" fontId="5" numFmtId="0" xfId="0" applyAlignment="1" applyBorder="1" applyFont="1">
      <alignment vertical="bottom"/>
    </xf>
    <xf borderId="1" fillId="4" fontId="3" numFmtId="0" xfId="0" applyBorder="1" applyFont="1"/>
    <xf borderId="8" fillId="7" fontId="2" numFmtId="0" xfId="0" applyBorder="1" applyFont="1"/>
    <xf borderId="8" fillId="7" fontId="6" numFmtId="166" xfId="0" applyAlignment="1" applyBorder="1" applyFont="1" applyNumberFormat="1">
      <alignment readingOrder="0"/>
    </xf>
    <xf borderId="2" fillId="7" fontId="2" numFmtId="0" xfId="0" applyBorder="1" applyFont="1"/>
    <xf borderId="2" fillId="7" fontId="6" numFmtId="166" xfId="0" applyAlignment="1" applyBorder="1" applyFont="1" applyNumberFormat="1">
      <alignment readingOrder="0"/>
    </xf>
    <xf borderId="4" fillId="7" fontId="2" numFmtId="0" xfId="0" applyBorder="1" applyFont="1"/>
    <xf borderId="4" fillId="7" fontId="6" numFmtId="166" xfId="0" applyAlignment="1" applyBorder="1" applyFont="1" applyNumberFormat="1">
      <alignment readingOrder="0"/>
    </xf>
    <xf borderId="6" fillId="0" fontId="3" numFmtId="165" xfId="0" applyAlignment="1" applyBorder="1" applyFont="1" applyNumberFormat="1">
      <alignment readingOrder="0"/>
    </xf>
    <xf borderId="0" fillId="0" fontId="3" numFmtId="165" xfId="0" applyAlignment="1" applyFont="1" applyNumberFormat="1">
      <alignment readingOrder="0"/>
    </xf>
    <xf borderId="1" fillId="0" fontId="3" numFmtId="165" xfId="0" applyAlignment="1" applyBorder="1" applyFont="1" applyNumberFormat="1">
      <alignment readingOrder="0"/>
    </xf>
    <xf borderId="8" fillId="3" fontId="5" numFmtId="0" xfId="0" applyAlignment="1" applyBorder="1" applyFont="1">
      <alignment vertical="bottom"/>
    </xf>
    <xf borderId="2" fillId="3" fontId="5" numFmtId="0" xfId="0" applyAlignment="1" applyBorder="1" applyFont="1">
      <alignment vertical="bottom"/>
    </xf>
    <xf borderId="2" fillId="0" fontId="5" numFmtId="0" xfId="0" applyAlignment="1" applyBorder="1" applyFont="1">
      <alignment vertical="bottom"/>
    </xf>
    <xf borderId="0" fillId="2" fontId="18" numFmtId="0" xfId="0" applyAlignment="1" applyFont="1">
      <alignment readingOrder="0"/>
    </xf>
    <xf borderId="2" fillId="3" fontId="3" numFmtId="0" xfId="0" applyBorder="1" applyFont="1"/>
    <xf borderId="2" fillId="0" fontId="3" numFmtId="0" xfId="0" applyBorder="1" applyFont="1"/>
    <xf borderId="4" fillId="3" fontId="5" numFmtId="0" xfId="0" applyAlignment="1" applyBorder="1" applyFont="1">
      <alignment vertical="bottom"/>
    </xf>
    <xf borderId="8" fillId="0" fontId="5" numFmtId="0" xfId="0" applyAlignment="1" applyBorder="1" applyFont="1">
      <alignment vertical="bottom"/>
    </xf>
    <xf borderId="0" fillId="2" fontId="6" numFmtId="165" xfId="0" applyAlignment="1" applyFont="1" applyNumberFormat="1">
      <alignment readingOrder="0"/>
    </xf>
    <xf borderId="2" fillId="0" fontId="3" numFmtId="0" xfId="0" applyAlignment="1" applyBorder="1" applyFont="1">
      <alignment readingOrder="0"/>
    </xf>
    <xf borderId="2" fillId="3" fontId="3" numFmtId="0" xfId="0" applyAlignment="1" applyBorder="1" applyFont="1">
      <alignment readingOrder="0"/>
    </xf>
    <xf borderId="2" fillId="3" fontId="5" numFmtId="0" xfId="0" applyAlignment="1" applyBorder="1" applyFont="1">
      <alignment vertical="bottom"/>
    </xf>
    <xf borderId="9" fillId="0" fontId="5" numFmtId="0" xfId="0" applyAlignment="1" applyBorder="1" applyFont="1">
      <alignment vertical="bottom"/>
    </xf>
    <xf borderId="2" fillId="2" fontId="6" numFmtId="0" xfId="0" applyAlignment="1" applyBorder="1" applyFont="1">
      <alignment readingOrder="0"/>
    </xf>
    <xf borderId="6" fillId="2" fontId="6" numFmtId="165" xfId="0" applyAlignment="1" applyBorder="1" applyFont="1" applyNumberFormat="1">
      <alignment readingOrder="0"/>
    </xf>
    <xf borderId="1" fillId="2" fontId="6" numFmtId="165" xfId="0" applyAlignment="1" applyBorder="1" applyFont="1" applyNumberFormat="1">
      <alignment readingOrder="0"/>
    </xf>
    <xf borderId="6" fillId="3" fontId="3" numFmtId="0" xfId="0" applyAlignment="1" applyBorder="1" applyFont="1">
      <alignment readingOrder="0"/>
    </xf>
    <xf borderId="0" fillId="0" fontId="3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0" fontId="6" numFmtId="166" xfId="0" applyAlignment="1" applyFont="1" applyNumberFormat="1">
      <alignment readingOrder="0"/>
    </xf>
    <xf borderId="0" fillId="11" fontId="19" numFmtId="0" xfId="0" applyAlignment="1" applyFill="1" applyFont="1">
      <alignment readingOrder="0"/>
    </xf>
    <xf borderId="0" fillId="11" fontId="20" numFmtId="0" xfId="0" applyAlignment="1" applyFont="1">
      <alignment readingOrder="0"/>
    </xf>
    <xf borderId="0" fillId="11" fontId="20" numFmtId="166" xfId="0" applyAlignment="1" applyFont="1" applyNumberFormat="1">
      <alignment readingOrder="0"/>
    </xf>
    <xf borderId="0" fillId="11" fontId="21" numFmtId="0" xfId="0" applyAlignment="1" applyFont="1">
      <alignment readingOrder="0"/>
    </xf>
    <xf borderId="0" fillId="11" fontId="20" numFmtId="0" xfId="0" applyFont="1"/>
    <xf borderId="0" fillId="12" fontId="2" numFmtId="0" xfId="0" applyAlignment="1" applyFill="1" applyFont="1">
      <alignment readingOrder="0"/>
    </xf>
    <xf borderId="0" fillId="12" fontId="6" numFmtId="0" xfId="0" applyAlignment="1" applyFont="1">
      <alignment readingOrder="0"/>
    </xf>
    <xf borderId="0" fillId="12" fontId="6" numFmtId="166" xfId="0" applyAlignment="1" applyFont="1" applyNumberFormat="1">
      <alignment readingOrder="0"/>
    </xf>
    <xf borderId="0" fillId="12" fontId="22" numFmtId="0" xfId="0" applyAlignment="1" applyFont="1">
      <alignment readingOrder="0"/>
    </xf>
    <xf borderId="0" fillId="12" fontId="6" numFmtId="0" xfId="0" applyFont="1"/>
    <xf borderId="0" fillId="7" fontId="2" numFmtId="0" xfId="0" applyAlignment="1" applyFont="1">
      <alignment readingOrder="0"/>
    </xf>
    <xf borderId="0" fillId="7" fontId="6" numFmtId="0" xfId="0" applyAlignment="1" applyFont="1">
      <alignment readingOrder="0"/>
    </xf>
    <xf borderId="0" fillId="7" fontId="6" numFmtId="166" xfId="0" applyAlignment="1" applyFont="1" applyNumberFormat="1">
      <alignment readingOrder="0"/>
    </xf>
    <xf borderId="0" fillId="7" fontId="23" numFmtId="0" xfId="0" applyAlignment="1" applyFont="1">
      <alignment readingOrder="0"/>
    </xf>
    <xf borderId="0" fillId="7" fontId="6" numFmtId="0" xfId="0" applyFont="1"/>
    <xf borderId="0" fillId="6" fontId="2" numFmtId="0" xfId="0" applyAlignment="1" applyFont="1">
      <alignment readingOrder="0"/>
    </xf>
    <xf borderId="0" fillId="6" fontId="6" numFmtId="0" xfId="0" applyAlignment="1" applyFont="1">
      <alignment readingOrder="0"/>
    </xf>
    <xf borderId="0" fillId="6" fontId="6" numFmtId="0" xfId="0" applyFont="1"/>
    <xf borderId="0" fillId="6" fontId="24" numFmtId="0" xfId="0" applyAlignment="1" applyFont="1">
      <alignment readingOrder="0"/>
    </xf>
    <xf borderId="0" fillId="2" fontId="25" numFmtId="0" xfId="0" applyAlignment="1" applyFont="1">
      <alignment readingOrder="0"/>
    </xf>
    <xf borderId="0" fillId="0" fontId="3" numFmtId="14" xfId="0" applyFont="1" applyNumberFormat="1"/>
    <xf borderId="0" fillId="0" fontId="3" numFmtId="165" xfId="0" applyFont="1" applyNumberFormat="1"/>
    <xf borderId="0" fillId="0" fontId="3" numFmtId="167" xfId="0" applyFont="1" applyNumberFormat="1"/>
    <xf borderId="2" fillId="2" fontId="2" numFmtId="0" xfId="0" applyAlignment="1" applyBorder="1" applyFont="1">
      <alignment horizontal="center" readingOrder="0" vertical="center"/>
    </xf>
    <xf borderId="11" fillId="2" fontId="1" numFmtId="168" xfId="0" applyAlignment="1" applyBorder="1" applyFont="1" applyNumberFormat="1">
      <alignment horizontal="center" readingOrder="0" shrinkToFit="0" vertical="center" wrapText="1"/>
    </xf>
    <xf borderId="0" fillId="2" fontId="2" numFmtId="4" xfId="0" applyAlignment="1" applyFont="1" applyNumberFormat="1">
      <alignment horizontal="center" readingOrder="0" shrinkToFit="0" vertical="center" wrapText="1"/>
    </xf>
    <xf borderId="12" fillId="2" fontId="2" numFmtId="4" xfId="0" applyAlignment="1" applyBorder="1" applyFont="1" applyNumberFormat="1">
      <alignment horizontal="center" readingOrder="0" shrinkToFit="0" vertical="center" wrapText="1"/>
    </xf>
    <xf borderId="12" fillId="2" fontId="1" numFmtId="4" xfId="0" applyAlignment="1" applyBorder="1" applyFont="1" applyNumberFormat="1">
      <alignment horizontal="center" readingOrder="0" shrinkToFit="0" wrapText="1"/>
    </xf>
    <xf borderId="0" fillId="2" fontId="1" numFmtId="169" xfId="0" applyAlignment="1" applyFont="1" applyNumberFormat="1">
      <alignment horizontal="center" readingOrder="0" shrinkToFit="0" wrapText="1"/>
    </xf>
    <xf borderId="11" fillId="2" fontId="2" numFmtId="0" xfId="0" applyAlignment="1" applyBorder="1" applyFont="1">
      <alignment horizontal="center" readingOrder="0" shrinkToFit="0" vertical="center" wrapText="1"/>
    </xf>
    <xf borderId="0" fillId="2" fontId="2" numFmtId="3" xfId="0" applyAlignment="1" applyFont="1" applyNumberFormat="1">
      <alignment horizontal="center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12" fillId="2" fontId="2" numFmtId="3" xfId="0" applyAlignment="1" applyBorder="1" applyFont="1" applyNumberFormat="1">
      <alignment horizontal="center" readingOrder="0" shrinkToFit="0" vertical="center" wrapText="1"/>
    </xf>
    <xf borderId="11" fillId="2" fontId="1" numFmtId="0" xfId="0" applyAlignment="1" applyBorder="1" applyFont="1">
      <alignment horizontal="center" shrinkToFit="0" vertical="center" wrapText="1"/>
    </xf>
    <xf borderId="0" fillId="2" fontId="1" numFmtId="0" xfId="0" applyAlignment="1" applyFont="1">
      <alignment horizontal="center" shrinkToFit="0" vertical="center" wrapText="1"/>
    </xf>
    <xf borderId="12" fillId="2" fontId="1" numFmtId="0" xfId="0" applyAlignment="1" applyBorder="1" applyFont="1">
      <alignment horizontal="center" shrinkToFit="0" vertical="center" wrapText="1"/>
    </xf>
    <xf borderId="13" fillId="13" fontId="2" numFmtId="0" xfId="0" applyAlignment="1" applyBorder="1" applyFill="1" applyFont="1">
      <alignment horizontal="center" readingOrder="0"/>
    </xf>
    <xf borderId="14" fillId="0" fontId="3" numFmtId="0" xfId="0" applyBorder="1" applyFont="1"/>
    <xf borderId="15" fillId="0" fontId="3" numFmtId="0" xfId="0" applyBorder="1" applyFont="1"/>
    <xf borderId="0" fillId="3" fontId="5" numFmtId="170" xfId="0" applyAlignment="1" applyFont="1" applyNumberFormat="1">
      <alignment readingOrder="0" vertical="bottom"/>
    </xf>
    <xf borderId="8" fillId="11" fontId="26" numFmtId="170" xfId="0" applyBorder="1" applyFont="1" applyNumberFormat="1"/>
    <xf borderId="11" fillId="14" fontId="27" numFmtId="168" xfId="0" applyAlignment="1" applyBorder="1" applyFill="1" applyFont="1" applyNumberFormat="1">
      <alignment horizontal="right" vertical="bottom"/>
    </xf>
    <xf borderId="0" fillId="4" fontId="28" numFmtId="3" xfId="0" applyFont="1" applyNumberFormat="1"/>
    <xf borderId="12" fillId="4" fontId="28" numFmtId="3" xfId="0" applyBorder="1" applyFont="1" applyNumberFormat="1"/>
    <xf borderId="15" fillId="0" fontId="29" numFmtId="3" xfId="0" applyAlignment="1" applyBorder="1" applyFont="1" applyNumberFormat="1">
      <alignment horizontal="left" vertical="center"/>
    </xf>
    <xf borderId="0" fillId="0" fontId="29" numFmtId="169" xfId="0" applyAlignment="1" applyFont="1" applyNumberFormat="1">
      <alignment horizontal="left" vertical="center"/>
    </xf>
    <xf borderId="11" fillId="0" fontId="29" numFmtId="10" xfId="0" applyAlignment="1" applyBorder="1" applyFont="1" applyNumberFormat="1">
      <alignment horizontal="center" readingOrder="0" vertical="center"/>
    </xf>
    <xf borderId="0" fillId="0" fontId="29" numFmtId="3" xfId="0" applyAlignment="1" applyFont="1" applyNumberFormat="1">
      <alignment horizontal="center" readingOrder="0" vertical="center"/>
    </xf>
    <xf borderId="12" fillId="6" fontId="27" numFmtId="3" xfId="0" applyAlignment="1" applyBorder="1" applyFont="1" applyNumberFormat="1">
      <alignment horizontal="center" vertical="center"/>
    </xf>
    <xf borderId="11" fillId="15" fontId="27" numFmtId="10" xfId="0" applyAlignment="1" applyBorder="1" applyFill="1" applyFont="1" applyNumberFormat="1">
      <alignment horizontal="center" shrinkToFit="0" vertical="center" wrapText="1"/>
    </xf>
    <xf borderId="0" fillId="16" fontId="27" numFmtId="3" xfId="0" applyAlignment="1" applyFill="1" applyFont="1" applyNumberFormat="1">
      <alignment horizontal="center" shrinkToFit="0" vertical="center" wrapText="1"/>
    </xf>
    <xf borderId="0" fillId="17" fontId="27" numFmtId="3" xfId="0" applyAlignment="1" applyFill="1" applyFont="1" applyNumberFormat="1">
      <alignment horizontal="center" shrinkToFit="0" vertical="center" wrapText="1"/>
    </xf>
    <xf borderId="12" fillId="18" fontId="27" numFmtId="3" xfId="0" applyAlignment="1" applyBorder="1" applyFill="1" applyFont="1" applyNumberFormat="1">
      <alignment horizontal="center" shrinkToFit="0" vertical="center" wrapText="1"/>
    </xf>
    <xf borderId="13" fillId="3" fontId="29" numFmtId="0" xfId="0" applyAlignment="1" applyBorder="1" applyFont="1">
      <alignment horizontal="right" readingOrder="0" shrinkToFit="0" vertical="center" wrapText="1"/>
    </xf>
    <xf borderId="14" fillId="0" fontId="29" numFmtId="3" xfId="0" applyAlignment="1" applyBorder="1" applyFont="1" applyNumberFormat="1">
      <alignment horizontal="left" readingOrder="0" vertical="center"/>
    </xf>
    <xf borderId="2" fillId="11" fontId="26" numFmtId="170" xfId="0" applyBorder="1" applyFont="1" applyNumberFormat="1"/>
    <xf borderId="11" fillId="19" fontId="27" numFmtId="168" xfId="0" applyAlignment="1" applyBorder="1" applyFill="1" applyFont="1" applyNumberFormat="1">
      <alignment horizontal="right" readingOrder="0" vertical="bottom"/>
    </xf>
    <xf borderId="11" fillId="0" fontId="3" numFmtId="0" xfId="0" applyBorder="1" applyFont="1"/>
    <xf borderId="12" fillId="0" fontId="3" numFmtId="0" xfId="0" applyBorder="1" applyFont="1"/>
    <xf borderId="11" fillId="3" fontId="29" numFmtId="0" xfId="0" applyAlignment="1" applyBorder="1" applyFont="1">
      <alignment horizontal="right" readingOrder="0" shrinkToFit="0" vertical="center" wrapText="1"/>
    </xf>
    <xf borderId="0" fillId="0" fontId="29" numFmtId="3" xfId="0" applyAlignment="1" applyFont="1" applyNumberFormat="1">
      <alignment horizontal="left" vertical="center"/>
    </xf>
    <xf borderId="12" fillId="0" fontId="29" numFmtId="3" xfId="0" applyAlignment="1" applyBorder="1" applyFont="1" applyNumberFormat="1">
      <alignment horizontal="left" vertical="center"/>
    </xf>
    <xf borderId="11" fillId="0" fontId="29" numFmtId="10" xfId="0" applyAlignment="1" applyBorder="1" applyFont="1" applyNumberFormat="1">
      <alignment horizontal="center" vertical="center"/>
    </xf>
    <xf borderId="0" fillId="0" fontId="29" numFmtId="3" xfId="0" applyAlignment="1" applyFont="1" applyNumberFormat="1">
      <alignment horizontal="center" vertical="center"/>
    </xf>
    <xf borderId="12" fillId="20" fontId="27" numFmtId="3" xfId="0" applyAlignment="1" applyBorder="1" applyFill="1" applyFont="1" applyNumberFormat="1">
      <alignment horizontal="center" vertical="center"/>
    </xf>
    <xf borderId="1" fillId="3" fontId="29" numFmtId="0" xfId="0" applyAlignment="1" applyBorder="1" applyFont="1">
      <alignment horizontal="right" readingOrder="0" shrinkToFit="0" vertical="center" wrapText="1"/>
    </xf>
    <xf borderId="1" fillId="0" fontId="29" numFmtId="10" xfId="0" applyAlignment="1" applyBorder="1" applyFont="1" applyNumberFormat="1">
      <alignment horizontal="left" vertical="center"/>
    </xf>
    <xf borderId="16" fillId="0" fontId="29" numFmtId="168" xfId="0" applyAlignment="1" applyBorder="1" applyFont="1" applyNumberFormat="1">
      <alignment horizontal="left" vertical="center"/>
    </xf>
    <xf borderId="0" fillId="3" fontId="5" numFmtId="14" xfId="0" applyAlignment="1" applyFont="1" applyNumberFormat="1">
      <alignment readingOrder="0" vertical="bottom"/>
    </xf>
    <xf borderId="0" fillId="0" fontId="29" numFmtId="0" xfId="0" applyFont="1"/>
    <xf borderId="17" fillId="0" fontId="3" numFmtId="0" xfId="0" applyBorder="1" applyFont="1"/>
    <xf borderId="4" fillId="11" fontId="26" numFmtId="170" xfId="0" applyBorder="1" applyFont="1" applyNumberFormat="1"/>
    <xf borderId="8" fillId="21" fontId="26" numFmtId="170" xfId="0" applyBorder="1" applyFill="1" applyFont="1" applyNumberFormat="1"/>
    <xf borderId="11" fillId="22" fontId="27" numFmtId="10" xfId="0" applyAlignment="1" applyBorder="1" applyFill="1" applyFont="1" applyNumberFormat="1">
      <alignment horizontal="center" shrinkToFit="0" vertical="center" wrapText="1"/>
    </xf>
    <xf borderId="0" fillId="23" fontId="27" numFmtId="3" xfId="0" applyAlignment="1" applyFill="1" applyFont="1" applyNumberFormat="1">
      <alignment horizontal="center" shrinkToFit="0" vertical="center" wrapText="1"/>
    </xf>
    <xf borderId="0" fillId="24" fontId="27" numFmtId="3" xfId="0" applyAlignment="1" applyFill="1" applyFont="1" applyNumberFormat="1">
      <alignment horizontal="center" shrinkToFit="0" vertical="center" wrapText="1"/>
    </xf>
    <xf borderId="12" fillId="25" fontId="27" numFmtId="3" xfId="0" applyAlignment="1" applyBorder="1" applyFill="1" applyFont="1" applyNumberFormat="1">
      <alignment horizontal="center" shrinkToFit="0" vertical="center" wrapText="1"/>
    </xf>
    <xf borderId="2" fillId="21" fontId="26" numFmtId="170" xfId="0" applyBorder="1" applyFont="1" applyNumberFormat="1"/>
    <xf borderId="18" fillId="0" fontId="3" numFmtId="0" xfId="0" applyBorder="1" applyFont="1"/>
    <xf borderId="4" fillId="21" fontId="26" numFmtId="170" xfId="0" applyBorder="1" applyFont="1" applyNumberFormat="1"/>
    <xf borderId="2" fillId="26" fontId="26" numFmtId="170" xfId="0" applyBorder="1" applyFill="1" applyFont="1" applyNumberFormat="1"/>
    <xf borderId="11" fillId="27" fontId="27" numFmtId="10" xfId="0" applyAlignment="1" applyBorder="1" applyFill="1" applyFont="1" applyNumberFormat="1">
      <alignment horizontal="center" shrinkToFit="0" vertical="center" wrapText="1"/>
    </xf>
    <xf borderId="0" fillId="12" fontId="27" numFmtId="3" xfId="0" applyAlignment="1" applyFont="1" applyNumberFormat="1">
      <alignment horizontal="center" shrinkToFit="0" vertical="center" wrapText="1"/>
    </xf>
    <xf borderId="12" fillId="12" fontId="27" numFmtId="3" xfId="0" applyAlignment="1" applyBorder="1" applyFont="1" applyNumberFormat="1">
      <alignment horizontal="center" shrinkToFit="0" vertical="center" wrapText="1"/>
    </xf>
    <xf borderId="0" fillId="0" fontId="30" numFmtId="0" xfId="0" applyAlignment="1" applyFont="1">
      <alignment readingOrder="0" shrinkToFit="0" wrapText="1"/>
    </xf>
    <xf borderId="0" fillId="0" fontId="30" numFmtId="0" xfId="0" applyAlignment="1" applyFont="1">
      <alignment shrinkToFit="0" wrapText="1"/>
    </xf>
    <xf borderId="2" fillId="28" fontId="26" numFmtId="170" xfId="0" applyBorder="1" applyFill="1" applyFont="1" applyNumberFormat="1"/>
    <xf borderId="11" fillId="29" fontId="27" numFmtId="10" xfId="0" applyAlignment="1" applyBorder="1" applyFill="1" applyFont="1" applyNumberFormat="1">
      <alignment horizontal="center" shrinkToFit="0" vertical="center" wrapText="1"/>
    </xf>
    <xf borderId="0" fillId="30" fontId="27" numFmtId="3" xfId="0" applyAlignment="1" applyFill="1" applyFont="1" applyNumberFormat="1">
      <alignment horizontal="center" shrinkToFit="0" vertical="center" wrapText="1"/>
    </xf>
    <xf borderId="0" fillId="31" fontId="27" numFmtId="3" xfId="0" applyAlignment="1" applyFill="1" applyFont="1" applyNumberFormat="1">
      <alignment horizontal="center" shrinkToFit="0" vertical="center" wrapText="1"/>
    </xf>
    <xf borderId="12" fillId="32" fontId="27" numFmtId="3" xfId="0" applyAlignment="1" applyBorder="1" applyFill="1" applyFont="1" applyNumberFormat="1">
      <alignment horizontal="center" shrinkToFit="0" vertical="center" wrapText="1"/>
    </xf>
    <xf borderId="2" fillId="19" fontId="26" numFmtId="170" xfId="0" applyBorder="1" applyFont="1" applyNumberFormat="1"/>
    <xf borderId="11" fillId="33" fontId="27" numFmtId="10" xfId="0" applyAlignment="1" applyBorder="1" applyFill="1" applyFont="1" applyNumberFormat="1">
      <alignment horizontal="center" shrinkToFit="0" vertical="center" wrapText="1"/>
    </xf>
    <xf borderId="0" fillId="6" fontId="27" numFmtId="3" xfId="0" applyAlignment="1" applyFont="1" applyNumberFormat="1">
      <alignment horizontal="center" shrinkToFit="0" vertical="center" wrapText="1"/>
    </xf>
    <xf borderId="12" fillId="6" fontId="27" numFmtId="3" xfId="0" applyAlignment="1" applyBorder="1" applyFont="1" applyNumberFormat="1">
      <alignment horizontal="center" shrinkToFit="0" vertical="center" wrapText="1"/>
    </xf>
    <xf borderId="11" fillId="0" fontId="5" numFmtId="168" xfId="0" applyAlignment="1" applyBorder="1" applyFont="1" applyNumberFormat="1">
      <alignment vertical="bottom"/>
    </xf>
    <xf borderId="0" fillId="0" fontId="3" numFmtId="4" xfId="0" applyFont="1" applyNumberFormat="1"/>
    <xf borderId="12" fillId="0" fontId="3" numFmtId="4" xfId="0" applyBorder="1" applyFont="1" applyNumberFormat="1"/>
    <xf borderId="11" fillId="0" fontId="3" numFmtId="10" xfId="0" applyAlignment="1" applyBorder="1" applyFont="1" applyNumberFormat="1">
      <alignment horizontal="center" vertical="center"/>
    </xf>
    <xf borderId="0" fillId="0" fontId="3" numFmtId="3" xfId="0" applyAlignment="1" applyFont="1" applyNumberFormat="1">
      <alignment horizontal="center" vertical="center"/>
    </xf>
    <xf borderId="0" fillId="0" fontId="5" numFmtId="10" xfId="0" applyAlignment="1" applyFont="1" applyNumberFormat="1">
      <alignment vertical="bottom"/>
    </xf>
    <xf borderId="12" fillId="0" fontId="5" numFmtId="3" xfId="0" applyAlignment="1" applyBorder="1" applyFont="1" applyNumberFormat="1">
      <alignment horizontal="center" vertical="center"/>
    </xf>
    <xf borderId="11" fillId="0" fontId="5" numFmtId="10" xfId="0" applyAlignment="1" applyBorder="1" applyFont="1" applyNumberFormat="1">
      <alignment horizontal="center" shrinkToFit="0" vertical="center" wrapText="1"/>
    </xf>
    <xf borderId="0" fillId="0" fontId="5" numFmtId="10" xfId="0" applyAlignment="1" applyFont="1" applyNumberFormat="1">
      <alignment horizontal="center" shrinkToFit="0" vertical="center" wrapText="1"/>
    </xf>
    <xf borderId="12" fillId="0" fontId="5" numFmtId="10" xfId="0" applyAlignment="1" applyBorder="1" applyFont="1" applyNumberFormat="1">
      <alignment horizontal="center" shrinkToFit="0" vertical="center" wrapText="1"/>
    </xf>
    <xf borderId="12" fillId="0" fontId="5" numFmtId="4" xfId="0" applyAlignment="1" applyBorder="1" applyFont="1" applyNumberFormat="1">
      <alignment vertical="bottom"/>
    </xf>
    <xf borderId="0" fillId="0" fontId="5" numFmtId="169" xfId="0" applyAlignment="1" applyFont="1" applyNumberFormat="1">
      <alignment vertical="bottom"/>
    </xf>
    <xf borderId="0" fillId="0" fontId="5" numFmtId="168" xfId="0" applyAlignment="1" applyFont="1" applyNumberFormat="1">
      <alignment vertical="bottom"/>
    </xf>
    <xf borderId="0" fillId="0" fontId="5" numFmtId="4" xfId="0" applyAlignment="1" applyFont="1" applyNumberFormat="1">
      <alignment vertical="bottom"/>
    </xf>
    <xf borderId="0" fillId="0" fontId="3" numFmtId="10" xfId="0" applyAlignment="1" applyFont="1" applyNumberFormat="1">
      <alignment horizontal="center" vertical="center"/>
    </xf>
    <xf borderId="0" fillId="0" fontId="5" numFmtId="3" xfId="0" applyAlignment="1" applyFont="1" applyNumberFormat="1">
      <alignment horizontal="center" vertical="center"/>
    </xf>
    <xf borderId="18" fillId="2" fontId="31" numFmtId="0" xfId="0" applyAlignment="1" applyBorder="1" applyFont="1">
      <alignment readingOrder="0"/>
    </xf>
    <xf borderId="19" fillId="2" fontId="31" numFmtId="0" xfId="0" applyAlignment="1" applyBorder="1" applyFont="1">
      <alignment readingOrder="0"/>
    </xf>
    <xf borderId="18" fillId="2" fontId="32" numFmtId="0" xfId="0" applyAlignment="1" applyBorder="1" applyFont="1">
      <alignment readingOrder="0" shrinkToFit="0" wrapText="1"/>
    </xf>
    <xf borderId="20" fillId="3" fontId="29" numFmtId="0" xfId="0" applyAlignment="1" applyBorder="1" applyFont="1">
      <alignment readingOrder="0"/>
    </xf>
    <xf borderId="8" fillId="0" fontId="29" numFmtId="10" xfId="0" applyBorder="1" applyFont="1" applyNumberFormat="1"/>
    <xf borderId="19" fillId="4" fontId="28" numFmtId="3" xfId="0" applyBorder="1" applyFont="1" applyNumberFormat="1"/>
    <xf borderId="3" fillId="0" fontId="29" numFmtId="3" xfId="0" applyBorder="1" applyFont="1" applyNumberFormat="1"/>
    <xf borderId="0" fillId="0" fontId="3" numFmtId="10" xfId="0" applyFont="1" applyNumberFormat="1"/>
    <xf borderId="20" fillId="4" fontId="28" numFmtId="3" xfId="0" applyBorder="1" applyFont="1" applyNumberFormat="1"/>
    <xf borderId="3" fillId="4" fontId="28" numFmtId="3" xfId="0" applyBorder="1" applyFont="1" applyNumberFormat="1"/>
    <xf borderId="21" fillId="3" fontId="29" numFmtId="0" xfId="0" applyAlignment="1" applyBorder="1" applyFont="1">
      <alignment readingOrder="0"/>
    </xf>
    <xf borderId="21" fillId="4" fontId="28" numFmtId="3" xfId="0" applyBorder="1" applyFont="1" applyNumberFormat="1"/>
    <xf borderId="5" fillId="4" fontId="28" numFmtId="3" xfId="0" applyBorder="1" applyFont="1" applyNumberFormat="1"/>
    <xf borderId="5" fillId="0" fontId="29" numFmtId="3" xfId="0" applyBorder="1" applyFont="1" applyNumberFormat="1"/>
    <xf borderId="8" fillId="4" fontId="2" numFmtId="0" xfId="0" applyAlignment="1" applyBorder="1" applyFont="1">
      <alignment horizontal="center" readingOrder="0"/>
    </xf>
    <xf borderId="8" fillId="2" fontId="2" numFmtId="0" xfId="0" applyAlignment="1" applyBorder="1" applyFont="1">
      <alignment horizontal="center" readingOrder="0" shrinkToFit="0" vertical="center" wrapText="1"/>
    </xf>
    <xf borderId="7" fillId="4" fontId="2" numFmtId="0" xfId="0" applyAlignment="1" applyBorder="1" applyFont="1">
      <alignment horizontal="center" readingOrder="0"/>
    </xf>
    <xf borderId="0" fillId="4" fontId="33" numFmtId="0" xfId="0" applyAlignment="1" applyFont="1">
      <alignment readingOrder="0"/>
    </xf>
    <xf borderId="0" fillId="4" fontId="33" numFmtId="0" xfId="0" applyFont="1"/>
    <xf borderId="2" fillId="4" fontId="2" numFmtId="0" xfId="0" applyBorder="1" applyFont="1"/>
    <xf borderId="0" fillId="2" fontId="2" numFmtId="0" xfId="0" applyAlignment="1" applyFont="1">
      <alignment horizontal="center" readingOrder="0"/>
    </xf>
    <xf borderId="3" fillId="2" fontId="2" numFmtId="0" xfId="0" applyAlignment="1" applyBorder="1" applyFont="1">
      <alignment horizontal="center" readingOrder="0"/>
    </xf>
    <xf borderId="0" fillId="4" fontId="2" numFmtId="0" xfId="0" applyFont="1"/>
    <xf borderId="5" fillId="2" fontId="2" numFmtId="0" xfId="0" applyAlignment="1" applyBorder="1" applyFont="1">
      <alignment horizontal="center" readingOrder="0"/>
    </xf>
    <xf borderId="0" fillId="4" fontId="33" numFmtId="171" xfId="0" applyFont="1" applyNumberFormat="1"/>
    <xf borderId="2" fillId="4" fontId="3" numFmtId="0" xfId="0" applyBorder="1" applyFont="1"/>
    <xf borderId="0" fillId="12" fontId="29" numFmtId="0" xfId="0" applyAlignment="1" applyFont="1">
      <alignment readingOrder="0"/>
    </xf>
    <xf borderId="3" fillId="4" fontId="2" numFmtId="0" xfId="0" applyBorder="1" applyFont="1"/>
    <xf borderId="0" fillId="4" fontId="3" numFmtId="171" xfId="0" applyFont="1" applyNumberFormat="1"/>
    <xf borderId="0" fillId="0" fontId="2" numFmtId="0" xfId="0" applyFont="1"/>
    <xf borderId="0" fillId="12" fontId="29" numFmtId="0" xfId="0" applyFont="1"/>
    <xf borderId="0" fillId="4" fontId="33" numFmtId="49" xfId="0" applyFont="1" applyNumberFormat="1"/>
    <xf borderId="1" fillId="12" fontId="29" numFmtId="0" xfId="0" applyBorder="1" applyFont="1"/>
    <xf borderId="5" fillId="4" fontId="2" numFmtId="0" xfId="0" applyBorder="1" applyFont="1"/>
    <xf borderId="1" fillId="2" fontId="2" numFmtId="0" xfId="0" applyAlignment="1" applyBorder="1" applyFont="1">
      <alignment horizontal="right"/>
    </xf>
    <xf borderId="5" fillId="2" fontId="2" numFmtId="0" xfId="0" applyBorder="1" applyFont="1"/>
    <xf borderId="9" fillId="2" fontId="2" numFmtId="0" xfId="0" applyAlignment="1" applyBorder="1" applyFont="1">
      <alignment horizontal="right"/>
    </xf>
    <xf borderId="22" fillId="2" fontId="1" numFmtId="0" xfId="0" applyBorder="1" applyFont="1"/>
    <xf borderId="22" fillId="2" fontId="2" numFmtId="0" xfId="0" applyBorder="1" applyFont="1"/>
    <xf borderId="0" fillId="4" fontId="34" numFmtId="0" xfId="0" applyFont="1"/>
    <xf borderId="0" fillId="2" fontId="35" numFmtId="0" xfId="0" applyAlignment="1" applyFont="1">
      <alignment readingOrder="0"/>
    </xf>
    <xf borderId="18" fillId="3" fontId="29" numFmtId="0" xfId="0" applyAlignment="1" applyBorder="1" applyFont="1">
      <alignment readingOrder="0"/>
    </xf>
    <xf borderId="18" fillId="0" fontId="29" numFmtId="10" xfId="0" applyBorder="1" applyFont="1" applyNumberFormat="1"/>
    <xf borderId="18" fillId="0" fontId="29" numFmtId="3" xfId="0" applyBorder="1" applyFont="1" applyNumberFormat="1"/>
    <xf borderId="18" fillId="12" fontId="27" numFmtId="3" xfId="0" applyAlignment="1" applyBorder="1" applyFont="1" applyNumberFormat="1">
      <alignment horizontal="right" vertical="bottom"/>
    </xf>
    <xf borderId="21" fillId="6" fontId="27" numFmtId="3" xfId="0" applyAlignment="1" applyBorder="1" applyFont="1" applyNumberFormat="1">
      <alignment horizontal="right" vertical="bottom"/>
    </xf>
    <xf borderId="21" fillId="34" fontId="27" numFmtId="3" xfId="0" applyAlignment="1" applyBorder="1" applyFill="1" applyFont="1" applyNumberFormat="1">
      <alignment horizontal="right" vertical="bottom"/>
    </xf>
    <xf borderId="21" fillId="35" fontId="27" numFmtId="3" xfId="0" applyAlignment="1" applyBorder="1" applyFill="1" applyFont="1" applyNumberFormat="1">
      <alignment horizontal="right" vertical="bottom"/>
    </xf>
    <xf borderId="21" fillId="36" fontId="27" numFmtId="3" xfId="0" applyAlignment="1" applyBorder="1" applyFill="1" applyFont="1" applyNumberFormat="1">
      <alignment horizontal="right" vertical="bottom"/>
    </xf>
    <xf borderId="21" fillId="37" fontId="27" numFmtId="3" xfId="0" applyAlignment="1" applyBorder="1" applyFill="1" applyFont="1" applyNumberFormat="1">
      <alignment horizontal="right" vertical="bottom"/>
    </xf>
    <xf borderId="0" fillId="0" fontId="3" numFmtId="3" xfId="0" applyFont="1" applyNumberFormat="1"/>
    <xf borderId="0" fillId="2" fontId="36" numFmtId="0" xfId="0" applyAlignment="1" applyFont="1">
      <alignment horizontal="center" readingOrder="0" vertical="center"/>
    </xf>
    <xf borderId="0" fillId="4" fontId="36" numFmtId="0" xfId="0" applyFont="1"/>
    <xf borderId="0" fillId="6" fontId="36" numFmtId="0" xfId="0" applyAlignment="1" applyFont="1">
      <alignment readingOrder="0"/>
    </xf>
    <xf borderId="0" fillId="6" fontId="37" numFmtId="0" xfId="0" applyAlignment="1" applyFont="1">
      <alignment horizontal="center" readingOrder="0" vertical="center"/>
    </xf>
    <xf borderId="0" fillId="11" fontId="29" numFmtId="0" xfId="0" applyFont="1"/>
    <xf borderId="0" fillId="6" fontId="29" numFmtId="0" xfId="0" applyFont="1"/>
    <xf borderId="0" fillId="4" fontId="29" numFmtId="0" xfId="0" applyFont="1"/>
    <xf borderId="0" fillId="3" fontId="29" numFmtId="0" xfId="0" applyAlignment="1" applyFont="1">
      <alignment readingOrder="0"/>
    </xf>
    <xf borderId="0" fillId="0" fontId="29" numFmtId="10" xfId="0" applyFont="1" applyNumberFormat="1"/>
    <xf borderId="0" fillId="8" fontId="37" numFmtId="0" xfId="0" applyAlignment="1" applyFont="1">
      <alignment horizontal="center" readingOrder="0" vertical="center"/>
    </xf>
    <xf borderId="0" fillId="4" fontId="37" numFmtId="0" xfId="0" applyAlignment="1" applyFont="1">
      <alignment horizontal="center" readingOrder="0" vertical="center"/>
    </xf>
    <xf borderId="0" fillId="11" fontId="29" numFmtId="0" xfId="0" applyFont="1"/>
    <xf borderId="0" fillId="8" fontId="29" numFmtId="0" xfId="0" applyFont="1"/>
    <xf borderId="8" fillId="11" fontId="29" numFmtId="0" xfId="0" applyBorder="1" applyFont="1"/>
    <xf borderId="2" fillId="3" fontId="29" numFmtId="0" xfId="0" applyAlignment="1" applyBorder="1" applyFont="1">
      <alignment readingOrder="0"/>
    </xf>
    <xf borderId="3" fillId="0" fontId="29" numFmtId="10" xfId="0" applyBorder="1" applyFont="1" applyNumberFormat="1"/>
    <xf borderId="4" fillId="3" fontId="29" numFmtId="0" xfId="0" applyAlignment="1" applyBorder="1" applyFont="1">
      <alignment readingOrder="0"/>
    </xf>
    <xf borderId="5" fillId="0" fontId="29" numFmtId="10" xfId="0" applyBorder="1" applyFont="1" applyNumberFormat="1"/>
    <xf borderId="0" fillId="25" fontId="37" numFmtId="0" xfId="0" applyAlignment="1" applyFont="1">
      <alignment horizontal="center" readingOrder="0" vertical="center"/>
    </xf>
    <xf borderId="0" fillId="25" fontId="29" numFmtId="0" xfId="0" applyFont="1"/>
    <xf borderId="23" fillId="13" fontId="36" numFmtId="0" xfId="0" applyAlignment="1" applyBorder="1" applyFont="1">
      <alignment horizontal="center" readingOrder="0" vertical="center"/>
    </xf>
    <xf borderId="24" fillId="13" fontId="36" numFmtId="0" xfId="0" applyAlignment="1" applyBorder="1" applyFont="1">
      <alignment horizontal="center" readingOrder="0" vertical="center"/>
    </xf>
    <xf borderId="24" fillId="0" fontId="3" numFmtId="0" xfId="0" applyBorder="1" applyFont="1"/>
    <xf borderId="25" fillId="0" fontId="3" numFmtId="0" xfId="0" applyBorder="1" applyFont="1"/>
    <xf borderId="26" fillId="13" fontId="2" numFmtId="0" xfId="0" applyAlignment="1" applyBorder="1" applyFont="1">
      <alignment horizontal="center" readingOrder="0" shrinkToFit="0" vertical="center" wrapText="1"/>
    </xf>
    <xf borderId="27" fillId="13" fontId="2" numFmtId="49" xfId="0" applyAlignment="1" applyBorder="1" applyFont="1" applyNumberFormat="1">
      <alignment horizontal="center" readingOrder="0" vertical="center"/>
    </xf>
    <xf borderId="26" fillId="13" fontId="2" numFmtId="0" xfId="0" applyAlignment="1" applyBorder="1" applyFont="1">
      <alignment horizontal="center" readingOrder="0" vertical="center"/>
    </xf>
    <xf borderId="28" fillId="13" fontId="2" numFmtId="0" xfId="0" applyAlignment="1" applyBorder="1" applyFont="1">
      <alignment horizontal="center" readingOrder="0" vertical="center"/>
    </xf>
    <xf borderId="29" fillId="13" fontId="2" numFmtId="0" xfId="0" applyAlignment="1" applyBorder="1" applyFont="1">
      <alignment horizontal="center" readingOrder="0" vertical="center"/>
    </xf>
    <xf borderId="20" fillId="3" fontId="38" numFmtId="0" xfId="0" applyAlignment="1" applyBorder="1" applyFont="1">
      <alignment readingOrder="0"/>
    </xf>
    <xf borderId="2" fillId="3" fontId="38" numFmtId="49" xfId="0" applyAlignment="1" applyBorder="1" applyFont="1" applyNumberFormat="1">
      <alignment readingOrder="0"/>
    </xf>
    <xf borderId="30" fillId="4" fontId="28" numFmtId="168" xfId="0" applyAlignment="1" applyBorder="1" applyFont="1" applyNumberFormat="1">
      <alignment horizontal="center" vertical="center"/>
    </xf>
    <xf borderId="0" fillId="4" fontId="28" numFmtId="0" xfId="0" applyAlignment="1" applyFont="1">
      <alignment horizontal="center" vertical="center"/>
    </xf>
    <xf borderId="31" fillId="3" fontId="28" numFmtId="3" xfId="0" applyAlignment="1" applyBorder="1" applyFont="1" applyNumberFormat="1">
      <alignment horizontal="center" vertical="center"/>
    </xf>
    <xf borderId="11" fillId="4" fontId="28" numFmtId="10" xfId="0" applyAlignment="1" applyBorder="1" applyFont="1" applyNumberFormat="1">
      <alignment horizontal="center" vertical="center"/>
    </xf>
    <xf borderId="12" fillId="3" fontId="28" numFmtId="0" xfId="0" applyAlignment="1" applyBorder="1" applyFont="1">
      <alignment horizontal="center" vertical="center"/>
    </xf>
    <xf borderId="0" fillId="2" fontId="39" numFmtId="0" xfId="0" applyAlignment="1" applyFont="1">
      <alignment horizontal="center" shrinkToFit="0" vertical="center" wrapText="1"/>
    </xf>
    <xf borderId="0" fillId="2" fontId="39" numFmtId="164" xfId="0" applyAlignment="1" applyFont="1" applyNumberFormat="1">
      <alignment horizontal="center" shrinkToFit="0" vertical="center" wrapText="1"/>
    </xf>
    <xf borderId="0" fillId="2" fontId="39" numFmtId="49" xfId="0" applyAlignment="1" applyFont="1" applyNumberFormat="1">
      <alignment horizontal="center" shrinkToFit="0" vertical="center" wrapText="1"/>
    </xf>
    <xf borderId="32" fillId="0" fontId="3" numFmtId="0" xfId="0" applyBorder="1" applyFont="1"/>
    <xf borderId="33" fillId="0" fontId="3" numFmtId="166" xfId="0" applyBorder="1" applyFont="1" applyNumberFormat="1"/>
    <xf borderId="34" fillId="0" fontId="3" numFmtId="0" xfId="0" applyBorder="1" applyFont="1"/>
    <xf borderId="34" fillId="0" fontId="3" numFmtId="49" xfId="0" applyBorder="1" applyFont="1" applyNumberFormat="1"/>
    <xf borderId="33" fillId="0" fontId="3" numFmtId="0" xfId="0" applyBorder="1" applyFont="1"/>
    <xf borderId="35" fillId="0" fontId="3" numFmtId="0" xfId="0" applyBorder="1" applyFont="1"/>
    <xf borderId="36" fillId="0" fontId="3" numFmtId="166" xfId="0" applyBorder="1" applyFont="1" applyNumberFormat="1"/>
    <xf borderId="36" fillId="0" fontId="3" numFmtId="0" xfId="0" applyBorder="1" applyFont="1"/>
    <xf borderId="37" fillId="0" fontId="3" numFmtId="0" xfId="0" applyBorder="1" applyFont="1"/>
    <xf borderId="38" fillId="0" fontId="3" numFmtId="166" xfId="0" applyBorder="1" applyFont="1" applyNumberFormat="1"/>
    <xf borderId="39" fillId="0" fontId="3" numFmtId="0" xfId="0" applyBorder="1" applyFont="1"/>
    <xf borderId="39" fillId="0" fontId="3" numFmtId="49" xfId="0" applyBorder="1" applyFont="1" applyNumberFormat="1"/>
    <xf borderId="38" fillId="0" fontId="3" numFmtId="0" xfId="0" applyBorder="1" applyFont="1"/>
    <xf borderId="0" fillId="0" fontId="3" numFmtId="14" xfId="0" applyAlignment="1" applyFont="1" applyNumberFormat="1">
      <alignment readingOrder="0"/>
    </xf>
    <xf borderId="0" fillId="2" fontId="6" numFmtId="14" xfId="0" applyAlignment="1" applyFont="1" applyNumberFormat="1">
      <alignment readingOrder="0"/>
    </xf>
    <xf borderId="0" fillId="3" fontId="3" numFmtId="14" xfId="0" applyAlignment="1" applyFont="1" applyNumberFormat="1">
      <alignment readingOrder="0"/>
    </xf>
    <xf borderId="0" fillId="3" fontId="33" numFmtId="0" xfId="0" applyFont="1"/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>
        <b/>
        <color rgb="FF000000"/>
      </font>
      <fill>
        <patternFill patternType="solid">
          <fgColor rgb="FFD9D9D9"/>
          <bgColor rgb="FFD9D9D9"/>
        </patternFill>
      </fill>
      <border/>
    </dxf>
    <dxf>
      <font>
        <b/>
        <color rgb="FFFFFFFF"/>
      </font>
      <fill>
        <patternFill patternType="solid">
          <fgColor rgb="FF0000FF"/>
          <bgColor rgb="FF0000FF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strRef>
              <c:f>Improvement!$C$1</c:f>
            </c:strRef>
          </c:tx>
          <c:spPr>
            <a:solidFill>
              <a:srgbClr val="FFFF00">
                <a:alpha val="30000"/>
              </a:srgbClr>
            </a:solidFill>
            <a:ln cmpd="sng" w="19050">
              <a:solidFill>
                <a:srgbClr val="FFFF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FFFF00">
                    <a:alpha val="4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Improvement!$B$2:$B$994</c:f>
            </c:strRef>
          </c:cat>
          <c:val>
            <c:numRef>
              <c:f>Improvement!$C$2:$C$994</c:f>
              <c:numCache/>
            </c:numRef>
          </c:val>
        </c:ser>
        <c:axId val="5168160"/>
        <c:axId val="1168757535"/>
      </c:areaChart>
      <c:catAx>
        <c:axId val="516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1168757535"/>
      </c:catAx>
      <c:valAx>
        <c:axId val="11687575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Win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5168160"/>
      </c:valAx>
    </c:plotArea>
    <c:legend>
      <c:legendPos val="tr"/>
      <c:overlay val="1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Sets Played</c:v>
          </c:tx>
          <c:spPr>
            <a:solidFill>
              <a:srgbClr val="0000FF">
                <a:alpha val="30000"/>
              </a:srgbClr>
            </a:solidFill>
            <a:ln cmpd="sng" w="19050">
              <a:solidFill>
                <a:srgbClr val="0000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cat>
            <c:strRef>
              <c:f>Improvement!$B$2:$B$996</c:f>
            </c:strRef>
          </c:cat>
          <c:val>
            <c:numRef>
              <c:f>Improvement!$F$2:$F$996</c:f>
              <c:numCache/>
            </c:numRef>
          </c:val>
        </c:ser>
        <c:ser>
          <c:idx val="1"/>
          <c:order val="1"/>
          <c:tx>
            <c:v>Tournaments Entered</c:v>
          </c:tx>
          <c:spPr>
            <a:solidFill>
              <a:srgbClr val="FF0000">
                <a:alpha val="30000"/>
              </a:srgbClr>
            </a:solidFill>
            <a:ln cmpd="sng">
              <a:solidFill>
                <a:srgbClr val="FF00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B7B7B7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Improvement!$B$2:$B$996</c:f>
            </c:strRef>
          </c:cat>
          <c:val>
            <c:numRef>
              <c:f>Improvement!$G$2:$G$996</c:f>
              <c:numCache/>
            </c:numRef>
          </c:val>
        </c:ser>
        <c:axId val="1988262858"/>
        <c:axId val="512873432"/>
      </c:areaChart>
      <c:catAx>
        <c:axId val="19882628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512873432"/>
      </c:catAx>
      <c:valAx>
        <c:axId val="512873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Win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1988262858"/>
      </c:valAx>
    </c:plotArea>
    <c:legend>
      <c:legendPos val="tr"/>
      <c:overlay val="1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FFFFFF"/>
                </a:solidFill>
                <a:latin typeface="Roboto"/>
              </a:defRPr>
            </a:pPr>
            <a:r>
              <a:rPr b="1" sz="1600">
                <a:solidFill>
                  <a:srgbClr val="FFFFFF"/>
                </a:solidFill>
                <a:latin typeface="Roboto"/>
              </a:rPr>
              <a:t>Year 1 - Set Win % Per Month</a:t>
            </a:r>
          </a:p>
        </c:rich>
      </c:tx>
      <c:overlay val="0"/>
    </c:title>
    <c:plotArea>
      <c:layout/>
      <c:areaChart>
        <c:ser>
          <c:idx val="0"/>
          <c:order val="0"/>
          <c:spPr>
            <a:solidFill>
              <a:srgbClr val="4285F4">
                <a:alpha val="70000"/>
              </a:srgbClr>
            </a:solidFill>
            <a:ln cmpd="sng" w="19050">
              <a:solidFill>
                <a:srgbClr val="4285F4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Improvement!$B$2:$B$13</c:f>
            </c:strRef>
          </c:cat>
          <c:val>
            <c:numRef>
              <c:f>Improvement!$C$2:$C$13</c:f>
              <c:numCache/>
            </c:numRef>
          </c:val>
        </c:ser>
        <c:axId val="1893097111"/>
        <c:axId val="1180962575"/>
      </c:areaChart>
      <c:catAx>
        <c:axId val="1893097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1180962575"/>
      </c:catAx>
      <c:valAx>
        <c:axId val="11809625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Win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1893097111"/>
      </c:valAx>
    </c:plotArea>
    <c:plotVisOnly val="1"/>
  </c:chart>
  <c:spPr>
    <a:solidFill>
      <a:srgbClr val="000000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Sets Played</c:v>
          </c:tx>
          <c:spPr>
            <a:solidFill>
              <a:srgbClr val="4285F4">
                <a:alpha val="30000"/>
              </a:srgbClr>
            </a:solidFill>
            <a:ln cmpd="sng" w="19050">
              <a:solidFill>
                <a:srgbClr val="4285F4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Improvement!$B$2:$B$13</c:f>
            </c:strRef>
          </c:cat>
          <c:val>
            <c:numRef>
              <c:f>Improvement!$F$2:$F$13</c:f>
              <c:numCache/>
            </c:numRef>
          </c:val>
        </c:ser>
        <c:ser>
          <c:idx val="1"/>
          <c:order val="1"/>
          <c:tx>
            <c:v>Tournaments Attended</c:v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Improvement!$B$2:$B$13</c:f>
            </c:strRef>
          </c:cat>
          <c:val>
            <c:numRef>
              <c:f>Improvement!$G$2:$G$13</c:f>
              <c:numCache/>
            </c:numRef>
          </c:val>
        </c:ser>
        <c:ser>
          <c:idx val="2"/>
          <c:order val="2"/>
          <c:spPr>
            <a:solidFill>
              <a:srgbClr val="F4B400">
                <a:alpha val="30000"/>
              </a:srgbClr>
            </a:solidFill>
            <a:ln cmpd="sng">
              <a:solidFill>
                <a:srgbClr val="F4B400"/>
              </a:solidFill>
            </a:ln>
          </c:spPr>
          <c:cat>
            <c:strRef>
              <c:f>Improvement!$B$2:$B$13</c:f>
            </c:strRef>
          </c:cat>
          <c:val>
            <c:numRef>
              <c:f>Improvement!$H$2:$H$13</c:f>
              <c:numCache/>
            </c:numRef>
          </c:val>
        </c:ser>
        <c:axId val="598139124"/>
        <c:axId val="1909771514"/>
      </c:areaChart>
      <c:catAx>
        <c:axId val="5981391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1909771514"/>
      </c:catAx>
      <c:valAx>
        <c:axId val="19097715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Win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598139124"/>
      </c:valAx>
    </c:plotArea>
    <c:legend>
      <c:legendPos val="t"/>
      <c:overlay val="0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 Sets Played Per Tournament</c:v>
          </c:tx>
          <c:spPr>
            <a:solidFill>
              <a:srgbClr val="9900FF">
                <a:alpha val="30000"/>
              </a:srgbClr>
            </a:solidFill>
            <a:ln cmpd="sng" w="19050">
              <a:solidFill>
                <a:srgbClr val="9900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9900FF">
                    <a:alpha val="4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Improvement!$B$2:$B$996</c:f>
            </c:strRef>
          </c:cat>
          <c:val>
            <c:numRef>
              <c:f>Improvement!$H$2:$H$996</c:f>
              <c:numCache/>
            </c:numRef>
          </c:val>
        </c:ser>
        <c:axId val="1564751981"/>
        <c:axId val="2002784739"/>
      </c:areaChart>
      <c:catAx>
        <c:axId val="15647519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2002784739"/>
      </c:catAx>
      <c:valAx>
        <c:axId val="20027847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Win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1564751981"/>
      </c:valAx>
    </c:plotArea>
    <c:legend>
      <c:legendPos val="tr"/>
      <c:overlay val="1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Tournaments Entered Per Month</c:v>
          </c:tx>
          <c:spPr>
            <a:solidFill>
              <a:srgbClr val="FF0000">
                <a:alpha val="30000"/>
              </a:srgbClr>
            </a:solidFill>
            <a:ln cmpd="sng" w="19050">
              <a:solidFill>
                <a:srgbClr val="FF00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FF0000">
                    <a:alpha val="4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Improvement!$B$2:$B$994</c:f>
            </c:strRef>
          </c:cat>
          <c:val>
            <c:numRef>
              <c:f>Improvement!$G$2:$G$996</c:f>
              <c:numCache/>
            </c:numRef>
          </c:val>
        </c:ser>
        <c:axId val="1123334495"/>
        <c:axId val="376490636"/>
      </c:areaChart>
      <c:catAx>
        <c:axId val="1123334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376490636"/>
      </c:catAx>
      <c:valAx>
        <c:axId val="3764906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Tournaments Entered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1123334495"/>
      </c:valAx>
    </c:plotArea>
    <c:legend>
      <c:legendPos val="b"/>
      <c:overlay val="0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FFFFFF"/>
                </a:solidFill>
                <a:latin typeface="Roboto"/>
              </a:defRPr>
            </a:pPr>
            <a:r>
              <a:rPr b="1" sz="1600">
                <a:solidFill>
                  <a:srgbClr val="FFFFFF"/>
                </a:solidFill>
                <a:latin typeface="Roboto"/>
              </a:rPr>
              <a:t>Win % by Character Against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Matchups!$B$1</c:f>
            </c:strRef>
          </c:tx>
          <c:spPr>
            <a:solidFill>
              <a:srgbClr val="3366CC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Matchups!$A$2:$A$15</c:f>
            </c:strRef>
          </c:cat>
          <c:val>
            <c:numRef>
              <c:f>Matchups!$B$2:$B$15</c:f>
              <c:numCache/>
            </c:numRef>
          </c:val>
        </c:ser>
        <c:axId val="2029870964"/>
        <c:axId val="1833687435"/>
      </c:barChart>
      <c:catAx>
        <c:axId val="20298709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Character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5400000"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1833687435"/>
      </c:catAx>
      <c:valAx>
        <c:axId val="18336874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Win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2029870964"/>
      </c:valAx>
    </c:plotArea>
    <c:plotVisOnly val="1"/>
  </c:chart>
  <c:spPr>
    <a:solidFill>
      <a:srgbClr val="000000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Tournaments Entered By Type</c:v>
          </c:tx>
          <c:spPr>
            <a:solidFill>
              <a:srgbClr val="FF0000">
                <a:alpha val="30000"/>
              </a:srgbClr>
            </a:solidFill>
            <a:ln cmpd="sng" w="19050">
              <a:solidFill>
                <a:srgbClr val="FF00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Tournaments!$B$3:$B$9</c:f>
            </c:strRef>
          </c:cat>
          <c:val>
            <c:numRef>
              <c:f>Tournaments!$C$3:$C$9</c:f>
              <c:numCache/>
            </c:numRef>
          </c:val>
        </c:ser>
        <c:axId val="1326400601"/>
        <c:axId val="1146798045"/>
      </c:areaChart>
      <c:catAx>
        <c:axId val="1326400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1146798045"/>
      </c:catAx>
      <c:valAx>
        <c:axId val="11467980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Tournaments Entered</a:t>
                </a:r>
              </a:p>
            </c:rich>
          </c:tx>
          <c:layout>
            <c:manualLayout>
              <c:xMode val="edge"/>
              <c:yMode val="edge"/>
              <c:x val="0.04141856392294221"/>
              <c:y val="0.1097025016903313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1326400601"/>
      </c:valAx>
    </c:plotArea>
    <c:legend>
      <c:legendPos val="t"/>
      <c:overlay val="0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Sets Per Tournament By Type</c:v>
          </c:tx>
          <c:spPr>
            <a:solidFill>
              <a:srgbClr val="9900FF">
                <a:alpha val="30000"/>
              </a:srgbClr>
            </a:solidFill>
            <a:ln cmpd="sng" w="19050">
              <a:solidFill>
                <a:srgbClr val="9900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Tournaments!$B$3:$B$9</c:f>
            </c:strRef>
          </c:cat>
          <c:val>
            <c:numRef>
              <c:f>Tournaments!$E$3:$E$9</c:f>
              <c:numCache/>
            </c:numRef>
          </c:val>
        </c:ser>
        <c:axId val="1393987792"/>
        <c:axId val="1245798066"/>
      </c:areaChart>
      <c:catAx>
        <c:axId val="139398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1245798066"/>
      </c:catAx>
      <c:valAx>
        <c:axId val="12457980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Sets Per Tounament</a:t>
                </a:r>
              </a:p>
            </c:rich>
          </c:tx>
          <c:layout>
            <c:manualLayout>
              <c:xMode val="edge"/>
              <c:yMode val="edge"/>
              <c:x val="0.04141856392294221"/>
              <c:y val="0.1097025016903313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1393987792"/>
      </c:valAx>
    </c:plotArea>
    <c:legend>
      <c:legendPos val="t"/>
      <c:overlay val="0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Sets Per Tournament By Region</c:v>
          </c:tx>
          <c:spPr>
            <a:solidFill>
              <a:srgbClr val="9900FF">
                <a:alpha val="30000"/>
              </a:srgbClr>
            </a:solidFill>
            <a:ln cmpd="sng" w="19050">
              <a:solidFill>
                <a:srgbClr val="9900FF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Tournaments!$H$16:$H$21</c:f>
            </c:strRef>
          </c:cat>
          <c:val>
            <c:numRef>
              <c:f>Tournaments!$J$16:$J$21</c:f>
              <c:numCache/>
            </c:numRef>
          </c:val>
        </c:ser>
        <c:axId val="969298479"/>
        <c:axId val="1225412100"/>
      </c:areaChart>
      <c:catAx>
        <c:axId val="969298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1225412100"/>
      </c:catAx>
      <c:valAx>
        <c:axId val="1225412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Sets Per Tounament</a:t>
                </a:r>
              </a:p>
            </c:rich>
          </c:tx>
          <c:layout>
            <c:manualLayout>
              <c:xMode val="edge"/>
              <c:yMode val="edge"/>
              <c:x val="0.04141856392294221"/>
              <c:y val="0.1097025016903313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969298479"/>
      </c:valAx>
    </c:plotArea>
    <c:legend>
      <c:legendPos val="t"/>
      <c:overlay val="0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Tournaments Entered By Region</c:v>
          </c:tx>
          <c:spPr>
            <a:solidFill>
              <a:srgbClr val="FF0000">
                <a:alpha val="30000"/>
              </a:srgbClr>
            </a:solidFill>
            <a:ln cmpd="sng" w="19050">
              <a:solidFill>
                <a:srgbClr val="FF0000">
                  <a:alpha val="100000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>
                    <a:solidFill>
                      <a:srgbClr val="FFFFFF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Tournaments!$B$16:$B$28</c:f>
            </c:strRef>
          </c:cat>
          <c:val>
            <c:numRef>
              <c:f>Tournaments!$C$16:$C$28</c:f>
              <c:numCache/>
            </c:numRef>
          </c:val>
        </c:ser>
        <c:axId val="688360698"/>
        <c:axId val="1143071952"/>
      </c:areaChart>
      <c:catAx>
        <c:axId val="688360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FFFFFF"/>
                </a:solidFill>
                <a:latin typeface="Roboto"/>
              </a:defRPr>
            </a:pPr>
          </a:p>
        </c:txPr>
        <c:crossAx val="1143071952"/>
      </c:catAx>
      <c:valAx>
        <c:axId val="11430719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Tournaments Entered</a:t>
                </a:r>
              </a:p>
            </c:rich>
          </c:tx>
          <c:layout>
            <c:manualLayout>
              <c:xMode val="edge"/>
              <c:yMode val="edge"/>
              <c:x val="0.04141856392294221"/>
              <c:y val="0.10970250169033133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688360698"/>
      </c:valAx>
    </c:plotArea>
    <c:legend>
      <c:legendPos val="t"/>
      <c:overlay val="0"/>
      <c:txPr>
        <a:bodyPr/>
        <a:lstStyle/>
        <a:p>
          <a:pPr lvl="0">
            <a:defRPr b="0" sz="120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FFFFFF"/>
                </a:solidFill>
                <a:latin typeface="Roboto"/>
              </a:defRPr>
            </a:pPr>
            <a:r>
              <a:rPr b="1" sz="1600">
                <a:solidFill>
                  <a:srgbClr val="FFFFFF"/>
                </a:solidFill>
                <a:latin typeface="Roboto"/>
              </a:rPr>
              <a:t>Win % by Stage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Stages!$B$2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Stages!$A$3:$A$8</c:f>
            </c:strRef>
          </c:cat>
          <c:val>
            <c:numRef>
              <c:f>Stages!$B$3:$B$8</c:f>
              <c:numCache/>
            </c:numRef>
          </c:val>
        </c:ser>
        <c:axId val="765406281"/>
        <c:axId val="669076131"/>
      </c:barChart>
      <c:catAx>
        <c:axId val="7654062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Stage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 sz="900">
                <a:solidFill>
                  <a:srgbClr val="FFFFFF"/>
                </a:solidFill>
                <a:latin typeface="Roboto"/>
              </a:defRPr>
            </a:pPr>
          </a:p>
        </c:txPr>
        <c:crossAx val="669076131"/>
      </c:catAx>
      <c:valAx>
        <c:axId val="6690761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1" sz="1200">
                    <a:solidFill>
                      <a:srgbClr val="FFFFFF"/>
                    </a:solidFill>
                    <a:latin typeface="Roboto"/>
                  </a:defRPr>
                </a:pPr>
                <a:r>
                  <a:rPr b="0" i="1" sz="1200">
                    <a:solidFill>
                      <a:srgbClr val="FFFFFF"/>
                    </a:solidFill>
                    <a:latin typeface="Roboto"/>
                  </a:rPr>
                  <a:t>Win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200">
                <a:solidFill>
                  <a:srgbClr val="FFFFFF"/>
                </a:solidFill>
                <a:latin typeface="Roboto"/>
              </a:defRPr>
            </a:pPr>
          </a:p>
        </c:txPr>
        <c:crossAx val="765406281"/>
      </c:valAx>
    </c:plotArea>
    <c:plotVisOnly val="1"/>
  </c:chart>
  <c:spPr>
    <a:solidFill>
      <a:srgbClr val="000000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Roboto"/>
              </a:defRPr>
            </a:pPr>
            <a:r>
              <a:rPr b="0">
                <a:solidFill>
                  <a:srgbClr val="FFFFFF"/>
                </a:solidFill>
                <a:latin typeface="Roboto"/>
              </a:rPr>
              <a:t>Games Played Per Stage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explosion val="0"/>
            <c:spPr>
              <a:solidFill>
                <a:srgbClr val="434343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rgbClr val="9900FF"/>
              </a:solidFill>
            </c:spPr>
          </c:dPt>
          <c:dPt>
            <c:idx val="3"/>
            <c:spPr>
              <a:solidFill>
                <a:srgbClr val="0000FF"/>
              </a:solidFill>
            </c:spPr>
          </c:dPt>
          <c:dPt>
            <c:idx val="4"/>
            <c:spPr>
              <a:solidFill>
                <a:srgbClr val="FF0000"/>
              </a:solidFill>
            </c:spPr>
          </c:dPt>
          <c:dPt>
            <c:idx val="5"/>
            <c:spPr>
              <a:solidFill>
                <a:srgbClr val="FF9900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Stages!$A$3:$A$8</c:f>
            </c:strRef>
          </c:cat>
          <c:val>
            <c:numRef>
              <c:f>Stages!$E$3:$E$8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FFFFFF"/>
              </a:solidFill>
              <a:latin typeface="Roboto"/>
            </a:defRPr>
          </a:pPr>
        </a:p>
      </c:txPr>
    </c:legend>
    <c:plotVisOnly val="1"/>
  </c:chart>
  <c:spPr>
    <a:solidFill>
      <a:srgbClr val="000000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8.png"/><Relationship Id="rId13" Type="http://schemas.openxmlformats.org/officeDocument/2006/relationships/image" Target="../media/image5.png"/><Relationship Id="rId12" Type="http://schemas.openxmlformats.org/officeDocument/2006/relationships/image" Target="../media/image6.png"/><Relationship Id="rId1" Type="http://schemas.openxmlformats.org/officeDocument/2006/relationships/image" Target="../media/image15.png"/><Relationship Id="rId2" Type="http://schemas.openxmlformats.org/officeDocument/2006/relationships/image" Target="../media/image7.png"/><Relationship Id="rId3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4.png"/><Relationship Id="rId5" Type="http://schemas.openxmlformats.org/officeDocument/2006/relationships/image" Target="../media/image13.png"/><Relationship Id="rId6" Type="http://schemas.openxmlformats.org/officeDocument/2006/relationships/image" Target="../media/image14.png"/><Relationship Id="rId7" Type="http://schemas.openxmlformats.org/officeDocument/2006/relationships/image" Target="../media/image12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559</xdr:row>
      <xdr:rowOff>57150</xdr:rowOff>
    </xdr:from>
    <xdr:ext cx="1657350" cy="8667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361950</xdr:colOff>
      <xdr:row>1552</xdr:row>
      <xdr:rowOff>190500</xdr:rowOff>
    </xdr:from>
    <xdr:ext cx="1285875" cy="12858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333375</xdr:colOff>
      <xdr:row>51</xdr:row>
      <xdr:rowOff>66675</xdr:rowOff>
    </xdr:from>
    <xdr:ext cx="8667750" cy="4371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333375</xdr:colOff>
      <xdr:row>67</xdr:row>
      <xdr:rowOff>19050</xdr:rowOff>
    </xdr:from>
    <xdr:ext cx="9277350" cy="4371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19</xdr:col>
      <xdr:colOff>104775</xdr:colOff>
      <xdr:row>1</xdr:row>
      <xdr:rowOff>47625</xdr:rowOff>
    </xdr:from>
    <xdr:ext cx="2047875" cy="11620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18</xdr:col>
      <xdr:colOff>514350</xdr:colOff>
      <xdr:row>8</xdr:row>
      <xdr:rowOff>104775</xdr:rowOff>
    </xdr:from>
    <xdr:ext cx="5829300" cy="31718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16</xdr:col>
      <xdr:colOff>333375</xdr:colOff>
      <xdr:row>82</xdr:row>
      <xdr:rowOff>247650</xdr:rowOff>
    </xdr:from>
    <xdr:ext cx="9277350" cy="43719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16</xdr:col>
      <xdr:colOff>0</xdr:colOff>
      <xdr:row>30</xdr:row>
      <xdr:rowOff>85725</xdr:rowOff>
    </xdr:from>
    <xdr:ext cx="8667750" cy="44386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342900</xdr:colOff>
      <xdr:row>0</xdr:row>
      <xdr:rowOff>295275</xdr:rowOff>
    </xdr:from>
    <xdr:ext cx="7343775" cy="45434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31</xdr:row>
      <xdr:rowOff>19050</xdr:rowOff>
    </xdr:from>
    <xdr:ext cx="4191000" cy="37052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800100</xdr:colOff>
      <xdr:row>31</xdr:row>
      <xdr:rowOff>19050</xdr:rowOff>
    </xdr:from>
    <xdr:ext cx="4295775" cy="37052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800100</xdr:colOff>
      <xdr:row>48</xdr:row>
      <xdr:rowOff>0</xdr:rowOff>
    </xdr:from>
    <xdr:ext cx="4191000" cy="31623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48</xdr:row>
      <xdr:rowOff>0</xdr:rowOff>
    </xdr:from>
    <xdr:ext cx="4191000" cy="37052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66675</xdr:rowOff>
    </xdr:from>
    <xdr:ext cx="6696075" cy="41433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0</xdr:row>
      <xdr:rowOff>171450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457200</xdr:colOff>
      <xdr:row>1</xdr:row>
      <xdr:rowOff>209550</xdr:rowOff>
    </xdr:from>
    <xdr:ext cx="933450" cy="99060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1</xdr:row>
      <xdr:rowOff>219075</xdr:rowOff>
    </xdr:from>
    <xdr:ext cx="904875" cy="97155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495300</xdr:colOff>
      <xdr:row>2</xdr:row>
      <xdr:rowOff>0</xdr:rowOff>
    </xdr:from>
    <xdr:ext cx="923925" cy="962025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11</xdr:row>
      <xdr:rowOff>9525</xdr:rowOff>
    </xdr:from>
    <xdr:ext cx="971550" cy="10001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466725</xdr:colOff>
      <xdr:row>10</xdr:row>
      <xdr:rowOff>180975</xdr:rowOff>
    </xdr:from>
    <xdr:ext cx="981075" cy="1019175"/>
    <xdr:pic>
      <xdr:nvPicPr>
        <xdr:cNvPr id="0" name="image1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457200</xdr:colOff>
      <xdr:row>11</xdr:row>
      <xdr:rowOff>0</xdr:rowOff>
    </xdr:from>
    <xdr:ext cx="942975" cy="1009650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504825</xdr:colOff>
      <xdr:row>2</xdr:row>
      <xdr:rowOff>57150</xdr:rowOff>
    </xdr:from>
    <xdr:ext cx="1095375" cy="847725"/>
    <xdr:pic>
      <xdr:nvPicPr>
        <xdr:cNvPr id="0" name="image1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20</xdr:row>
      <xdr:rowOff>9525</xdr:rowOff>
    </xdr:from>
    <xdr:ext cx="952500" cy="962025"/>
    <xdr:pic>
      <xdr:nvPicPr>
        <xdr:cNvPr id="0" name="image1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19</xdr:row>
      <xdr:rowOff>200025</xdr:rowOff>
    </xdr:from>
    <xdr:ext cx="971550" cy="990600"/>
    <xdr:pic>
      <xdr:nvPicPr>
        <xdr:cNvPr id="0" name="image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447675</xdr:colOff>
      <xdr:row>19</xdr:row>
      <xdr:rowOff>200025</xdr:rowOff>
    </xdr:from>
    <xdr:ext cx="971550" cy="990600"/>
    <xdr:pic>
      <xdr:nvPicPr>
        <xdr:cNvPr id="0" name="image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20</xdr:row>
      <xdr:rowOff>9525</xdr:rowOff>
    </xdr:from>
    <xdr:ext cx="990600" cy="1000125"/>
    <xdr:pic>
      <xdr:nvPicPr>
        <xdr:cNvPr id="0" name="image1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447675</xdr:colOff>
      <xdr:row>19</xdr:row>
      <xdr:rowOff>200025</xdr:rowOff>
    </xdr:from>
    <xdr:ext cx="981075" cy="990600"/>
    <xdr:pic>
      <xdr:nvPicPr>
        <xdr:cNvPr id="0" name="image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476250</xdr:colOff>
      <xdr:row>20</xdr:row>
      <xdr:rowOff>9525</xdr:rowOff>
    </xdr:from>
    <xdr:ext cx="952500" cy="981075"/>
    <xdr:pic>
      <xdr:nvPicPr>
        <xdr:cNvPr id="0" name="image5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smash.gg/tournament/mxp-presents-here-be-mid-tiers/events/melee-singles/brackets/164342" TargetMode="External"/><Relationship Id="rId190" Type="http://schemas.openxmlformats.org/officeDocument/2006/relationships/hyperlink" Target="https://challonge.com/CTH14" TargetMode="External"/><Relationship Id="rId42" Type="http://schemas.openxmlformats.org/officeDocument/2006/relationships/hyperlink" Target="http://challonge.com/wwemeleedoubles12" TargetMode="External"/><Relationship Id="rId41" Type="http://schemas.openxmlformats.org/officeDocument/2006/relationships/hyperlink" Target="http://challonge.com/wwemelee12" TargetMode="External"/><Relationship Id="rId44" Type="http://schemas.openxmlformats.org/officeDocument/2006/relationships/hyperlink" Target="http://michigansmash.challonge.com/UMeMe85AM" TargetMode="External"/><Relationship Id="rId194" Type="http://schemas.openxmlformats.org/officeDocument/2006/relationships/hyperlink" Target="https://challonge.com/CTH18" TargetMode="External"/><Relationship Id="rId43" Type="http://schemas.openxmlformats.org/officeDocument/2006/relationships/hyperlink" Target="http://michigansmash.challonge.com/UMeMe85" TargetMode="External"/><Relationship Id="rId193" Type="http://schemas.openxmlformats.org/officeDocument/2006/relationships/hyperlink" Target="https://smash.gg/tournament/youmacon-battle-opera-2019/event/super-smash-bros-melee-singles/standings" TargetMode="External"/><Relationship Id="rId46" Type="http://schemas.openxmlformats.org/officeDocument/2006/relationships/hyperlink" Target="http://michigansmash.challonge.com/SASH10d" TargetMode="External"/><Relationship Id="rId192" Type="http://schemas.openxmlformats.org/officeDocument/2006/relationships/hyperlink" Target="https://michigansmash.challonge.com/bmdb1am" TargetMode="External"/><Relationship Id="rId45" Type="http://schemas.openxmlformats.org/officeDocument/2006/relationships/hyperlink" Target="https://michigansmash.challonge.com/SASH10" TargetMode="External"/><Relationship Id="rId191" Type="http://schemas.openxmlformats.org/officeDocument/2006/relationships/hyperlink" Target="https://challonge.com/bmdb1" TargetMode="External"/><Relationship Id="rId48" Type="http://schemas.openxmlformats.org/officeDocument/2006/relationships/hyperlink" Target="https://smash.gg/tournament/holiday-heist-3-1/events/melee-singles/brackets/188693" TargetMode="External"/><Relationship Id="rId187" Type="http://schemas.openxmlformats.org/officeDocument/2006/relationships/hyperlink" Target="https://smash.gg/tournament/the-big-house-9/events/melee-singles/brackets/671278/1097047" TargetMode="External"/><Relationship Id="rId47" Type="http://schemas.openxmlformats.org/officeDocument/2006/relationships/hyperlink" Target="http://michigansmash.challonge.com/UMeMe86" TargetMode="External"/><Relationship Id="rId186" Type="http://schemas.openxmlformats.org/officeDocument/2006/relationships/hyperlink" Target="https://challonge.com/CTH12" TargetMode="External"/><Relationship Id="rId185" Type="http://schemas.openxmlformats.org/officeDocument/2006/relationships/hyperlink" Target="https://smash.gg/tournament/here-be-mid-tierz-8/events/melee-doubles/overview" TargetMode="External"/><Relationship Id="rId49" Type="http://schemas.openxmlformats.org/officeDocument/2006/relationships/hyperlink" Target="http://michigansmash.challonge.com/LostInSpace" TargetMode="External"/><Relationship Id="rId184" Type="http://schemas.openxmlformats.org/officeDocument/2006/relationships/hyperlink" Target="https://smash.gg/tournament/here-be-mid-tierz-8/events/melee-singles/overview" TargetMode="External"/><Relationship Id="rId189" Type="http://schemas.openxmlformats.org/officeDocument/2006/relationships/hyperlink" Target="https://smash.gg/tournament/csl-mi-fall-2019-qualifier/events/melee-1v1-singles/standings" TargetMode="External"/><Relationship Id="rId188" Type="http://schemas.openxmlformats.org/officeDocument/2006/relationships/hyperlink" Target="https://smash.gg/tournament/the-big-house-9/event/melee-doubles/entrant/3313305" TargetMode="External"/><Relationship Id="rId31" Type="http://schemas.openxmlformats.org/officeDocument/2006/relationships/hyperlink" Target="https://smash.gg/tournament/youmacon-tournament-series-2017/events/melee-singles/brackets?filter=%7B%22phaseId%22%3A170660%7D" TargetMode="External"/><Relationship Id="rId30" Type="http://schemas.openxmlformats.org/officeDocument/2006/relationships/hyperlink" Target="http://michigansmash.challonge.com/UMeMe80" TargetMode="External"/><Relationship Id="rId33" Type="http://schemas.openxmlformats.org/officeDocument/2006/relationships/hyperlink" Target="http://michigansmash.challonge.com/AEXAG" TargetMode="External"/><Relationship Id="rId183" Type="http://schemas.openxmlformats.org/officeDocument/2006/relationships/hyperlink" Target="https://challonge.com/CTH10" TargetMode="External"/><Relationship Id="rId32" Type="http://schemas.openxmlformats.org/officeDocument/2006/relationships/hyperlink" Target="http://michigansmash.challonge.com/fnsd59meleesingles" TargetMode="External"/><Relationship Id="rId182" Type="http://schemas.openxmlformats.org/officeDocument/2006/relationships/hyperlink" Target="https://challonge.com/yvta0xyd" TargetMode="External"/><Relationship Id="rId35" Type="http://schemas.openxmlformats.org/officeDocument/2006/relationships/hyperlink" Target="http://michigansmash.challonge.com/UMeMe82" TargetMode="External"/><Relationship Id="rId181" Type="http://schemas.openxmlformats.org/officeDocument/2006/relationships/hyperlink" Target="https://challonge.com/606fqljc" TargetMode="External"/><Relationship Id="rId34" Type="http://schemas.openxmlformats.org/officeDocument/2006/relationships/hyperlink" Target="http://michigansmash.challonge.com/AEXAGD" TargetMode="External"/><Relationship Id="rId180" Type="http://schemas.openxmlformats.org/officeDocument/2006/relationships/hyperlink" Target="https://challonge.com/cth8" TargetMode="External"/><Relationship Id="rId37" Type="http://schemas.openxmlformats.org/officeDocument/2006/relationships/hyperlink" Target="http://challonge.com/wwemelee11" TargetMode="External"/><Relationship Id="rId176" Type="http://schemas.openxmlformats.org/officeDocument/2006/relationships/hyperlink" Target="https://challonge.com/cth6" TargetMode="External"/><Relationship Id="rId36" Type="http://schemas.openxmlformats.org/officeDocument/2006/relationships/hyperlink" Target="http://michigansmash.challonge.com/UMeMe82AM" TargetMode="External"/><Relationship Id="rId175" Type="http://schemas.openxmlformats.org/officeDocument/2006/relationships/hyperlink" Target="https://challonge.com/cth5" TargetMode="External"/><Relationship Id="rId39" Type="http://schemas.openxmlformats.org/officeDocument/2006/relationships/hyperlink" Target="http://michigansmash.challonge.com/ascensionpro" TargetMode="External"/><Relationship Id="rId174" Type="http://schemas.openxmlformats.org/officeDocument/2006/relationships/hyperlink" Target="https://smash.gg/tournament/aurora-blitz-2/events/melee-doubles/overview" TargetMode="External"/><Relationship Id="rId38" Type="http://schemas.openxmlformats.org/officeDocument/2006/relationships/hyperlink" Target="https://smash.gg/tournament/ascension-a-new-era/events" TargetMode="External"/><Relationship Id="rId173" Type="http://schemas.openxmlformats.org/officeDocument/2006/relationships/hyperlink" Target="https://smash.gg/tournament/aurora-blitz-2/event/melee-singles/entrant/3191447" TargetMode="External"/><Relationship Id="rId179" Type="http://schemas.openxmlformats.org/officeDocument/2006/relationships/hyperlink" Target="https://challonge.com/ht2zras7" TargetMode="External"/><Relationship Id="rId178" Type="http://schemas.openxmlformats.org/officeDocument/2006/relationships/hyperlink" Target="https://smash.gg/tournament/hbmt7-don-t-talk-about-the-mario/events/melee-doubles/overview" TargetMode="External"/><Relationship Id="rId177" Type="http://schemas.openxmlformats.org/officeDocument/2006/relationships/hyperlink" Target="https://smash.gg/tournament/hbmt7-don-t-talk-about-the-mario/events/melee-singles/brackets/630886/1040133" TargetMode="External"/><Relationship Id="rId20" Type="http://schemas.openxmlformats.org/officeDocument/2006/relationships/hyperlink" Target="http://nolimitgaming.challonge.com/fnsd57meleesingles" TargetMode="External"/><Relationship Id="rId22" Type="http://schemas.openxmlformats.org/officeDocument/2006/relationships/hyperlink" Target="https://smash.gg/tournament/friday-night-smash-delight-58-a-mini-showdown-2/events/melee-singles/brackets/152009" TargetMode="External"/><Relationship Id="rId21" Type="http://schemas.openxmlformats.org/officeDocument/2006/relationships/hyperlink" Target="http://michigansmash.challonge.com/UMeMe73/standings" TargetMode="External"/><Relationship Id="rId24" Type="http://schemas.openxmlformats.org/officeDocument/2006/relationships/hyperlink" Target="https://smash.gg/tournament/corner-pressure-vi/events/melee-singles/brackets/157022" TargetMode="External"/><Relationship Id="rId23" Type="http://schemas.openxmlformats.org/officeDocument/2006/relationships/hyperlink" Target="http://michigansmash.challonge.com/UMeMe74" TargetMode="External"/><Relationship Id="rId26" Type="http://schemas.openxmlformats.org/officeDocument/2006/relationships/hyperlink" Target="http://michigansmash.challonge.com/UMeMe76" TargetMode="External"/><Relationship Id="rId25" Type="http://schemas.openxmlformats.org/officeDocument/2006/relationships/hyperlink" Target="https://smash.gg/tournament/the-big-house-7" TargetMode="External"/><Relationship Id="rId28" Type="http://schemas.openxmlformats.org/officeDocument/2006/relationships/hyperlink" Target="http://michigansmash.challonge.com/umeme77dubs" TargetMode="External"/><Relationship Id="rId27" Type="http://schemas.openxmlformats.org/officeDocument/2006/relationships/hyperlink" Target="http://michigansmash.challonge.com/UMeMe77" TargetMode="External"/><Relationship Id="rId29" Type="http://schemas.openxmlformats.org/officeDocument/2006/relationships/hyperlink" Target="http://michigansmash.challonge.com/UMeMe79" TargetMode="External"/><Relationship Id="rId11" Type="http://schemas.openxmlformats.org/officeDocument/2006/relationships/hyperlink" Target="http://nolimitgaming.challonge.com/fnsd45meleesingles" TargetMode="External"/><Relationship Id="rId10" Type="http://schemas.openxmlformats.org/officeDocument/2006/relationships/hyperlink" Target="http://michigansmash.challonge.com/UMeMe60" TargetMode="External"/><Relationship Id="rId13" Type="http://schemas.openxmlformats.org/officeDocument/2006/relationships/hyperlink" Target="https://smash.gg/tournament/body-city-2017-michigan-summer-circuit-finale/events/melee-singles/brackets/146478/410892" TargetMode="External"/><Relationship Id="rId12" Type="http://schemas.openxmlformats.org/officeDocument/2006/relationships/hyperlink" Target="http://michigansmash.challonge.com/fnsd52meleesingles" TargetMode="External"/><Relationship Id="rId15" Type="http://schemas.openxmlformats.org/officeDocument/2006/relationships/hyperlink" Target="http://michigansmash.challonge.com/UMEME71" TargetMode="External"/><Relationship Id="rId198" Type="http://schemas.openxmlformats.org/officeDocument/2006/relationships/hyperlink" Target="https://smash.gg/tournament/wolvarena-2/event/melee-singles/standings" TargetMode="External"/><Relationship Id="rId14" Type="http://schemas.openxmlformats.org/officeDocument/2006/relationships/hyperlink" Target="http://challonge.com/sash8" TargetMode="External"/><Relationship Id="rId197" Type="http://schemas.openxmlformats.org/officeDocument/2006/relationships/hyperlink" Target="https://smash.gg/tournament/bm-b-4" TargetMode="External"/><Relationship Id="rId17" Type="http://schemas.openxmlformats.org/officeDocument/2006/relationships/hyperlink" Target="http://michigansmash.challonge.com/meggawack8/" TargetMode="External"/><Relationship Id="rId196" Type="http://schemas.openxmlformats.org/officeDocument/2006/relationships/hyperlink" Target="https://smash.gg/tournament/here-be-mid-tiers-9/event/melee-doubles/standings" TargetMode="External"/><Relationship Id="rId16" Type="http://schemas.openxmlformats.org/officeDocument/2006/relationships/hyperlink" Target="http://michigansmash.challonge.com/umeme71am" TargetMode="External"/><Relationship Id="rId195" Type="http://schemas.openxmlformats.org/officeDocument/2006/relationships/hyperlink" Target="https://smash.gg/tournament/here-be-mid-tiers-9/event/melee-singles/standings" TargetMode="External"/><Relationship Id="rId19" Type="http://schemas.openxmlformats.org/officeDocument/2006/relationships/hyperlink" Target="http://michigansmash.challonge.com/fnsd56meleesingles" TargetMode="External"/><Relationship Id="rId18" Type="http://schemas.openxmlformats.org/officeDocument/2006/relationships/hyperlink" Target="http://challonge.com/umeme72" TargetMode="External"/><Relationship Id="rId199" Type="http://schemas.openxmlformats.org/officeDocument/2006/relationships/hyperlink" Target="https://smash.gg/tournament/holiday-heist-5/event/melee-1v1-singles/standings" TargetMode="External"/><Relationship Id="rId84" Type="http://schemas.openxmlformats.org/officeDocument/2006/relationships/hyperlink" Target="https://smash.gg/tournament/mia7-spartan-stadium-arcadian-2/details" TargetMode="External"/><Relationship Id="rId83" Type="http://schemas.openxmlformats.org/officeDocument/2006/relationships/hyperlink" Target="https://michigansmash.challonge.com/smackdownmeleeAM" TargetMode="External"/><Relationship Id="rId86" Type="http://schemas.openxmlformats.org/officeDocument/2006/relationships/hyperlink" Target="https://smash.gg/tournament/f-mingee/events" TargetMode="External"/><Relationship Id="rId85" Type="http://schemas.openxmlformats.org/officeDocument/2006/relationships/hyperlink" Target="https://michigansmash.challonge.com/fnsd66meleesingles/log" TargetMode="External"/><Relationship Id="rId88" Type="http://schemas.openxmlformats.org/officeDocument/2006/relationships/hyperlink" Target="https://michigansmash.challonge.com/UMeMe104" TargetMode="External"/><Relationship Id="rId150" Type="http://schemas.openxmlformats.org/officeDocument/2006/relationships/hyperlink" Target="https://www.youtube.com/playlist?list=PLs1KABZwBfe2-GQd03CEQV5p3Vx6Gtvdq&amp;fbclid=IwAR1WMPcLG38zX_vrGx7VbURhgypnLHczY_9AeJrkNLPjrzfEdzhSSbfv1u8" TargetMode="External"/><Relationship Id="rId87" Type="http://schemas.openxmlformats.org/officeDocument/2006/relationships/hyperlink" Target="https://smash.gg/tournament/f-mingee/events/melee-doubles/brackets/250636" TargetMode="External"/><Relationship Id="rId89" Type="http://schemas.openxmlformats.org/officeDocument/2006/relationships/hyperlink" Target="https://michigansmash.challonge.com/UMeMe104doubles" TargetMode="External"/><Relationship Id="rId80" Type="http://schemas.openxmlformats.org/officeDocument/2006/relationships/hyperlink" Target="https://michigansmash.challonge.com/epl42ese" TargetMode="External"/><Relationship Id="rId82" Type="http://schemas.openxmlformats.org/officeDocument/2006/relationships/hyperlink" Target="https://smash.gg/tournament/motor-city-smackdown/events/melee-doubles/brackets/191445" TargetMode="External"/><Relationship Id="rId81" Type="http://schemas.openxmlformats.org/officeDocument/2006/relationships/hyperlink" Target="https://smash.gg/tournament/motor-city-smackdown/events/melee-singles/brackets/191444" TargetMode="External"/><Relationship Id="rId1" Type="http://schemas.openxmlformats.org/officeDocument/2006/relationships/hyperlink" Target="https://smash.gg/tournament/michigan-arcadian-4/brackets/12918/35043/117900" TargetMode="External"/><Relationship Id="rId2" Type="http://schemas.openxmlformats.org/officeDocument/2006/relationships/hyperlink" Target="http://challonge.com/umeme18" TargetMode="External"/><Relationship Id="rId3" Type="http://schemas.openxmlformats.org/officeDocument/2006/relationships/hyperlink" Target="http://challonge.com/UMeMe18AM" TargetMode="External"/><Relationship Id="rId149" Type="http://schemas.openxmlformats.org/officeDocument/2006/relationships/hyperlink" Target="https://www.youtube.com/playlist?list=PLA8PGqq1E708txMsJbd-VxjCJ8HT9ZEpF&amp;fbclid=IwAR16grrSiOSONGAVVV4_kAm6jtHNPBSiDkjOw75CywOdu1C1YGL-yEifH64" TargetMode="External"/><Relationship Id="rId4" Type="http://schemas.openxmlformats.org/officeDocument/2006/relationships/hyperlink" Target="http://challonge.com/umeme21" TargetMode="External"/><Relationship Id="rId148" Type="http://schemas.openxmlformats.org/officeDocument/2006/relationships/hyperlink" Target="https://challonge.com/wolvsum2?fbclid=IwAR3ayN-PDRmI5bbwkl2ZA3ddF_ojiW4nMKBWfLU6DX4SfLsMhPmgEmraCZU" TargetMode="External"/><Relationship Id="rId9" Type="http://schemas.openxmlformats.org/officeDocument/2006/relationships/hyperlink" Target="http://michigansmash.challonge.com/UMeMe49" TargetMode="External"/><Relationship Id="rId143" Type="http://schemas.openxmlformats.org/officeDocument/2006/relationships/hyperlink" Target="https://michigansmash.challonge.com/wwemelee66dubs" TargetMode="External"/><Relationship Id="rId142" Type="http://schemas.openxmlformats.org/officeDocument/2006/relationships/hyperlink" Target="https://michigansmash.challonge.com/wwemelee66" TargetMode="External"/><Relationship Id="rId141" Type="http://schemas.openxmlformats.org/officeDocument/2006/relationships/hyperlink" Target="https://smash.gg/tournament/holiday-heist-4-powered-by-monster-energy-ultimate-edition-2/events/melee-1v1-singles/overview" TargetMode="External"/><Relationship Id="rId140" Type="http://schemas.openxmlformats.org/officeDocument/2006/relationships/hyperlink" Target="https://smash.gg/tournament/heroes-ultimate-charity-launch-event-1/events/melee-singles/overview" TargetMode="External"/><Relationship Id="rId5" Type="http://schemas.openxmlformats.org/officeDocument/2006/relationships/hyperlink" Target="https://www.youtube.com/watch?v=xWh0NSByHhw" TargetMode="External"/><Relationship Id="rId147" Type="http://schemas.openxmlformats.org/officeDocument/2006/relationships/hyperlink" Target="https://smash.gg/tournament/unite-a-michigan-smash-event/events/melee-singles/standings" TargetMode="External"/><Relationship Id="rId6" Type="http://schemas.openxmlformats.org/officeDocument/2006/relationships/hyperlink" Target="http://challonge.com/umeme22" TargetMode="External"/><Relationship Id="rId146" Type="http://schemas.openxmlformats.org/officeDocument/2006/relationships/hyperlink" Target="https://challonge.com/umeme122" TargetMode="External"/><Relationship Id="rId7" Type="http://schemas.openxmlformats.org/officeDocument/2006/relationships/hyperlink" Target="http://challonge.com/umeme23" TargetMode="External"/><Relationship Id="rId145" Type="http://schemas.openxmlformats.org/officeDocument/2006/relationships/hyperlink" Target="https://michigansmash.challonge.com/wwemelee67" TargetMode="External"/><Relationship Id="rId8" Type="http://schemas.openxmlformats.org/officeDocument/2006/relationships/hyperlink" Target="http://challonge.com/jhfghdjygfhk" TargetMode="External"/><Relationship Id="rId144" Type="http://schemas.openxmlformats.org/officeDocument/2006/relationships/hyperlink" Target="https://smash.gg/tournament/infinity-gauntlet/events/melee-singles/overview" TargetMode="External"/><Relationship Id="rId73" Type="http://schemas.openxmlformats.org/officeDocument/2006/relationships/hyperlink" Target="https://michigansmash.challonge.com/fnsd62meleesingles" TargetMode="External"/><Relationship Id="rId72" Type="http://schemas.openxmlformats.org/officeDocument/2006/relationships/hyperlink" Target="https://smash.gg/tournament/chicago-gaming-coalition-no-1" TargetMode="External"/><Relationship Id="rId75" Type="http://schemas.openxmlformats.org/officeDocument/2006/relationships/hyperlink" Target="https://michigansmash.challonge.com/TheIliad4" TargetMode="External"/><Relationship Id="rId74" Type="http://schemas.openxmlformats.org/officeDocument/2006/relationships/hyperlink" Target="https://smash.gg/tournament/sweet-31-ssbm-event-featuring-zain-colbol/events/melee-singles/brackets/227153" TargetMode="External"/><Relationship Id="rId77" Type="http://schemas.openxmlformats.org/officeDocument/2006/relationships/hyperlink" Target="https://michigansmash.challonge.com/TheIliad6" TargetMode="External"/><Relationship Id="rId76" Type="http://schemas.openxmlformats.org/officeDocument/2006/relationships/hyperlink" Target="https://michigansmash.challonge.com/fnsd63singles" TargetMode="External"/><Relationship Id="rId79" Type="http://schemas.openxmlformats.org/officeDocument/2006/relationships/hyperlink" Target="https://challonge.com/Umeme98AM2" TargetMode="External"/><Relationship Id="rId78" Type="http://schemas.openxmlformats.org/officeDocument/2006/relationships/hyperlink" Target="https://michigansmash.challonge.com/UMeMe98" TargetMode="External"/><Relationship Id="rId71" Type="http://schemas.openxmlformats.org/officeDocument/2006/relationships/hyperlink" Target="https://smash.gg/tournament/birds-of-prey-ft-heartstrings/events/melee-doubles/brackets/199322" TargetMode="External"/><Relationship Id="rId70" Type="http://schemas.openxmlformats.org/officeDocument/2006/relationships/hyperlink" Target="https://smash.gg/tournament/birds-of-prey-ft-heartstrings/events/melee-singles/brackets/200257" TargetMode="External"/><Relationship Id="rId139" Type="http://schemas.openxmlformats.org/officeDocument/2006/relationships/hyperlink" Target="https://smash.gg/tournament/here-be-mid-tiers-4-ft-250-pot-bonus/events/doubles/overview" TargetMode="External"/><Relationship Id="rId138" Type="http://schemas.openxmlformats.org/officeDocument/2006/relationships/hyperlink" Target="https://smash.gg/tournament/here-be-mid-tiers-4-ft-250-pot-bonus/" TargetMode="External"/><Relationship Id="rId137" Type="http://schemas.openxmlformats.org/officeDocument/2006/relationships/hyperlink" Target="https://challonge.com/umeme119" TargetMode="External"/><Relationship Id="rId132" Type="http://schemas.openxmlformats.org/officeDocument/2006/relationships/hyperlink" Target="https://michigansmash.challonge.com/SOD14DOUBLES" TargetMode="External"/><Relationship Id="rId131" Type="http://schemas.openxmlformats.org/officeDocument/2006/relationships/hyperlink" Target="https://michigansmash.challonge.com/SOD14" TargetMode="External"/><Relationship Id="rId130" Type="http://schemas.openxmlformats.org/officeDocument/2006/relationships/hyperlink" Target="https://smash.gg/tournament/the-big-house-8/events/melee-doubles/standings" TargetMode="External"/><Relationship Id="rId136" Type="http://schemas.openxmlformats.org/officeDocument/2006/relationships/hyperlink" Target="https://smash.gg/tournament/youmacon-battle-opera-2018/events/super-smash-bros-melee/overview" TargetMode="External"/><Relationship Id="rId135" Type="http://schemas.openxmlformats.org/officeDocument/2006/relationships/hyperlink" Target="https://michigansmash.challonge.com/wwemelee57am" TargetMode="External"/><Relationship Id="rId134" Type="http://schemas.openxmlformats.org/officeDocument/2006/relationships/hyperlink" Target="https://michigansmash.challonge.com/wwemelee57" TargetMode="External"/><Relationship Id="rId133" Type="http://schemas.openxmlformats.org/officeDocument/2006/relationships/hyperlink" Target="https://smash.gg/tournament/broken-joystick-the-white-lake-community-hall/events/broken-joystick/overview" TargetMode="External"/><Relationship Id="rId62" Type="http://schemas.openxmlformats.org/officeDocument/2006/relationships/hyperlink" Target="https://smash.gg/tournament/sweet-xxx-super-smash-bros-melee-tournament/events/melee-doubles/overview" TargetMode="External"/><Relationship Id="rId61" Type="http://schemas.openxmlformats.org/officeDocument/2006/relationships/hyperlink" Target="https://smash.gg/tournament/sweet-xxx-super-smash-bros-melee-tournament/events/melee-singles/overview" TargetMode="External"/><Relationship Id="rId64" Type="http://schemas.openxmlformats.org/officeDocument/2006/relationships/hyperlink" Target="http://michigansmash.challonge.com/sash12doubles/standings" TargetMode="External"/><Relationship Id="rId63" Type="http://schemas.openxmlformats.org/officeDocument/2006/relationships/hyperlink" Target="http://michigansmash.challonge.com/sash12" TargetMode="External"/><Relationship Id="rId66" Type="http://schemas.openxmlformats.org/officeDocument/2006/relationships/hyperlink" Target="http://michigansmash.challonge.com/wwemelee22" TargetMode="External"/><Relationship Id="rId172" Type="http://schemas.openxmlformats.org/officeDocument/2006/relationships/hyperlink" Target="https://smash.gg/tournament/melee-doubles-ceo-2019-community-tournament/events/melee-doubles/standings" TargetMode="External"/><Relationship Id="rId65" Type="http://schemas.openxmlformats.org/officeDocument/2006/relationships/hyperlink" Target="http://challonge.com/wwemelee21" TargetMode="External"/><Relationship Id="rId171" Type="http://schemas.openxmlformats.org/officeDocument/2006/relationships/hyperlink" Target="https://smash.gg/tournament/ceo-2019-fighting-game-championships/event/super-smash-bros-melee-singles/entrant/3042119" TargetMode="External"/><Relationship Id="rId68" Type="http://schemas.openxmlformats.org/officeDocument/2006/relationships/hyperlink" Target="https://smash.gg/tournament/shogunate/events/melee-doubles/overview" TargetMode="External"/><Relationship Id="rId170" Type="http://schemas.openxmlformats.org/officeDocument/2006/relationships/hyperlink" Target="https://challonge.com/cthtwo" TargetMode="External"/><Relationship Id="rId67" Type="http://schemas.openxmlformats.org/officeDocument/2006/relationships/hyperlink" Target="https://smash.gg/tournament/shogunate/events/melee-singles/brackets/203043" TargetMode="External"/><Relationship Id="rId60" Type="http://schemas.openxmlformats.org/officeDocument/2006/relationships/hyperlink" Target="http://michigansmash.challonge.com/END32" TargetMode="External"/><Relationship Id="rId165" Type="http://schemas.openxmlformats.org/officeDocument/2006/relationships/hyperlink" Target="https://challonge.com/x2f2i6oj" TargetMode="External"/><Relationship Id="rId69" Type="http://schemas.openxmlformats.org/officeDocument/2006/relationships/hyperlink" Target="http://michigansmash.challonge.com/TheIliad" TargetMode="External"/><Relationship Id="rId164" Type="http://schemas.openxmlformats.org/officeDocument/2006/relationships/hyperlink" Target="https://smash.gg/tournament/fenton-fallout-1/events/melee-singles/standings" TargetMode="External"/><Relationship Id="rId163" Type="http://schemas.openxmlformats.org/officeDocument/2006/relationships/hyperlink" Target="https://smash.gg/tournament/here-be-mid-tiers-6/events/melee-doubles/standings" TargetMode="External"/><Relationship Id="rId162" Type="http://schemas.openxmlformats.org/officeDocument/2006/relationships/hyperlink" Target="https://smash.gg/tournament/here-be-mid-tiers-6/events/melee-singles/standings" TargetMode="External"/><Relationship Id="rId169" Type="http://schemas.openxmlformats.org/officeDocument/2006/relationships/hyperlink" Target="https://michigansmash.challonge.com/pbrmelee4" TargetMode="External"/><Relationship Id="rId168" Type="http://schemas.openxmlformats.org/officeDocument/2006/relationships/hyperlink" Target="https://michigansmash.challonge.com/END100" TargetMode="External"/><Relationship Id="rId167" Type="http://schemas.openxmlformats.org/officeDocument/2006/relationships/hyperlink" Target="https://challonge.com/cth1" TargetMode="External"/><Relationship Id="rId166" Type="http://schemas.openxmlformats.org/officeDocument/2006/relationships/hyperlink" Target="https://challonge.com/ddz7f67p" TargetMode="External"/><Relationship Id="rId51" Type="http://schemas.openxmlformats.org/officeDocument/2006/relationships/hyperlink" Target="https://smash.gg/tournament/corner-pressure-vii/events" TargetMode="External"/><Relationship Id="rId50" Type="http://schemas.openxmlformats.org/officeDocument/2006/relationships/hyperlink" Target="http://michigansmash.challonge.com/lisdoubles" TargetMode="External"/><Relationship Id="rId53" Type="http://schemas.openxmlformats.org/officeDocument/2006/relationships/hyperlink" Target="http://michigansmash.challonge.com/UMEME87" TargetMode="External"/><Relationship Id="rId52" Type="http://schemas.openxmlformats.org/officeDocument/2006/relationships/hyperlink" Target="https://smash.gg/tournament/corner-pressure-vii/events/melee-doubles/brackets/180979" TargetMode="External"/><Relationship Id="rId55" Type="http://schemas.openxmlformats.org/officeDocument/2006/relationships/hyperlink" Target="https://smash.gg/tournament/sweet-29-ssbm-tournament-feat-swedish-delight" TargetMode="External"/><Relationship Id="rId161" Type="http://schemas.openxmlformats.org/officeDocument/2006/relationships/hyperlink" Target="https://michigansmash.challonge.com/wwemelee79" TargetMode="External"/><Relationship Id="rId54" Type="http://schemas.openxmlformats.org/officeDocument/2006/relationships/hyperlink" Target="http://challonge.com/wwemelee16" TargetMode="External"/><Relationship Id="rId160" Type="http://schemas.openxmlformats.org/officeDocument/2006/relationships/hyperlink" Target="https://challonge.com/umeme128" TargetMode="External"/><Relationship Id="rId57" Type="http://schemas.openxmlformats.org/officeDocument/2006/relationships/hyperlink" Target="https://smash.gg/tournament/meggaxp-here-be-mid-tiers-2/events/melee-singles/overview" TargetMode="External"/><Relationship Id="rId56" Type="http://schemas.openxmlformats.org/officeDocument/2006/relationships/hyperlink" Target="http://challonge.com/umeme89singles" TargetMode="External"/><Relationship Id="rId159" Type="http://schemas.openxmlformats.org/officeDocument/2006/relationships/hyperlink" Target="https://michigansmash.challonge.com/SASH17melee" TargetMode="External"/><Relationship Id="rId59" Type="http://schemas.openxmlformats.org/officeDocument/2006/relationships/hyperlink" Target="https://smash.gg/tournament/gv-grand-prix-13/events/melee-singles/overview" TargetMode="External"/><Relationship Id="rId154" Type="http://schemas.openxmlformats.org/officeDocument/2006/relationships/hyperlink" Target="https://challonge.com/icantbelieveitsnotumeme" TargetMode="External"/><Relationship Id="rId58" Type="http://schemas.openxmlformats.org/officeDocument/2006/relationships/hyperlink" Target="https://smash.gg/tournament/meggaxp-here-be-mid-tiers-2/events/melee-doubles/overview" TargetMode="External"/><Relationship Id="rId153" Type="http://schemas.openxmlformats.org/officeDocument/2006/relationships/hyperlink" Target="https://michigansmash.challonge.com/wwemelee71" TargetMode="External"/><Relationship Id="rId152" Type="http://schemas.openxmlformats.org/officeDocument/2006/relationships/hyperlink" Target="https://challonge.com/UMEME124" TargetMode="External"/><Relationship Id="rId151" Type="http://schemas.openxmlformats.org/officeDocument/2006/relationships/hyperlink" Target="https://smash.gg/tournament/here-be-mid-tiers-5-ft-150-pot-bonus/events/melee-singles/standings" TargetMode="External"/><Relationship Id="rId158" Type="http://schemas.openxmlformats.org/officeDocument/2006/relationships/hyperlink" Target="https://challonge.com/umeme127" TargetMode="External"/><Relationship Id="rId157" Type="http://schemas.openxmlformats.org/officeDocument/2006/relationships/hyperlink" Target="https://challonge.com/umeme126" TargetMode="External"/><Relationship Id="rId156" Type="http://schemas.openxmlformats.org/officeDocument/2006/relationships/hyperlink" Target="http://challonge.com/wwemelee73" TargetMode="External"/><Relationship Id="rId155" Type="http://schemas.openxmlformats.org/officeDocument/2006/relationships/hyperlink" Target="https://challonge.com/UMEME125" TargetMode="External"/><Relationship Id="rId107" Type="http://schemas.openxmlformats.org/officeDocument/2006/relationships/hyperlink" Target="https://michigansmash.challonge.com/fnsdmeleesingles72" TargetMode="External"/><Relationship Id="rId106" Type="http://schemas.openxmlformats.org/officeDocument/2006/relationships/hyperlink" Target="https://michigansmash.challonge.com/smashordie5doubles" TargetMode="External"/><Relationship Id="rId105" Type="http://schemas.openxmlformats.org/officeDocument/2006/relationships/hyperlink" Target="https://michigansmash.challonge.com/r95ckue6" TargetMode="External"/><Relationship Id="rId104" Type="http://schemas.openxmlformats.org/officeDocument/2006/relationships/hyperlink" Target="https://smash.gg/tournament/showdown-battle-royale-3/events/melee-doubles/brackets/201957" TargetMode="External"/><Relationship Id="rId109" Type="http://schemas.openxmlformats.org/officeDocument/2006/relationships/hyperlink" Target="https://michigansmash.challonge.com/SMASHORDIE6DOUBLES" TargetMode="External"/><Relationship Id="rId108" Type="http://schemas.openxmlformats.org/officeDocument/2006/relationships/hyperlink" Target="https://michigansmash.challonge.com/SMASHORDIE6" TargetMode="External"/><Relationship Id="rId103" Type="http://schemas.openxmlformats.org/officeDocument/2006/relationships/hyperlink" Target="https://smash.gg/tournament/showdown-battle-royale-3/events/melee-singles/brackets/295231" TargetMode="External"/><Relationship Id="rId102" Type="http://schemas.openxmlformats.org/officeDocument/2006/relationships/hyperlink" Target="https://smash.gg/tournament/friday-night-smash-delight-a-mini-showdown-3/events/melee-singles" TargetMode="External"/><Relationship Id="rId101" Type="http://schemas.openxmlformats.org/officeDocument/2006/relationships/hyperlink" Target="https://michigansmash.challonge.com/smashordie4doubles" TargetMode="External"/><Relationship Id="rId100" Type="http://schemas.openxmlformats.org/officeDocument/2006/relationships/hyperlink" Target="https://michigansmash.challonge.com/smashordie4" TargetMode="External"/><Relationship Id="rId215" Type="http://schemas.openxmlformats.org/officeDocument/2006/relationships/drawing" Target="../drawings/drawing1.xml"/><Relationship Id="rId214" Type="http://schemas.openxmlformats.org/officeDocument/2006/relationships/hyperlink" Target="https://smash.gg/tournament/the-mitten-midway-dx/event/melee-doubles/standings" TargetMode="External"/><Relationship Id="rId213" Type="http://schemas.openxmlformats.org/officeDocument/2006/relationships/hyperlink" Target="https://smash.gg/tournament/the-mitten-midway-dx/event/melee-singles/overview" TargetMode="External"/><Relationship Id="rId212" Type="http://schemas.openxmlformats.org/officeDocument/2006/relationships/hyperlink" Target="https://michigansmash.challonge.com/smashproof2" TargetMode="External"/><Relationship Id="rId211" Type="http://schemas.openxmlformats.org/officeDocument/2006/relationships/hyperlink" Target="https://smash.gg/tournament/aew-auburn-s-excellent-weekly-5/event/melee-doubles/overview" TargetMode="External"/><Relationship Id="rId210" Type="http://schemas.openxmlformats.org/officeDocument/2006/relationships/hyperlink" Target="https://smash.gg/tournament/aew-auburn-s-excellent-weekly-5/event/melee-singles/overview" TargetMode="External"/><Relationship Id="rId129" Type="http://schemas.openxmlformats.org/officeDocument/2006/relationships/hyperlink" Target="https://smash.gg/tournament/the-big-house-8/events/melee-singles/overview" TargetMode="External"/><Relationship Id="rId128" Type="http://schemas.openxmlformats.org/officeDocument/2006/relationships/hyperlink" Target="https://michigansmash.challonge.com/SOD13DOUBLES" TargetMode="External"/><Relationship Id="rId127" Type="http://schemas.openxmlformats.org/officeDocument/2006/relationships/hyperlink" Target="https://michigansmash.challonge.com/SOD13" TargetMode="External"/><Relationship Id="rId126" Type="http://schemas.openxmlformats.org/officeDocument/2006/relationships/hyperlink" Target="https://michigansmash.challonge.com/SOD12" TargetMode="External"/><Relationship Id="rId121" Type="http://schemas.openxmlformats.org/officeDocument/2006/relationships/hyperlink" Target="https://smash.gg/tournament/here-be-mid-tiers-3-ft-250-pot-bonus/events/melee-singles/brackets/324305/656669" TargetMode="External"/><Relationship Id="rId120" Type="http://schemas.openxmlformats.org/officeDocument/2006/relationships/hyperlink" Target="https://michigansmash.challonge.com/SOD9DOUBLES" TargetMode="External"/><Relationship Id="rId125" Type="http://schemas.openxmlformats.org/officeDocument/2006/relationships/hyperlink" Target="https://michigansmash.challonge.com/SOD11DOUBLES" TargetMode="External"/><Relationship Id="rId124" Type="http://schemas.openxmlformats.org/officeDocument/2006/relationships/hyperlink" Target="https://michigansmash.challonge.com/SMASHORDIE11" TargetMode="External"/><Relationship Id="rId123" Type="http://schemas.openxmlformats.org/officeDocument/2006/relationships/hyperlink" Target="https://michigansmash.challonge.com/SOD10" TargetMode="External"/><Relationship Id="rId122" Type="http://schemas.openxmlformats.org/officeDocument/2006/relationships/hyperlink" Target="https://smash.gg/tournament/here-be-mid-tiers-3-ft-250-pot-bonus/events/doubles/standings" TargetMode="External"/><Relationship Id="rId95" Type="http://schemas.openxmlformats.org/officeDocument/2006/relationships/hyperlink" Target="https://smash.gg/tournament/birds-of-prey-2/events/melee-doubles/overview?filter=%7B%22search%22%3A%7B%22fieldsToSearch%22%3A%5B%22gamerTag%22%2C%22playerName%22%5D%7D%7D&amp;page=1&amp;sortBy=" TargetMode="External"/><Relationship Id="rId94" Type="http://schemas.openxmlformats.org/officeDocument/2006/relationships/hyperlink" Target="https://smash.gg/tournament/birds-of-prey-2/events/melee-singles" TargetMode="External"/><Relationship Id="rId97" Type="http://schemas.openxmlformats.org/officeDocument/2006/relationships/hyperlink" Target="https://michigansmash.challonge.com/UMeMe109Doubles" TargetMode="External"/><Relationship Id="rId96" Type="http://schemas.openxmlformats.org/officeDocument/2006/relationships/hyperlink" Target="https://michigansmash.challonge.com/UMeMe109" TargetMode="External"/><Relationship Id="rId99" Type="http://schemas.openxmlformats.org/officeDocument/2006/relationships/hyperlink" Target="https://michigansmash.challonge.com/umeme110doubles" TargetMode="External"/><Relationship Id="rId98" Type="http://schemas.openxmlformats.org/officeDocument/2006/relationships/hyperlink" Target="https://michigansmash.challonge.com/UMeMe110" TargetMode="External"/><Relationship Id="rId91" Type="http://schemas.openxmlformats.org/officeDocument/2006/relationships/hyperlink" Target="https://smash.gg/tournament/friday-night-smash-delight-69-saints-gaming-live-edition/events/melee-singles" TargetMode="External"/><Relationship Id="rId90" Type="http://schemas.openxmlformats.org/officeDocument/2006/relationships/hyperlink" Target="https://challonge.com/theiliad14" TargetMode="External"/><Relationship Id="rId93" Type="http://schemas.openxmlformats.org/officeDocument/2006/relationships/hyperlink" Target="https://michigansmash.challonge.com/smashordie2doubles" TargetMode="External"/><Relationship Id="rId92" Type="http://schemas.openxmlformats.org/officeDocument/2006/relationships/hyperlink" Target="https://michigansmash.challonge.com/SMASHORDIE2" TargetMode="External"/><Relationship Id="rId118" Type="http://schemas.openxmlformats.org/officeDocument/2006/relationships/hyperlink" Target="https://michigansmash.challonge.com/UMEME115Doubles" TargetMode="External"/><Relationship Id="rId117" Type="http://schemas.openxmlformats.org/officeDocument/2006/relationships/hyperlink" Target="https://michigansmash.challonge.com/umeme115" TargetMode="External"/><Relationship Id="rId116" Type="http://schemas.openxmlformats.org/officeDocument/2006/relationships/hyperlink" Target="https://challonge.com/smashordie8" TargetMode="External"/><Relationship Id="rId115" Type="http://schemas.openxmlformats.org/officeDocument/2006/relationships/hyperlink" Target="https://challonge.com/randr" TargetMode="External"/><Relationship Id="rId119" Type="http://schemas.openxmlformats.org/officeDocument/2006/relationships/hyperlink" Target="https://michigansmash.challonge.com/SMASHORDIE9" TargetMode="External"/><Relationship Id="rId110" Type="http://schemas.openxmlformats.org/officeDocument/2006/relationships/hyperlink" Target="https://michigansmash.challonge.com/umeme113" TargetMode="External"/><Relationship Id="rId114" Type="http://schemas.openxmlformats.org/officeDocument/2006/relationships/hyperlink" Target="https://challonge.com/randrd" TargetMode="External"/><Relationship Id="rId113" Type="http://schemas.openxmlformats.org/officeDocument/2006/relationships/hyperlink" Target="https://michigansmash.challonge.com/SOD7DOUBLES" TargetMode="External"/><Relationship Id="rId112" Type="http://schemas.openxmlformats.org/officeDocument/2006/relationships/hyperlink" Target="https://michigansmash.challonge.com/b91nkbfn" TargetMode="External"/><Relationship Id="rId111" Type="http://schemas.openxmlformats.org/officeDocument/2006/relationships/hyperlink" Target="https://challonge.com/umeme113doubles" TargetMode="External"/><Relationship Id="rId206" Type="http://schemas.openxmlformats.org/officeDocument/2006/relationships/hyperlink" Target="https://smash.gg/tournament/auburn-s-excellent-weekly-3/event/melee-singles/standings" TargetMode="External"/><Relationship Id="rId205" Type="http://schemas.openxmlformats.org/officeDocument/2006/relationships/hyperlink" Target="https://smash.gg/tournament/auburn-s-excellent-weekly-2/event/melee-doubles/standings" TargetMode="External"/><Relationship Id="rId204" Type="http://schemas.openxmlformats.org/officeDocument/2006/relationships/hyperlink" Target="https://smash.gg/tournament/auburn-s-excellent-weekly-2/event/melee-singles/standings" TargetMode="External"/><Relationship Id="rId203" Type="http://schemas.openxmlformats.org/officeDocument/2006/relationships/hyperlink" Target="https://michigansmash.challonge.com/smashproof1" TargetMode="External"/><Relationship Id="rId209" Type="http://schemas.openxmlformats.org/officeDocument/2006/relationships/hyperlink" Target="https://michigansmash.challonge.com/cth25" TargetMode="External"/><Relationship Id="rId208" Type="http://schemas.openxmlformats.org/officeDocument/2006/relationships/hyperlink" Target="https://smash.gg/tournament/michigan-melee-arcadian-winter-2020-edition-1/event/melee-singles/standings" TargetMode="External"/><Relationship Id="rId207" Type="http://schemas.openxmlformats.org/officeDocument/2006/relationships/hyperlink" Target="https://smash.gg/tournament/auburn-s-excellent-weekly-3/event/melee-doubles/overview" TargetMode="External"/><Relationship Id="rId202" Type="http://schemas.openxmlformats.org/officeDocument/2006/relationships/hyperlink" Target="https://challonge.com/detroitafterdark1" TargetMode="External"/><Relationship Id="rId201" Type="http://schemas.openxmlformats.org/officeDocument/2006/relationships/hyperlink" Target="https://michigansmash.challonge.com/AEW1dubs" TargetMode="External"/><Relationship Id="rId200" Type="http://schemas.openxmlformats.org/officeDocument/2006/relationships/hyperlink" Target="https://michigansmash.challonge.com/AEW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michigansmash.challonge.com/fnsd66meleesingles/log" TargetMode="External"/><Relationship Id="rId2" Type="http://schemas.openxmlformats.org/officeDocument/2006/relationships/hyperlink" Target="https://smash.gg/tournament/friday-night-smash-delight-69-saints-gaming-live-edition/events/project-m-1v1/brackets/270800" TargetMode="External"/><Relationship Id="rId3" Type="http://schemas.openxmlformats.org/officeDocument/2006/relationships/hyperlink" Target="https://smash.gg/tournament/friday-night-smash-delight-a-mini-showdown-3/events/pm-singles" TargetMode="External"/><Relationship Id="rId4" Type="http://schemas.openxmlformats.org/officeDocument/2006/relationships/hyperlink" Target="https://challonge.com/fnhs72" TargetMode="External"/><Relationship Id="rId5" Type="http://schemas.openxmlformats.org/officeDocument/2006/relationships/hyperlink" Target="https://smash.gg/tournament/heroes-ultimate-charity-launch-event-1/events/melee-singles/overview" TargetMode="External"/><Relationship Id="rId6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7.86"/>
    <col customWidth="1" min="2" max="5" width="11.86"/>
    <col customWidth="1" min="8" max="8" width="14.14"/>
    <col customWidth="1" min="9" max="9" width="21.71"/>
    <col customWidth="1" min="10" max="10" width="16.71"/>
    <col customWidth="1" min="11" max="11" width="6.71"/>
    <col customWidth="1" min="12" max="12" width="9.43"/>
    <col customWidth="1" min="13" max="14" width="11.43"/>
    <col customWidth="1" min="15" max="16" width="11.29"/>
    <col customWidth="1" min="17" max="17" width="12.86"/>
  </cols>
  <sheetData>
    <row r="1" ht="32.25" customHeight="1">
      <c r="A1" s="1" t="s">
        <v>0</v>
      </c>
      <c r="B1" s="2"/>
      <c r="C1" s="2" t="s">
        <v>1</v>
      </c>
      <c r="D1" s="2" t="s">
        <v>2</v>
      </c>
      <c r="E1" s="3" t="s">
        <v>3</v>
      </c>
      <c r="F1" s="2" t="s">
        <v>4</v>
      </c>
      <c r="G1" s="1" t="s">
        <v>5</v>
      </c>
      <c r="H1" s="1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6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7" t="s">
        <v>16</v>
      </c>
      <c r="S1" s="8"/>
      <c r="T1" s="8"/>
      <c r="U1" s="8"/>
    </row>
    <row r="2">
      <c r="A2" s="9" t="s">
        <v>17</v>
      </c>
      <c r="B2" s="10" t="s">
        <v>18</v>
      </c>
      <c r="C2" s="11" t="s">
        <v>19</v>
      </c>
      <c r="D2" s="9" t="s">
        <v>17</v>
      </c>
      <c r="E2" s="12">
        <v>42238.0</v>
      </c>
      <c r="F2" s="13" t="str">
        <f t="shared" ref="F2:F12" si="1">TEXT(E2, "mmm") &amp; "-" &amp; TEXT(E2, "yyyy") </f>
        <v>Aug-2015</v>
      </c>
      <c r="G2" s="13" t="s">
        <v>20</v>
      </c>
      <c r="H2" s="13" t="s">
        <v>21</v>
      </c>
      <c r="I2" s="14" t="s">
        <v>22</v>
      </c>
      <c r="J2" s="15" t="s">
        <v>23</v>
      </c>
      <c r="K2" s="16" t="s">
        <v>9</v>
      </c>
      <c r="L2" s="16" t="s">
        <v>24</v>
      </c>
      <c r="M2" s="17" t="s">
        <v>24</v>
      </c>
      <c r="N2" s="18"/>
      <c r="O2" s="18"/>
      <c r="P2" s="18"/>
      <c r="Q2" s="18"/>
    </row>
    <row r="3">
      <c r="A3" s="10" t="s">
        <v>18</v>
      </c>
      <c r="B3" s="10" t="s">
        <v>18</v>
      </c>
      <c r="C3" s="11" t="s">
        <v>19</v>
      </c>
      <c r="D3" s="9" t="s">
        <v>17</v>
      </c>
      <c r="E3" s="12">
        <v>42238.0</v>
      </c>
      <c r="F3" s="13" t="str">
        <f t="shared" si="1"/>
        <v>Aug-2015</v>
      </c>
      <c r="G3" s="13" t="s">
        <v>25</v>
      </c>
      <c r="H3" s="13" t="s">
        <v>21</v>
      </c>
      <c r="I3" s="14" t="s">
        <v>22</v>
      </c>
      <c r="J3" s="15" t="s">
        <v>23</v>
      </c>
      <c r="K3" s="16" t="s">
        <v>9</v>
      </c>
      <c r="L3" s="16" t="s">
        <v>24</v>
      </c>
      <c r="M3" s="19"/>
      <c r="N3" s="18"/>
      <c r="O3" s="18"/>
      <c r="P3" s="18"/>
      <c r="Q3" s="18"/>
    </row>
    <row r="4">
      <c r="A4" s="10" t="s">
        <v>26</v>
      </c>
      <c r="B4" s="10" t="s">
        <v>18</v>
      </c>
      <c r="C4" s="11" t="s">
        <v>19</v>
      </c>
      <c r="D4" s="9" t="s">
        <v>17</v>
      </c>
      <c r="E4" s="20">
        <v>42238.0</v>
      </c>
      <c r="F4" s="21" t="str">
        <f t="shared" si="1"/>
        <v>Aug-2015</v>
      </c>
      <c r="G4" s="22" t="s">
        <v>20</v>
      </c>
      <c r="H4" s="22" t="s">
        <v>21</v>
      </c>
      <c r="I4" s="23"/>
      <c r="J4" s="24" t="s">
        <v>27</v>
      </c>
      <c r="K4" s="25" t="s">
        <v>9</v>
      </c>
      <c r="L4" s="25" t="s">
        <v>24</v>
      </c>
      <c r="M4" s="26" t="s">
        <v>28</v>
      </c>
      <c r="N4" s="27"/>
      <c r="O4" s="27"/>
      <c r="P4" s="27"/>
      <c r="Q4" s="27"/>
    </row>
    <row r="5">
      <c r="A5" s="28">
        <v>42238.0</v>
      </c>
      <c r="B5" s="10" t="s">
        <v>18</v>
      </c>
      <c r="C5" s="11" t="s">
        <v>19</v>
      </c>
      <c r="D5" s="9" t="s">
        <v>17</v>
      </c>
      <c r="E5" s="20">
        <v>42238.0</v>
      </c>
      <c r="F5" s="21" t="str">
        <f t="shared" si="1"/>
        <v>Aug-2015</v>
      </c>
      <c r="G5" s="22" t="s">
        <v>25</v>
      </c>
      <c r="H5" s="22" t="s">
        <v>21</v>
      </c>
      <c r="I5" s="23"/>
      <c r="J5" s="24" t="s">
        <v>9</v>
      </c>
      <c r="K5" s="25" t="s">
        <v>9</v>
      </c>
      <c r="L5" s="25" t="s">
        <v>24</v>
      </c>
      <c r="M5" s="26"/>
      <c r="N5" s="29" t="s">
        <v>29</v>
      </c>
      <c r="O5" s="30"/>
      <c r="P5" s="30"/>
      <c r="Q5" s="30"/>
    </row>
    <row r="6">
      <c r="A6" s="11" t="s">
        <v>19</v>
      </c>
      <c r="B6" s="10" t="s">
        <v>18</v>
      </c>
      <c r="C6" s="11" t="s">
        <v>19</v>
      </c>
      <c r="D6" s="9" t="s">
        <v>17</v>
      </c>
      <c r="E6" s="12">
        <v>42238.0</v>
      </c>
      <c r="F6" s="13" t="str">
        <f t="shared" si="1"/>
        <v>Aug-2015</v>
      </c>
      <c r="G6" s="13" t="s">
        <v>20</v>
      </c>
      <c r="H6" s="13" t="s">
        <v>21</v>
      </c>
      <c r="I6" s="14"/>
      <c r="J6" s="15" t="s">
        <v>23</v>
      </c>
      <c r="K6" s="16" t="s">
        <v>9</v>
      </c>
      <c r="L6" s="16" t="s">
        <v>24</v>
      </c>
      <c r="M6" s="17" t="s">
        <v>24</v>
      </c>
      <c r="N6" s="18"/>
      <c r="O6" s="18"/>
      <c r="P6" s="18"/>
      <c r="Q6" s="18"/>
    </row>
    <row r="7">
      <c r="A7" s="31"/>
      <c r="B7" s="10" t="s">
        <v>18</v>
      </c>
      <c r="C7" s="11" t="s">
        <v>19</v>
      </c>
      <c r="D7" s="9" t="s">
        <v>17</v>
      </c>
      <c r="E7" s="12">
        <v>42238.0</v>
      </c>
      <c r="F7" s="13" t="str">
        <f t="shared" si="1"/>
        <v>Aug-2015</v>
      </c>
      <c r="G7" s="13" t="s">
        <v>25</v>
      </c>
      <c r="H7" s="13" t="s">
        <v>21</v>
      </c>
      <c r="I7" s="14"/>
      <c r="J7" s="15" t="s">
        <v>23</v>
      </c>
      <c r="K7" s="16" t="s">
        <v>9</v>
      </c>
      <c r="L7" s="16" t="s">
        <v>24</v>
      </c>
      <c r="M7" s="19"/>
      <c r="N7" s="18"/>
      <c r="O7" s="18"/>
      <c r="P7" s="18"/>
      <c r="Q7" s="18"/>
    </row>
    <row r="8">
      <c r="A8" s="31"/>
      <c r="B8" s="10" t="s">
        <v>18</v>
      </c>
      <c r="C8" s="11" t="s">
        <v>19</v>
      </c>
      <c r="D8" s="9" t="s">
        <v>17</v>
      </c>
      <c r="E8" s="20">
        <v>42238.0</v>
      </c>
      <c r="F8" s="21" t="str">
        <f t="shared" si="1"/>
        <v>Aug-2015</v>
      </c>
      <c r="G8" s="22" t="s">
        <v>20</v>
      </c>
      <c r="H8" s="22" t="s">
        <v>21</v>
      </c>
      <c r="I8" s="23"/>
      <c r="J8" s="24" t="s">
        <v>9</v>
      </c>
      <c r="K8" s="25" t="s">
        <v>9</v>
      </c>
      <c r="L8" s="25" t="s">
        <v>30</v>
      </c>
      <c r="M8" s="26" t="s">
        <v>30</v>
      </c>
      <c r="N8" s="27"/>
      <c r="O8" s="27"/>
      <c r="P8" s="27"/>
      <c r="Q8" s="27"/>
    </row>
    <row r="9">
      <c r="A9" s="31"/>
      <c r="B9" s="10" t="s">
        <v>18</v>
      </c>
      <c r="C9" s="11" t="s">
        <v>19</v>
      </c>
      <c r="D9" s="9" t="s">
        <v>17</v>
      </c>
      <c r="E9" s="20">
        <v>42238.0</v>
      </c>
      <c r="F9" s="21" t="str">
        <f t="shared" si="1"/>
        <v>Aug-2015</v>
      </c>
      <c r="G9" s="22" t="s">
        <v>25</v>
      </c>
      <c r="H9" s="22" t="s">
        <v>21</v>
      </c>
      <c r="I9" s="23"/>
      <c r="J9" s="24" t="s">
        <v>9</v>
      </c>
      <c r="K9" s="25" t="s">
        <v>9</v>
      </c>
      <c r="L9" s="25" t="s">
        <v>30</v>
      </c>
      <c r="M9" s="32"/>
      <c r="N9" s="27"/>
      <c r="O9" s="27"/>
      <c r="P9" s="27"/>
      <c r="Q9" s="27"/>
    </row>
    <row r="10">
      <c r="A10" s="31"/>
      <c r="B10" s="10" t="s">
        <v>18</v>
      </c>
      <c r="C10" s="11" t="s">
        <v>19</v>
      </c>
      <c r="D10" s="9" t="s">
        <v>17</v>
      </c>
      <c r="E10" s="12">
        <v>42238.0</v>
      </c>
      <c r="F10" s="13" t="str">
        <f t="shared" si="1"/>
        <v>Aug-2015</v>
      </c>
      <c r="G10" s="13" t="s">
        <v>20</v>
      </c>
      <c r="H10" s="13" t="s">
        <v>31</v>
      </c>
      <c r="I10" s="14"/>
      <c r="J10" s="15" t="s">
        <v>9</v>
      </c>
      <c r="K10" s="16" t="s">
        <v>9</v>
      </c>
      <c r="L10" s="16" t="s">
        <v>30</v>
      </c>
      <c r="M10" s="17" t="s">
        <v>30</v>
      </c>
      <c r="N10" s="18"/>
      <c r="O10" s="18"/>
      <c r="P10" s="18"/>
      <c r="Q10" s="18"/>
    </row>
    <row r="11">
      <c r="A11" s="31"/>
      <c r="B11" s="10" t="s">
        <v>18</v>
      </c>
      <c r="C11" s="11" t="s">
        <v>19</v>
      </c>
      <c r="D11" s="9" t="s">
        <v>17</v>
      </c>
      <c r="E11" s="12">
        <v>42238.0</v>
      </c>
      <c r="F11" s="13" t="str">
        <f t="shared" si="1"/>
        <v>Aug-2015</v>
      </c>
      <c r="G11" s="13" t="s">
        <v>25</v>
      </c>
      <c r="H11" s="13" t="s">
        <v>21</v>
      </c>
      <c r="I11" s="14"/>
      <c r="J11" s="15" t="s">
        <v>9</v>
      </c>
      <c r="K11" s="16" t="s">
        <v>9</v>
      </c>
      <c r="L11" s="16" t="s">
        <v>24</v>
      </c>
      <c r="M11" s="19"/>
      <c r="N11" s="18"/>
      <c r="O11" s="18"/>
      <c r="P11" s="18"/>
      <c r="Q11" s="18"/>
    </row>
    <row r="12">
      <c r="A12" s="33"/>
      <c r="B12" s="10" t="s">
        <v>18</v>
      </c>
      <c r="C12" s="11" t="s">
        <v>19</v>
      </c>
      <c r="D12" s="9" t="s">
        <v>17</v>
      </c>
      <c r="E12" s="34">
        <v>42238.0</v>
      </c>
      <c r="F12" s="35" t="str">
        <f t="shared" si="1"/>
        <v>Aug-2015</v>
      </c>
      <c r="G12" s="35" t="s">
        <v>32</v>
      </c>
      <c r="H12" s="35" t="s">
        <v>21</v>
      </c>
      <c r="I12" s="36"/>
      <c r="J12" s="37" t="s">
        <v>9</v>
      </c>
      <c r="K12" s="38" t="s">
        <v>9</v>
      </c>
      <c r="L12" s="38" t="s">
        <v>30</v>
      </c>
      <c r="M12" s="39"/>
      <c r="N12" s="40"/>
      <c r="O12" s="40"/>
      <c r="P12" s="40"/>
      <c r="Q12" s="40"/>
    </row>
    <row r="13">
      <c r="A13" s="41"/>
      <c r="B13" s="42"/>
      <c r="C13" s="42"/>
      <c r="D13" s="42"/>
      <c r="E13" s="42"/>
      <c r="F13" s="43"/>
      <c r="G13" s="43"/>
      <c r="H13" s="43"/>
      <c r="I13" s="23"/>
      <c r="M13" s="32"/>
      <c r="N13" s="43"/>
      <c r="O13" s="43"/>
      <c r="P13" s="43"/>
      <c r="Q13" s="43"/>
    </row>
    <row r="14">
      <c r="A14" s="9" t="s">
        <v>33</v>
      </c>
      <c r="B14" s="10" t="s">
        <v>34</v>
      </c>
      <c r="C14" s="44" t="s">
        <v>19</v>
      </c>
      <c r="D14" s="9" t="s">
        <v>33</v>
      </c>
      <c r="E14" s="12">
        <v>42308.0</v>
      </c>
      <c r="F14" s="13" t="str">
        <f t="shared" ref="F14:F18" si="2">TEXT(E14, "mmm") &amp; "-" &amp; TEXT(E14, "yyyy") </f>
        <v>Oct-2015</v>
      </c>
      <c r="G14" s="13" t="s">
        <v>20</v>
      </c>
      <c r="H14" s="13" t="s">
        <v>35</v>
      </c>
      <c r="I14" s="45" t="s">
        <v>36</v>
      </c>
      <c r="J14" s="46" t="s">
        <v>23</v>
      </c>
      <c r="K14" s="47" t="s">
        <v>9</v>
      </c>
      <c r="L14" s="47" t="s">
        <v>24</v>
      </c>
      <c r="M14" s="17" t="s">
        <v>24</v>
      </c>
      <c r="N14" s="18"/>
      <c r="O14" s="18"/>
      <c r="P14" s="18"/>
      <c r="Q14" s="18"/>
    </row>
    <row r="15">
      <c r="A15" s="10" t="s">
        <v>34</v>
      </c>
      <c r="B15" s="10" t="s">
        <v>34</v>
      </c>
      <c r="C15" s="44" t="s">
        <v>19</v>
      </c>
      <c r="D15" s="9" t="s">
        <v>33</v>
      </c>
      <c r="E15" s="12">
        <v>42308.0</v>
      </c>
      <c r="F15" s="13" t="str">
        <f t="shared" si="2"/>
        <v>Oct-2015</v>
      </c>
      <c r="G15" s="13" t="s">
        <v>25</v>
      </c>
      <c r="H15" s="13" t="s">
        <v>35</v>
      </c>
      <c r="I15" s="48" t="s">
        <v>36</v>
      </c>
      <c r="J15" s="15" t="s">
        <v>23</v>
      </c>
      <c r="K15" s="16" t="s">
        <v>9</v>
      </c>
      <c r="L15" s="16" t="s">
        <v>24</v>
      </c>
      <c r="M15" s="17"/>
      <c r="N15" s="49" t="s">
        <v>37</v>
      </c>
      <c r="O15" s="18"/>
      <c r="P15" s="18"/>
      <c r="Q15" s="18"/>
    </row>
    <row r="16">
      <c r="A16" s="11" t="s">
        <v>38</v>
      </c>
      <c r="B16" s="10" t="s">
        <v>34</v>
      </c>
      <c r="C16" s="44" t="s">
        <v>19</v>
      </c>
      <c r="D16" s="9" t="s">
        <v>33</v>
      </c>
      <c r="E16" s="20">
        <v>42308.0</v>
      </c>
      <c r="F16" s="21" t="str">
        <f t="shared" si="2"/>
        <v>Oct-2015</v>
      </c>
      <c r="G16" s="22" t="s">
        <v>20</v>
      </c>
      <c r="H16" s="22" t="s">
        <v>35</v>
      </c>
      <c r="I16" s="23" t="s">
        <v>39</v>
      </c>
      <c r="J16" s="24" t="s">
        <v>40</v>
      </c>
      <c r="K16" s="25" t="s">
        <v>9</v>
      </c>
      <c r="L16" s="25" t="s">
        <v>24</v>
      </c>
      <c r="M16" s="26" t="s">
        <v>24</v>
      </c>
      <c r="N16" s="27"/>
      <c r="O16" s="27"/>
      <c r="P16" s="27"/>
      <c r="Q16" s="27"/>
    </row>
    <row r="17">
      <c r="A17" s="28">
        <v>42308.0</v>
      </c>
      <c r="B17" s="10" t="s">
        <v>34</v>
      </c>
      <c r="C17" s="44" t="s">
        <v>19</v>
      </c>
      <c r="D17" s="9" t="s">
        <v>33</v>
      </c>
      <c r="E17" s="20">
        <v>42308.0</v>
      </c>
      <c r="F17" s="21" t="str">
        <f t="shared" si="2"/>
        <v>Oct-2015</v>
      </c>
      <c r="G17" s="22" t="s">
        <v>25</v>
      </c>
      <c r="H17" s="22" t="s">
        <v>35</v>
      </c>
      <c r="I17" s="23" t="s">
        <v>39</v>
      </c>
      <c r="J17" s="24" t="s">
        <v>40</v>
      </c>
      <c r="K17" s="25" t="s">
        <v>9</v>
      </c>
      <c r="L17" s="25" t="s">
        <v>30</v>
      </c>
      <c r="M17" s="32"/>
      <c r="N17" s="27"/>
      <c r="O17" s="27"/>
      <c r="P17" s="27"/>
      <c r="Q17" s="27"/>
    </row>
    <row r="18">
      <c r="A18" s="44" t="s">
        <v>19</v>
      </c>
      <c r="B18" s="10" t="s">
        <v>34</v>
      </c>
      <c r="C18" s="44" t="s">
        <v>19</v>
      </c>
      <c r="D18" s="9" t="s">
        <v>33</v>
      </c>
      <c r="E18" s="50">
        <v>42308.0</v>
      </c>
      <c r="F18" s="51" t="str">
        <f t="shared" si="2"/>
        <v>Oct-2015</v>
      </c>
      <c r="G18" s="52" t="s">
        <v>32</v>
      </c>
      <c r="H18" s="52" t="s">
        <v>35</v>
      </c>
      <c r="I18" s="53" t="s">
        <v>39</v>
      </c>
      <c r="J18" s="54" t="s">
        <v>40</v>
      </c>
      <c r="K18" s="55" t="s">
        <v>9</v>
      </c>
      <c r="L18" s="55" t="s">
        <v>24</v>
      </c>
      <c r="M18" s="43"/>
      <c r="N18" s="56"/>
      <c r="O18" s="56"/>
      <c r="P18" s="56"/>
      <c r="Q18" s="56"/>
    </row>
    <row r="19">
      <c r="A19" s="41"/>
      <c r="B19" s="42"/>
      <c r="C19" s="42"/>
      <c r="D19" s="42"/>
      <c r="E19" s="42"/>
      <c r="F19" s="52"/>
      <c r="G19" s="52"/>
      <c r="H19" s="52"/>
      <c r="I19" s="23"/>
      <c r="L19" s="24"/>
      <c r="M19" s="32"/>
      <c r="N19" s="43"/>
      <c r="O19" s="43"/>
      <c r="P19" s="43"/>
      <c r="Q19" s="43"/>
    </row>
    <row r="20">
      <c r="A20" s="9" t="s">
        <v>41</v>
      </c>
      <c r="B20" s="10" t="s">
        <v>42</v>
      </c>
      <c r="C20" s="11" t="s">
        <v>19</v>
      </c>
      <c r="D20" s="9" t="s">
        <v>41</v>
      </c>
      <c r="E20" s="12">
        <v>42357.0</v>
      </c>
      <c r="F20" s="13" t="str">
        <f t="shared" ref="F20:F34" si="3">TEXT(E20, "mmm") &amp; "-" &amp; TEXT(E20, "yyyy") </f>
        <v>Dec-2015</v>
      </c>
      <c r="G20" s="13" t="s">
        <v>20</v>
      </c>
      <c r="H20" s="13" t="s">
        <v>21</v>
      </c>
      <c r="I20" s="45" t="s">
        <v>43</v>
      </c>
      <c r="J20" s="46" t="s">
        <v>44</v>
      </c>
      <c r="K20" s="47" t="s">
        <v>9</v>
      </c>
      <c r="L20" s="47" t="s">
        <v>30</v>
      </c>
      <c r="M20" s="17" t="s">
        <v>30</v>
      </c>
      <c r="N20" s="18"/>
      <c r="O20" s="18"/>
      <c r="P20" s="18"/>
      <c r="Q20" s="18"/>
    </row>
    <row r="21">
      <c r="A21" s="10" t="s">
        <v>42</v>
      </c>
      <c r="B21" s="10" t="s">
        <v>42</v>
      </c>
      <c r="C21" s="11" t="s">
        <v>19</v>
      </c>
      <c r="D21" s="9" t="s">
        <v>41</v>
      </c>
      <c r="E21" s="12">
        <v>42357.0</v>
      </c>
      <c r="F21" s="13" t="str">
        <f t="shared" si="3"/>
        <v>Dec-2015</v>
      </c>
      <c r="G21" s="13" t="s">
        <v>25</v>
      </c>
      <c r="H21" s="13" t="s">
        <v>21</v>
      </c>
      <c r="I21" s="14" t="s">
        <v>43</v>
      </c>
      <c r="J21" s="15" t="s">
        <v>44</v>
      </c>
      <c r="K21" s="16" t="s">
        <v>9</v>
      </c>
      <c r="L21" s="16" t="s">
        <v>30</v>
      </c>
      <c r="M21" s="19"/>
      <c r="N21" s="18"/>
      <c r="O21" s="18"/>
      <c r="P21" s="18"/>
      <c r="Q21" s="18"/>
    </row>
    <row r="22">
      <c r="A22" s="10" t="s">
        <v>45</v>
      </c>
      <c r="B22" s="10" t="s">
        <v>42</v>
      </c>
      <c r="C22" s="11" t="s">
        <v>19</v>
      </c>
      <c r="D22" s="9" t="s">
        <v>41</v>
      </c>
      <c r="E22" s="20">
        <v>42357.0</v>
      </c>
      <c r="F22" s="21" t="str">
        <f t="shared" si="3"/>
        <v>Dec-2015</v>
      </c>
      <c r="G22" s="22" t="s">
        <v>20</v>
      </c>
      <c r="H22" s="22" t="s">
        <v>21</v>
      </c>
      <c r="I22" s="23" t="s">
        <v>46</v>
      </c>
      <c r="J22" s="24" t="s">
        <v>27</v>
      </c>
      <c r="K22" s="25" t="s">
        <v>9</v>
      </c>
      <c r="L22" s="25" t="s">
        <v>24</v>
      </c>
      <c r="M22" s="26" t="s">
        <v>24</v>
      </c>
      <c r="N22" s="27"/>
      <c r="O22" s="27"/>
      <c r="P22" s="27"/>
      <c r="Q22" s="27"/>
    </row>
    <row r="23">
      <c r="A23" s="28">
        <v>42357.0</v>
      </c>
      <c r="B23" s="10" t="s">
        <v>42</v>
      </c>
      <c r="C23" s="11" t="s">
        <v>19</v>
      </c>
      <c r="D23" s="9" t="s">
        <v>41</v>
      </c>
      <c r="E23" s="20">
        <v>42357.0</v>
      </c>
      <c r="F23" s="21" t="str">
        <f t="shared" si="3"/>
        <v>Dec-2015</v>
      </c>
      <c r="G23" s="22" t="s">
        <v>25</v>
      </c>
      <c r="H23" s="22" t="s">
        <v>21</v>
      </c>
      <c r="I23" s="23" t="s">
        <v>46</v>
      </c>
      <c r="J23" s="24" t="s">
        <v>27</v>
      </c>
      <c r="K23" s="25" t="s">
        <v>9</v>
      </c>
      <c r="L23" s="25" t="s">
        <v>24</v>
      </c>
      <c r="M23" s="32"/>
      <c r="N23" s="27"/>
      <c r="O23" s="27"/>
      <c r="P23" s="27"/>
      <c r="Q23" s="27"/>
    </row>
    <row r="24">
      <c r="A24" s="11" t="s">
        <v>19</v>
      </c>
      <c r="B24" s="10" t="s">
        <v>42</v>
      </c>
      <c r="C24" s="11" t="s">
        <v>19</v>
      </c>
      <c r="D24" s="9" t="s">
        <v>41</v>
      </c>
      <c r="E24" s="12">
        <v>42357.0</v>
      </c>
      <c r="F24" s="13" t="str">
        <f t="shared" si="3"/>
        <v>Dec-2015</v>
      </c>
      <c r="G24" s="13" t="s">
        <v>20</v>
      </c>
      <c r="H24" s="13" t="s">
        <v>21</v>
      </c>
      <c r="I24" s="14" t="s">
        <v>47</v>
      </c>
      <c r="J24" s="15" t="s">
        <v>48</v>
      </c>
      <c r="K24" s="16" t="s">
        <v>9</v>
      </c>
      <c r="L24" s="16" t="s">
        <v>24</v>
      </c>
      <c r="M24" s="17" t="s">
        <v>24</v>
      </c>
      <c r="N24" s="18"/>
      <c r="O24" s="18"/>
      <c r="P24" s="18"/>
      <c r="Q24" s="18"/>
    </row>
    <row r="25">
      <c r="A25" s="31"/>
      <c r="B25" s="10" t="s">
        <v>42</v>
      </c>
      <c r="C25" s="11" t="s">
        <v>19</v>
      </c>
      <c r="D25" s="9" t="s">
        <v>41</v>
      </c>
      <c r="E25" s="12">
        <v>42357.0</v>
      </c>
      <c r="F25" s="13" t="str">
        <f t="shared" si="3"/>
        <v>Dec-2015</v>
      </c>
      <c r="G25" s="13" t="s">
        <v>25</v>
      </c>
      <c r="H25" s="13" t="s">
        <v>21</v>
      </c>
      <c r="I25" s="14" t="s">
        <v>47</v>
      </c>
      <c r="J25" s="15" t="s">
        <v>48</v>
      </c>
      <c r="K25" s="16" t="s">
        <v>9</v>
      </c>
      <c r="L25" s="16" t="s">
        <v>24</v>
      </c>
      <c r="M25" s="19"/>
      <c r="N25" s="18"/>
      <c r="O25" s="18"/>
      <c r="P25" s="18"/>
      <c r="Q25" s="18"/>
    </row>
    <row r="26">
      <c r="A26" s="31"/>
      <c r="B26" s="10" t="s">
        <v>42</v>
      </c>
      <c r="C26" s="11" t="s">
        <v>19</v>
      </c>
      <c r="D26" s="9" t="s">
        <v>41</v>
      </c>
      <c r="E26" s="20">
        <v>42357.0</v>
      </c>
      <c r="F26" s="21" t="str">
        <f t="shared" si="3"/>
        <v>Dec-2015</v>
      </c>
      <c r="G26" s="22" t="s">
        <v>20</v>
      </c>
      <c r="H26" s="22" t="s">
        <v>49</v>
      </c>
      <c r="I26" s="23" t="s">
        <v>43</v>
      </c>
      <c r="J26" s="24" t="s">
        <v>44</v>
      </c>
      <c r="K26" s="25" t="s">
        <v>9</v>
      </c>
      <c r="L26" s="25" t="s">
        <v>30</v>
      </c>
      <c r="M26" s="26" t="s">
        <v>30</v>
      </c>
      <c r="N26" s="30"/>
      <c r="O26" s="30"/>
      <c r="P26" s="30"/>
      <c r="Q26" s="30"/>
    </row>
    <row r="27">
      <c r="A27" s="31"/>
      <c r="B27" s="10" t="s">
        <v>42</v>
      </c>
      <c r="C27" s="11" t="s">
        <v>19</v>
      </c>
      <c r="D27" s="9" t="s">
        <v>41</v>
      </c>
      <c r="E27" s="20">
        <v>42357.0</v>
      </c>
      <c r="F27" s="21" t="str">
        <f t="shared" si="3"/>
        <v>Dec-2015</v>
      </c>
      <c r="G27" s="22" t="s">
        <v>25</v>
      </c>
      <c r="H27" s="22" t="s">
        <v>49</v>
      </c>
      <c r="I27" s="23" t="s">
        <v>43</v>
      </c>
      <c r="J27" s="24" t="s">
        <v>44</v>
      </c>
      <c r="K27" s="25" t="s">
        <v>9</v>
      </c>
      <c r="L27" s="25" t="s">
        <v>30</v>
      </c>
      <c r="M27" s="22"/>
      <c r="N27" s="30"/>
      <c r="O27" s="30"/>
      <c r="P27" s="30"/>
      <c r="Q27" s="30"/>
    </row>
    <row r="28">
      <c r="A28" s="31"/>
      <c r="B28" s="10" t="s">
        <v>42</v>
      </c>
      <c r="C28" s="11" t="s">
        <v>19</v>
      </c>
      <c r="D28" s="9" t="s">
        <v>41</v>
      </c>
      <c r="E28" s="12">
        <v>42357.0</v>
      </c>
      <c r="F28" s="13" t="str">
        <f t="shared" si="3"/>
        <v>Dec-2015</v>
      </c>
      <c r="G28" s="13" t="s">
        <v>20</v>
      </c>
      <c r="H28" s="13" t="s">
        <v>49</v>
      </c>
      <c r="I28" s="14" t="s">
        <v>50</v>
      </c>
      <c r="J28" s="15" t="s">
        <v>44</v>
      </c>
      <c r="K28" s="16" t="s">
        <v>9</v>
      </c>
      <c r="L28" s="16" t="s">
        <v>24</v>
      </c>
      <c r="M28" s="17" t="s">
        <v>24</v>
      </c>
      <c r="N28" s="18"/>
      <c r="O28" s="18"/>
      <c r="P28" s="18"/>
      <c r="Q28" s="18"/>
    </row>
    <row r="29">
      <c r="A29" s="31"/>
      <c r="B29" s="10" t="s">
        <v>42</v>
      </c>
      <c r="C29" s="11" t="s">
        <v>19</v>
      </c>
      <c r="D29" s="9" t="s">
        <v>41</v>
      </c>
      <c r="E29" s="12">
        <v>42357.0</v>
      </c>
      <c r="F29" s="13" t="str">
        <f t="shared" si="3"/>
        <v>Dec-2015</v>
      </c>
      <c r="G29" s="13" t="s">
        <v>25</v>
      </c>
      <c r="H29" s="13" t="s">
        <v>49</v>
      </c>
      <c r="I29" s="14" t="s">
        <v>50</v>
      </c>
      <c r="J29" s="15" t="s">
        <v>44</v>
      </c>
      <c r="K29" s="16" t="s">
        <v>9</v>
      </c>
      <c r="L29" s="16" t="s">
        <v>30</v>
      </c>
      <c r="M29" s="19"/>
      <c r="N29" s="18"/>
      <c r="O29" s="18"/>
      <c r="P29" s="18"/>
      <c r="Q29" s="18"/>
    </row>
    <row r="30">
      <c r="A30" s="31"/>
      <c r="B30" s="10" t="s">
        <v>42</v>
      </c>
      <c r="C30" s="11" t="s">
        <v>19</v>
      </c>
      <c r="D30" s="9" t="s">
        <v>41</v>
      </c>
      <c r="E30" s="12">
        <v>42357.0</v>
      </c>
      <c r="F30" s="13" t="str">
        <f t="shared" si="3"/>
        <v>Dec-2015</v>
      </c>
      <c r="G30" s="13" t="s">
        <v>32</v>
      </c>
      <c r="H30" s="13" t="s">
        <v>49</v>
      </c>
      <c r="I30" s="14" t="s">
        <v>50</v>
      </c>
      <c r="J30" s="15" t="s">
        <v>44</v>
      </c>
      <c r="K30" s="16" t="s">
        <v>9</v>
      </c>
      <c r="L30" s="16" t="s">
        <v>24</v>
      </c>
      <c r="M30" s="13"/>
      <c r="N30" s="57"/>
      <c r="O30" s="57"/>
      <c r="P30" s="57"/>
      <c r="Q30" s="57"/>
    </row>
    <row r="31">
      <c r="A31" s="31"/>
      <c r="B31" s="10" t="s">
        <v>42</v>
      </c>
      <c r="C31" s="11" t="s">
        <v>19</v>
      </c>
      <c r="D31" s="9" t="s">
        <v>41</v>
      </c>
      <c r="E31" s="58">
        <v>42357.0</v>
      </c>
      <c r="F31" s="59" t="str">
        <f t="shared" si="3"/>
        <v>Dec-2015</v>
      </c>
      <c r="G31" s="59" t="s">
        <v>51</v>
      </c>
      <c r="H31" s="59" t="s">
        <v>49</v>
      </c>
      <c r="I31" s="60" t="s">
        <v>52</v>
      </c>
      <c r="J31" s="61"/>
      <c r="K31" s="61"/>
      <c r="L31" s="62" t="s">
        <v>51</v>
      </c>
      <c r="M31" s="63"/>
      <c r="N31" s="64"/>
      <c r="O31" s="64"/>
      <c r="P31" s="64"/>
      <c r="Q31" s="64"/>
    </row>
    <row r="32">
      <c r="A32" s="31"/>
      <c r="B32" s="10" t="s">
        <v>42</v>
      </c>
      <c r="C32" s="11" t="s">
        <v>19</v>
      </c>
      <c r="D32" s="9" t="s">
        <v>41</v>
      </c>
      <c r="E32" s="20">
        <v>42357.0</v>
      </c>
      <c r="F32" s="21" t="str">
        <f t="shared" si="3"/>
        <v>Dec-2015</v>
      </c>
      <c r="G32" s="22" t="s">
        <v>20</v>
      </c>
      <c r="H32" s="22" t="s">
        <v>49</v>
      </c>
      <c r="I32" s="23" t="s">
        <v>53</v>
      </c>
      <c r="J32" s="24" t="s">
        <v>9</v>
      </c>
      <c r="K32" s="25" t="s">
        <v>9</v>
      </c>
      <c r="L32" s="25" t="s">
        <v>24</v>
      </c>
      <c r="M32" s="26" t="s">
        <v>24</v>
      </c>
      <c r="N32" s="27"/>
      <c r="O32" s="27"/>
      <c r="P32" s="27"/>
      <c r="Q32" s="27"/>
    </row>
    <row r="33">
      <c r="A33" s="31"/>
      <c r="B33" s="10" t="s">
        <v>42</v>
      </c>
      <c r="C33" s="11" t="s">
        <v>19</v>
      </c>
      <c r="D33" s="9" t="s">
        <v>41</v>
      </c>
      <c r="E33" s="20">
        <v>42357.0</v>
      </c>
      <c r="F33" s="21" t="str">
        <f t="shared" si="3"/>
        <v>Dec-2015</v>
      </c>
      <c r="G33" s="22" t="s">
        <v>25</v>
      </c>
      <c r="H33" s="22" t="s">
        <v>49</v>
      </c>
      <c r="I33" s="23" t="s">
        <v>53</v>
      </c>
      <c r="J33" s="24" t="s">
        <v>9</v>
      </c>
      <c r="K33" s="25" t="s">
        <v>9</v>
      </c>
      <c r="L33" s="25" t="s">
        <v>30</v>
      </c>
      <c r="M33" s="32"/>
      <c r="N33" s="27"/>
      <c r="O33" s="27"/>
      <c r="P33" s="27"/>
      <c r="Q33" s="27"/>
    </row>
    <row r="34">
      <c r="A34" s="33"/>
      <c r="B34" s="10" t="s">
        <v>42</v>
      </c>
      <c r="C34" s="11" t="s">
        <v>19</v>
      </c>
      <c r="D34" s="9" t="s">
        <v>41</v>
      </c>
      <c r="E34" s="50">
        <v>42357.0</v>
      </c>
      <c r="F34" s="51" t="str">
        <f t="shared" si="3"/>
        <v>Dec-2015</v>
      </c>
      <c r="G34" s="52" t="s">
        <v>32</v>
      </c>
      <c r="H34" s="52" t="s">
        <v>49</v>
      </c>
      <c r="I34" s="53" t="s">
        <v>53</v>
      </c>
      <c r="J34" s="54" t="s">
        <v>9</v>
      </c>
      <c r="K34" s="55" t="s">
        <v>9</v>
      </c>
      <c r="L34" s="55" t="s">
        <v>24</v>
      </c>
      <c r="M34" s="43"/>
      <c r="N34" s="56"/>
      <c r="O34" s="56"/>
      <c r="P34" s="56"/>
      <c r="Q34" s="56"/>
    </row>
    <row r="35">
      <c r="A35" s="41"/>
      <c r="B35" s="42"/>
      <c r="C35" s="42"/>
      <c r="D35" s="42"/>
      <c r="E35" s="42"/>
      <c r="F35" s="43"/>
      <c r="G35" s="43"/>
      <c r="H35" s="43"/>
      <c r="I35" s="23"/>
      <c r="M35" s="32"/>
      <c r="N35" s="43"/>
      <c r="O35" s="43"/>
      <c r="P35" s="43"/>
      <c r="Q35" s="43"/>
    </row>
    <row r="36">
      <c r="A36" s="9" t="s">
        <v>54</v>
      </c>
      <c r="B36" s="10" t="s">
        <v>18</v>
      </c>
      <c r="C36" s="44" t="s">
        <v>19</v>
      </c>
      <c r="D36" s="9" t="s">
        <v>54</v>
      </c>
      <c r="E36" s="12">
        <v>42378.0</v>
      </c>
      <c r="F36" s="13" t="str">
        <f t="shared" ref="F36:F40" si="4">TEXT(E36, "mmm") &amp; "-" &amp; TEXT(E36, "yyyy") </f>
        <v>Jan-2016</v>
      </c>
      <c r="G36" s="13" t="s">
        <v>20</v>
      </c>
      <c r="H36" s="13" t="s">
        <v>35</v>
      </c>
      <c r="I36" s="45" t="s">
        <v>55</v>
      </c>
      <c r="J36" s="46" t="s">
        <v>48</v>
      </c>
      <c r="K36" s="47" t="s">
        <v>9</v>
      </c>
      <c r="L36" s="47" t="s">
        <v>24</v>
      </c>
      <c r="M36" s="17" t="s">
        <v>24</v>
      </c>
      <c r="N36" s="18"/>
      <c r="O36" s="49"/>
      <c r="P36" s="49"/>
      <c r="Q36" s="49" t="s">
        <v>56</v>
      </c>
    </row>
    <row r="37">
      <c r="A37" s="10" t="s">
        <v>18</v>
      </c>
      <c r="B37" s="10" t="s">
        <v>18</v>
      </c>
      <c r="C37" s="44" t="s">
        <v>19</v>
      </c>
      <c r="D37" s="9" t="s">
        <v>54</v>
      </c>
      <c r="E37" s="12">
        <v>42378.0</v>
      </c>
      <c r="F37" s="13" t="str">
        <f t="shared" si="4"/>
        <v>Jan-2016</v>
      </c>
      <c r="G37" s="13" t="s">
        <v>25</v>
      </c>
      <c r="H37" s="13" t="s">
        <v>35</v>
      </c>
      <c r="I37" s="14" t="s">
        <v>55</v>
      </c>
      <c r="J37" s="15" t="s">
        <v>48</v>
      </c>
      <c r="K37" s="16" t="s">
        <v>9</v>
      </c>
      <c r="L37" s="16" t="s">
        <v>24</v>
      </c>
      <c r="M37" s="19"/>
      <c r="N37" s="18"/>
      <c r="O37" s="49"/>
      <c r="P37" s="49"/>
      <c r="Q37" s="49" t="s">
        <v>56</v>
      </c>
    </row>
    <row r="38">
      <c r="A38" s="31" t="s">
        <v>26</v>
      </c>
      <c r="B38" s="10" t="s">
        <v>18</v>
      </c>
      <c r="C38" s="44" t="s">
        <v>19</v>
      </c>
      <c r="D38" s="9" t="s">
        <v>54</v>
      </c>
      <c r="E38" s="58">
        <v>42378.0</v>
      </c>
      <c r="F38" s="59" t="str">
        <f t="shared" si="4"/>
        <v>Jan-2016</v>
      </c>
      <c r="G38" s="59" t="s">
        <v>51</v>
      </c>
      <c r="H38" s="59" t="s">
        <v>35</v>
      </c>
      <c r="I38" s="60" t="s">
        <v>57</v>
      </c>
      <c r="J38" s="61"/>
      <c r="K38" s="61"/>
      <c r="L38" s="62" t="s">
        <v>51</v>
      </c>
      <c r="M38" s="63"/>
      <c r="N38" s="64"/>
      <c r="O38" s="64"/>
      <c r="P38" s="64"/>
      <c r="Q38" s="64"/>
    </row>
    <row r="39">
      <c r="A39" s="28">
        <v>42378.0</v>
      </c>
      <c r="B39" s="10" t="s">
        <v>18</v>
      </c>
      <c r="C39" s="44" t="s">
        <v>19</v>
      </c>
      <c r="D39" s="9" t="s">
        <v>54</v>
      </c>
      <c r="E39" s="20">
        <v>42378.0</v>
      </c>
      <c r="F39" s="21" t="str">
        <f t="shared" si="4"/>
        <v>Jan-2016</v>
      </c>
      <c r="G39" s="22" t="s">
        <v>20</v>
      </c>
      <c r="H39" s="22" t="s">
        <v>35</v>
      </c>
      <c r="I39" s="23" t="s">
        <v>58</v>
      </c>
      <c r="J39" s="24" t="s">
        <v>44</v>
      </c>
      <c r="K39" s="25" t="s">
        <v>9</v>
      </c>
      <c r="L39" s="25" t="s">
        <v>24</v>
      </c>
      <c r="M39" s="26" t="s">
        <v>24</v>
      </c>
      <c r="N39" s="27"/>
      <c r="O39" s="27"/>
      <c r="P39" s="27"/>
      <c r="Q39" s="27"/>
    </row>
    <row r="40">
      <c r="A40" s="44" t="s">
        <v>19</v>
      </c>
      <c r="B40" s="10" t="s">
        <v>18</v>
      </c>
      <c r="C40" s="44" t="s">
        <v>19</v>
      </c>
      <c r="D40" s="9" t="s">
        <v>54</v>
      </c>
      <c r="E40" s="50">
        <v>42378.0</v>
      </c>
      <c r="F40" s="51" t="str">
        <f t="shared" si="4"/>
        <v>Jan-2016</v>
      </c>
      <c r="G40" s="52" t="s">
        <v>25</v>
      </c>
      <c r="H40" s="52" t="s">
        <v>35</v>
      </c>
      <c r="I40" s="53" t="s">
        <v>58</v>
      </c>
      <c r="J40" s="54" t="s">
        <v>44</v>
      </c>
      <c r="K40" s="55" t="s">
        <v>9</v>
      </c>
      <c r="L40" s="55" t="s">
        <v>24</v>
      </c>
      <c r="M40" s="43"/>
      <c r="N40" s="56"/>
      <c r="O40" s="56"/>
      <c r="P40" s="56"/>
      <c r="Q40" s="56"/>
    </row>
    <row r="41">
      <c r="A41" s="41"/>
      <c r="B41" s="42"/>
      <c r="C41" s="42"/>
      <c r="D41" s="42"/>
      <c r="E41" s="42"/>
      <c r="F41" s="43"/>
      <c r="G41" s="43"/>
      <c r="H41" s="43"/>
      <c r="I41" s="23"/>
      <c r="M41" s="32"/>
      <c r="N41" s="43"/>
      <c r="O41" s="43"/>
      <c r="P41" s="43"/>
      <c r="Q41" s="43"/>
    </row>
    <row r="42">
      <c r="A42" s="9" t="s">
        <v>59</v>
      </c>
      <c r="B42" s="10" t="s">
        <v>18</v>
      </c>
      <c r="C42" s="11" t="s">
        <v>19</v>
      </c>
      <c r="D42" s="9" t="s">
        <v>59</v>
      </c>
      <c r="E42" s="12">
        <v>42413.0</v>
      </c>
      <c r="F42" s="13" t="str">
        <f t="shared" ref="F42:F53" si="5">TEXT(E42, "mmm") &amp; "-" &amp; TEXT(E42, "yyyy") </f>
        <v>Feb-2016</v>
      </c>
      <c r="G42" s="13" t="s">
        <v>20</v>
      </c>
      <c r="H42" s="13" t="s">
        <v>21</v>
      </c>
      <c r="I42" s="45" t="s">
        <v>60</v>
      </c>
      <c r="J42" s="46" t="s">
        <v>48</v>
      </c>
      <c r="K42" s="47" t="s">
        <v>9</v>
      </c>
      <c r="L42" s="47" t="s">
        <v>24</v>
      </c>
      <c r="M42" s="17" t="s">
        <v>24</v>
      </c>
      <c r="N42" s="18"/>
      <c r="O42" s="18"/>
      <c r="P42" s="18"/>
      <c r="Q42" s="18"/>
    </row>
    <row r="43">
      <c r="A43" s="10" t="s">
        <v>18</v>
      </c>
      <c r="B43" s="10" t="s">
        <v>18</v>
      </c>
      <c r="C43" s="11" t="s">
        <v>19</v>
      </c>
      <c r="D43" s="9" t="s">
        <v>59</v>
      </c>
      <c r="E43" s="12">
        <v>42413.0</v>
      </c>
      <c r="F43" s="13" t="str">
        <f t="shared" si="5"/>
        <v>Feb-2016</v>
      </c>
      <c r="G43" s="13" t="s">
        <v>25</v>
      </c>
      <c r="H43" s="13" t="s">
        <v>21</v>
      </c>
      <c r="I43" s="14" t="s">
        <v>60</v>
      </c>
      <c r="J43" s="15" t="s">
        <v>48</v>
      </c>
      <c r="K43" s="16" t="s">
        <v>9</v>
      </c>
      <c r="L43" s="16" t="s">
        <v>24</v>
      </c>
      <c r="M43" s="19"/>
      <c r="N43" s="18"/>
      <c r="O43" s="18"/>
      <c r="P43" s="18"/>
      <c r="Q43" s="18"/>
    </row>
    <row r="44">
      <c r="A44" s="10" t="s">
        <v>61</v>
      </c>
      <c r="B44" s="10" t="s">
        <v>18</v>
      </c>
      <c r="C44" s="11" t="s">
        <v>19</v>
      </c>
      <c r="D44" s="9" t="s">
        <v>59</v>
      </c>
      <c r="E44" s="20">
        <v>42413.0</v>
      </c>
      <c r="F44" s="21" t="str">
        <f t="shared" si="5"/>
        <v>Feb-2016</v>
      </c>
      <c r="G44" s="22" t="s">
        <v>20</v>
      </c>
      <c r="H44" s="22" t="s">
        <v>21</v>
      </c>
      <c r="I44" s="23" t="s">
        <v>62</v>
      </c>
      <c r="J44" s="24" t="s">
        <v>44</v>
      </c>
      <c r="K44" s="25" t="s">
        <v>9</v>
      </c>
      <c r="L44" s="25" t="s">
        <v>30</v>
      </c>
      <c r="M44" s="26" t="s">
        <v>30</v>
      </c>
      <c r="N44" s="27"/>
      <c r="O44" s="27"/>
      <c r="P44" s="27"/>
      <c r="Q44" s="27"/>
    </row>
    <row r="45">
      <c r="A45" s="28">
        <v>42413.0</v>
      </c>
      <c r="B45" s="10" t="s">
        <v>18</v>
      </c>
      <c r="C45" s="11" t="s">
        <v>19</v>
      </c>
      <c r="D45" s="9" t="s">
        <v>59</v>
      </c>
      <c r="E45" s="20">
        <v>42413.0</v>
      </c>
      <c r="F45" s="21" t="str">
        <f t="shared" si="5"/>
        <v>Feb-2016</v>
      </c>
      <c r="G45" s="22" t="s">
        <v>25</v>
      </c>
      <c r="H45" s="22" t="s">
        <v>21</v>
      </c>
      <c r="I45" s="23" t="s">
        <v>62</v>
      </c>
      <c r="J45" s="24" t="s">
        <v>44</v>
      </c>
      <c r="K45" s="25" t="s">
        <v>9</v>
      </c>
      <c r="L45" s="25" t="s">
        <v>30</v>
      </c>
      <c r="M45" s="32"/>
      <c r="N45" s="27"/>
      <c r="O45" s="27"/>
      <c r="P45" s="27"/>
      <c r="Q45" s="27"/>
    </row>
    <row r="46">
      <c r="A46" s="11" t="s">
        <v>19</v>
      </c>
      <c r="B46" s="10" t="s">
        <v>18</v>
      </c>
      <c r="C46" s="11" t="s">
        <v>19</v>
      </c>
      <c r="D46" s="9" t="s">
        <v>59</v>
      </c>
      <c r="E46" s="12">
        <v>42413.0</v>
      </c>
      <c r="F46" s="13" t="str">
        <f t="shared" si="5"/>
        <v>Feb-2016</v>
      </c>
      <c r="G46" s="13" t="s">
        <v>20</v>
      </c>
      <c r="H46" s="13" t="s">
        <v>21</v>
      </c>
      <c r="I46" s="14" t="s">
        <v>63</v>
      </c>
      <c r="J46" s="15" t="s">
        <v>64</v>
      </c>
      <c r="K46" s="16" t="s">
        <v>9</v>
      </c>
      <c r="L46" s="16" t="s">
        <v>24</v>
      </c>
      <c r="M46" s="17" t="s">
        <v>30</v>
      </c>
      <c r="N46" s="18"/>
      <c r="O46" s="49"/>
      <c r="P46" s="49"/>
      <c r="Q46" s="49" t="s">
        <v>65</v>
      </c>
    </row>
    <row r="47">
      <c r="A47" s="31"/>
      <c r="B47" s="10" t="s">
        <v>18</v>
      </c>
      <c r="C47" s="11" t="s">
        <v>19</v>
      </c>
      <c r="D47" s="9" t="s">
        <v>59</v>
      </c>
      <c r="E47" s="12">
        <v>42413.0</v>
      </c>
      <c r="F47" s="13" t="str">
        <f t="shared" si="5"/>
        <v>Feb-2016</v>
      </c>
      <c r="G47" s="13" t="s">
        <v>25</v>
      </c>
      <c r="H47" s="13" t="s">
        <v>21</v>
      </c>
      <c r="I47" s="14" t="s">
        <v>63</v>
      </c>
      <c r="J47" s="15" t="s">
        <v>64</v>
      </c>
      <c r="K47" s="16" t="s">
        <v>9</v>
      </c>
      <c r="L47" s="16" t="s">
        <v>30</v>
      </c>
      <c r="M47" s="19"/>
      <c r="N47" s="18"/>
      <c r="O47" s="49"/>
      <c r="P47" s="49"/>
      <c r="Q47" s="49" t="s">
        <v>65</v>
      </c>
    </row>
    <row r="48">
      <c r="A48" s="31"/>
      <c r="B48" s="10" t="s">
        <v>18</v>
      </c>
      <c r="C48" s="11" t="s">
        <v>19</v>
      </c>
      <c r="D48" s="9" t="s">
        <v>59</v>
      </c>
      <c r="E48" s="12">
        <v>42413.0</v>
      </c>
      <c r="F48" s="13" t="str">
        <f t="shared" si="5"/>
        <v>Feb-2016</v>
      </c>
      <c r="G48" s="17" t="s">
        <v>32</v>
      </c>
      <c r="H48" s="13" t="s">
        <v>21</v>
      </c>
      <c r="I48" s="14" t="s">
        <v>63</v>
      </c>
      <c r="J48" s="15" t="s">
        <v>64</v>
      </c>
      <c r="K48" s="16" t="s">
        <v>9</v>
      </c>
      <c r="L48" s="16" t="s">
        <v>30</v>
      </c>
      <c r="M48" s="19"/>
      <c r="N48" s="18"/>
      <c r="O48" s="49"/>
      <c r="P48" s="49"/>
      <c r="Q48" s="49" t="s">
        <v>65</v>
      </c>
    </row>
    <row r="49">
      <c r="A49" s="31"/>
      <c r="B49" s="10" t="s">
        <v>18</v>
      </c>
      <c r="C49" s="11" t="s">
        <v>19</v>
      </c>
      <c r="D49" s="9" t="s">
        <v>59</v>
      </c>
      <c r="E49" s="58">
        <v>42413.0</v>
      </c>
      <c r="F49" s="59" t="str">
        <f t="shared" si="5"/>
        <v>Feb-2016</v>
      </c>
      <c r="G49" s="59" t="s">
        <v>51</v>
      </c>
      <c r="H49" s="59" t="s">
        <v>21</v>
      </c>
      <c r="I49" s="60" t="s">
        <v>66</v>
      </c>
      <c r="J49" s="61"/>
      <c r="K49" s="61"/>
      <c r="L49" s="62" t="s">
        <v>51</v>
      </c>
      <c r="M49" s="63"/>
      <c r="N49" s="64"/>
      <c r="O49" s="64"/>
      <c r="P49" s="64"/>
      <c r="Q49" s="64"/>
    </row>
    <row r="50">
      <c r="A50" s="31"/>
      <c r="B50" s="10" t="s">
        <v>18</v>
      </c>
      <c r="C50" s="11" t="s">
        <v>19</v>
      </c>
      <c r="D50" s="9" t="s">
        <v>59</v>
      </c>
      <c r="E50" s="20">
        <v>42413.0</v>
      </c>
      <c r="F50" s="21" t="str">
        <f t="shared" si="5"/>
        <v>Feb-2016</v>
      </c>
      <c r="G50" s="22" t="s">
        <v>20</v>
      </c>
      <c r="H50" s="22" t="s">
        <v>67</v>
      </c>
      <c r="I50" s="23" t="s">
        <v>68</v>
      </c>
      <c r="J50" s="24" t="s">
        <v>27</v>
      </c>
      <c r="K50" s="25" t="s">
        <v>9</v>
      </c>
      <c r="L50" s="25" t="s">
        <v>24</v>
      </c>
      <c r="M50" s="26" t="s">
        <v>24</v>
      </c>
      <c r="N50" s="29" t="s">
        <v>29</v>
      </c>
      <c r="O50" s="30"/>
      <c r="P50" s="30"/>
      <c r="Q50" s="30"/>
    </row>
    <row r="51">
      <c r="A51" s="31"/>
      <c r="B51" s="10" t="s">
        <v>18</v>
      </c>
      <c r="C51" s="11" t="s">
        <v>19</v>
      </c>
      <c r="D51" s="9" t="s">
        <v>59</v>
      </c>
      <c r="E51" s="20">
        <v>42413.0</v>
      </c>
      <c r="F51" s="21" t="str">
        <f t="shared" si="5"/>
        <v>Feb-2016</v>
      </c>
      <c r="G51" s="22" t="s">
        <v>25</v>
      </c>
      <c r="H51" s="22" t="s">
        <v>67</v>
      </c>
      <c r="I51" s="23" t="s">
        <v>68</v>
      </c>
      <c r="J51" s="24" t="s">
        <v>27</v>
      </c>
      <c r="K51" s="25" t="s">
        <v>9</v>
      </c>
      <c r="L51" s="25" t="s">
        <v>24</v>
      </c>
      <c r="M51" s="26"/>
      <c r="N51" s="29" t="s">
        <v>69</v>
      </c>
      <c r="O51" s="29"/>
      <c r="P51" s="29"/>
      <c r="Q51" s="29"/>
    </row>
    <row r="52">
      <c r="A52" s="31"/>
      <c r="B52" s="10" t="s">
        <v>18</v>
      </c>
      <c r="C52" s="11" t="s">
        <v>19</v>
      </c>
      <c r="D52" s="9" t="s">
        <v>59</v>
      </c>
      <c r="E52" s="12">
        <v>42413.0</v>
      </c>
      <c r="F52" s="13" t="str">
        <f t="shared" si="5"/>
        <v>Feb-2016</v>
      </c>
      <c r="G52" s="13" t="s">
        <v>20</v>
      </c>
      <c r="H52" s="13" t="s">
        <v>67</v>
      </c>
      <c r="I52" s="14" t="s">
        <v>70</v>
      </c>
      <c r="J52" s="15" t="s">
        <v>71</v>
      </c>
      <c r="K52" s="16" t="s">
        <v>9</v>
      </c>
      <c r="L52" s="16" t="s">
        <v>24</v>
      </c>
      <c r="M52" s="17" t="s">
        <v>24</v>
      </c>
      <c r="N52" s="18"/>
      <c r="O52" s="49"/>
      <c r="P52" s="49"/>
      <c r="Q52" s="49" t="s">
        <v>65</v>
      </c>
    </row>
    <row r="53">
      <c r="A53" s="65"/>
      <c r="B53" s="10" t="s">
        <v>18</v>
      </c>
      <c r="C53" s="11" t="s">
        <v>19</v>
      </c>
      <c r="D53" s="9" t="s">
        <v>59</v>
      </c>
      <c r="E53" s="34">
        <v>42413.0</v>
      </c>
      <c r="F53" s="35" t="str">
        <f t="shared" si="5"/>
        <v>Feb-2016</v>
      </c>
      <c r="G53" s="35" t="s">
        <v>25</v>
      </c>
      <c r="H53" s="35" t="s">
        <v>67</v>
      </c>
      <c r="I53" s="36" t="s">
        <v>70</v>
      </c>
      <c r="J53" s="37" t="s">
        <v>71</v>
      </c>
      <c r="K53" s="38" t="s">
        <v>9</v>
      </c>
      <c r="L53" s="38" t="s">
        <v>24</v>
      </c>
      <c r="M53" s="39"/>
      <c r="N53" s="40"/>
      <c r="O53" s="66"/>
      <c r="P53" s="66"/>
      <c r="Q53" s="66" t="s">
        <v>65</v>
      </c>
    </row>
    <row r="54">
      <c r="A54" s="67"/>
      <c r="B54" s="42"/>
      <c r="C54" s="42"/>
      <c r="D54" s="42"/>
      <c r="E54" s="42"/>
      <c r="F54" s="52"/>
      <c r="G54" s="52"/>
      <c r="H54" s="52"/>
      <c r="I54" s="23"/>
      <c r="M54" s="32"/>
      <c r="N54" s="43"/>
      <c r="O54" s="43"/>
      <c r="P54" s="43"/>
      <c r="Q54" s="43"/>
    </row>
    <row r="55">
      <c r="A55" s="68" t="s">
        <v>72</v>
      </c>
      <c r="B55" s="10" t="s">
        <v>73</v>
      </c>
      <c r="C55" s="11" t="s">
        <v>74</v>
      </c>
      <c r="D55" s="68" t="s">
        <v>72</v>
      </c>
      <c r="E55" s="69">
        <v>42432.0</v>
      </c>
      <c r="F55" s="70" t="str">
        <f t="shared" ref="F55:F62" si="6">TEXT(E55, "mmm") &amp; "-" &amp; TEXT(E55, "yyyy") </f>
        <v>Mar-2016</v>
      </c>
      <c r="G55" s="22" t="s">
        <v>20</v>
      </c>
      <c r="H55" s="22" t="s">
        <v>35</v>
      </c>
      <c r="I55" s="71" t="s">
        <v>75</v>
      </c>
      <c r="J55" s="72" t="s">
        <v>27</v>
      </c>
      <c r="K55" s="73" t="s">
        <v>9</v>
      </c>
      <c r="L55" s="73" t="s">
        <v>24</v>
      </c>
      <c r="M55" s="26" t="s">
        <v>30</v>
      </c>
      <c r="N55" s="27"/>
      <c r="O55" s="27"/>
      <c r="P55" s="27"/>
      <c r="Q55" s="27"/>
    </row>
    <row r="56">
      <c r="A56" s="10" t="s">
        <v>73</v>
      </c>
      <c r="B56" s="10" t="s">
        <v>73</v>
      </c>
      <c r="C56" s="11" t="s">
        <v>74</v>
      </c>
      <c r="D56" s="68" t="s">
        <v>72</v>
      </c>
      <c r="E56" s="69">
        <v>42432.0</v>
      </c>
      <c r="F56" s="21" t="str">
        <f t="shared" si="6"/>
        <v>Mar-2016</v>
      </c>
      <c r="G56" s="22" t="s">
        <v>25</v>
      </c>
      <c r="H56" s="22" t="s">
        <v>35</v>
      </c>
      <c r="I56" s="23" t="s">
        <v>75</v>
      </c>
      <c r="J56" s="24" t="s">
        <v>27</v>
      </c>
      <c r="K56" s="25" t="s">
        <v>9</v>
      </c>
      <c r="L56" s="25" t="s">
        <v>30</v>
      </c>
      <c r="M56" s="32"/>
      <c r="N56" s="27"/>
      <c r="O56" s="27"/>
      <c r="P56" s="27"/>
      <c r="Q56" s="27"/>
    </row>
    <row r="57">
      <c r="A57" s="10" t="s">
        <v>76</v>
      </c>
      <c r="B57" s="10" t="s">
        <v>73</v>
      </c>
      <c r="C57" s="11" t="s">
        <v>74</v>
      </c>
      <c r="D57" s="68" t="s">
        <v>72</v>
      </c>
      <c r="E57" s="69">
        <v>42432.0</v>
      </c>
      <c r="F57" s="21" t="str">
        <f t="shared" si="6"/>
        <v>Mar-2016</v>
      </c>
      <c r="G57" s="22" t="s">
        <v>77</v>
      </c>
      <c r="H57" s="22" t="s">
        <v>35</v>
      </c>
      <c r="I57" s="23" t="s">
        <v>75</v>
      </c>
      <c r="J57" s="24" t="s">
        <v>27</v>
      </c>
      <c r="K57" s="25" t="s">
        <v>9</v>
      </c>
      <c r="L57" s="25" t="s">
        <v>30</v>
      </c>
      <c r="M57" s="32"/>
      <c r="N57" s="27"/>
      <c r="O57" s="27"/>
      <c r="P57" s="27"/>
      <c r="Q57" s="27"/>
    </row>
    <row r="58">
      <c r="A58" s="74">
        <v>42432.0</v>
      </c>
      <c r="B58" s="10" t="s">
        <v>73</v>
      </c>
      <c r="C58" s="11" t="s">
        <v>74</v>
      </c>
      <c r="D58" s="68" t="s">
        <v>72</v>
      </c>
      <c r="E58" s="12">
        <v>42432.0</v>
      </c>
      <c r="F58" s="13" t="str">
        <f t="shared" si="6"/>
        <v>Mar-2016</v>
      </c>
      <c r="G58" s="13" t="s">
        <v>20</v>
      </c>
      <c r="H58" s="13" t="s">
        <v>35</v>
      </c>
      <c r="I58" s="14" t="s">
        <v>78</v>
      </c>
      <c r="J58" s="15" t="s">
        <v>27</v>
      </c>
      <c r="K58" s="16" t="s">
        <v>9</v>
      </c>
      <c r="L58" s="16" t="s">
        <v>24</v>
      </c>
      <c r="M58" s="17" t="s">
        <v>24</v>
      </c>
      <c r="N58" s="18"/>
      <c r="O58" s="18"/>
      <c r="P58" s="18"/>
      <c r="Q58" s="18"/>
    </row>
    <row r="59">
      <c r="A59" s="11" t="s">
        <v>74</v>
      </c>
      <c r="B59" s="10" t="s">
        <v>73</v>
      </c>
      <c r="C59" s="11" t="s">
        <v>74</v>
      </c>
      <c r="D59" s="68" t="s">
        <v>72</v>
      </c>
      <c r="E59" s="12">
        <v>42432.0</v>
      </c>
      <c r="F59" s="13" t="str">
        <f t="shared" si="6"/>
        <v>Mar-2016</v>
      </c>
      <c r="G59" s="13" t="s">
        <v>25</v>
      </c>
      <c r="H59" s="13" t="s">
        <v>35</v>
      </c>
      <c r="I59" s="14" t="s">
        <v>78</v>
      </c>
      <c r="J59" s="15" t="s">
        <v>27</v>
      </c>
      <c r="K59" s="16" t="s">
        <v>9</v>
      </c>
      <c r="L59" s="16" t="s">
        <v>24</v>
      </c>
      <c r="M59" s="19"/>
      <c r="N59" s="18"/>
      <c r="O59" s="18"/>
      <c r="P59" s="18"/>
      <c r="Q59" s="18"/>
    </row>
    <row r="60">
      <c r="A60" s="31"/>
      <c r="B60" s="10" t="s">
        <v>73</v>
      </c>
      <c r="C60" s="11" t="s">
        <v>74</v>
      </c>
      <c r="D60" s="68" t="s">
        <v>72</v>
      </c>
      <c r="E60" s="69">
        <v>42432.0</v>
      </c>
      <c r="F60" s="21" t="str">
        <f t="shared" si="6"/>
        <v>Mar-2016</v>
      </c>
      <c r="G60" s="22" t="s">
        <v>20</v>
      </c>
      <c r="H60" s="22" t="s">
        <v>35</v>
      </c>
      <c r="I60" s="23" t="s">
        <v>79</v>
      </c>
      <c r="J60" s="24" t="s">
        <v>64</v>
      </c>
      <c r="K60" s="25" t="s">
        <v>9</v>
      </c>
      <c r="L60" s="25" t="s">
        <v>24</v>
      </c>
      <c r="M60" s="26" t="s">
        <v>24</v>
      </c>
      <c r="N60" s="27"/>
      <c r="O60" s="27"/>
      <c r="P60" s="27"/>
      <c r="Q60" s="27"/>
    </row>
    <row r="61">
      <c r="A61" s="31"/>
      <c r="B61" s="10" t="s">
        <v>73</v>
      </c>
      <c r="C61" s="11" t="s">
        <v>74</v>
      </c>
      <c r="D61" s="68" t="s">
        <v>72</v>
      </c>
      <c r="E61" s="69">
        <v>42432.0</v>
      </c>
      <c r="F61" s="21" t="str">
        <f t="shared" si="6"/>
        <v>Mar-2016</v>
      </c>
      <c r="G61" s="22" t="s">
        <v>25</v>
      </c>
      <c r="H61" s="22" t="s">
        <v>35</v>
      </c>
      <c r="I61" s="23" t="s">
        <v>79</v>
      </c>
      <c r="J61" s="24" t="s">
        <v>64</v>
      </c>
      <c r="K61" s="25" t="s">
        <v>9</v>
      </c>
      <c r="L61" s="25" t="s">
        <v>30</v>
      </c>
      <c r="M61" s="26"/>
      <c r="N61" s="29" t="s">
        <v>29</v>
      </c>
      <c r="O61" s="30"/>
      <c r="P61" s="30"/>
      <c r="Q61" s="30"/>
    </row>
    <row r="62">
      <c r="A62" s="33"/>
      <c r="B62" s="10" t="s">
        <v>73</v>
      </c>
      <c r="C62" s="11" t="s">
        <v>74</v>
      </c>
      <c r="D62" s="68" t="s">
        <v>72</v>
      </c>
      <c r="E62" s="75">
        <v>42432.0</v>
      </c>
      <c r="F62" s="51" t="str">
        <f t="shared" si="6"/>
        <v>Mar-2016</v>
      </c>
      <c r="G62" s="76" t="s">
        <v>32</v>
      </c>
      <c r="H62" s="52" t="s">
        <v>35</v>
      </c>
      <c r="I62" s="53" t="s">
        <v>79</v>
      </c>
      <c r="J62" s="54" t="s">
        <v>64</v>
      </c>
      <c r="K62" s="55" t="s">
        <v>9</v>
      </c>
      <c r="L62" s="55" t="s">
        <v>24</v>
      </c>
      <c r="M62" s="76"/>
      <c r="N62" s="77" t="s">
        <v>37</v>
      </c>
      <c r="O62" s="78"/>
      <c r="P62" s="78"/>
      <c r="Q62" s="78"/>
    </row>
    <row r="63">
      <c r="A63" s="41"/>
      <c r="B63" s="42"/>
      <c r="C63" s="42"/>
      <c r="D63" s="42"/>
      <c r="E63" s="42"/>
      <c r="F63" s="52"/>
      <c r="G63" s="52"/>
      <c r="H63" s="52"/>
      <c r="I63" s="23"/>
      <c r="M63" s="32"/>
      <c r="N63" s="43"/>
      <c r="O63" s="43"/>
      <c r="P63" s="43"/>
      <c r="Q63" s="43"/>
    </row>
    <row r="64">
      <c r="A64" s="68" t="s">
        <v>80</v>
      </c>
      <c r="B64" s="10" t="s">
        <v>73</v>
      </c>
      <c r="C64" s="11" t="s">
        <v>74</v>
      </c>
      <c r="D64" s="68" t="s">
        <v>80</v>
      </c>
      <c r="E64" s="12">
        <v>42453.0</v>
      </c>
      <c r="F64" s="13" t="str">
        <f t="shared" ref="F64:F70" si="7">TEXT(E64, "mmm") &amp; "-" &amp; TEXT(E64, "yyyy") </f>
        <v>Mar-2016</v>
      </c>
      <c r="G64" s="13" t="s">
        <v>20</v>
      </c>
      <c r="H64" s="13" t="s">
        <v>35</v>
      </c>
      <c r="I64" s="79" t="s">
        <v>81</v>
      </c>
      <c r="J64" s="46" t="s">
        <v>27</v>
      </c>
      <c r="K64" s="47" t="s">
        <v>9</v>
      </c>
      <c r="L64" s="47" t="s">
        <v>30</v>
      </c>
      <c r="M64" s="17" t="s">
        <v>24</v>
      </c>
      <c r="N64" s="57"/>
      <c r="O64" s="57"/>
      <c r="P64" s="57"/>
      <c r="Q64" s="57"/>
    </row>
    <row r="65">
      <c r="A65" s="10" t="s">
        <v>73</v>
      </c>
      <c r="B65" s="10" t="s">
        <v>73</v>
      </c>
      <c r="C65" s="11" t="s">
        <v>74</v>
      </c>
      <c r="D65" s="68" t="s">
        <v>80</v>
      </c>
      <c r="E65" s="12">
        <v>42453.0</v>
      </c>
      <c r="F65" s="13" t="str">
        <f t="shared" si="7"/>
        <v>Mar-2016</v>
      </c>
      <c r="G65" s="13" t="s">
        <v>25</v>
      </c>
      <c r="H65" s="13" t="s">
        <v>35</v>
      </c>
      <c r="I65" s="48" t="s">
        <v>81</v>
      </c>
      <c r="J65" s="16" t="s">
        <v>9</v>
      </c>
      <c r="K65" s="16" t="s">
        <v>9</v>
      </c>
      <c r="L65" s="16" t="s">
        <v>24</v>
      </c>
      <c r="M65" s="13"/>
      <c r="N65" s="57"/>
      <c r="O65" s="57"/>
      <c r="P65" s="57"/>
      <c r="Q65" s="57"/>
    </row>
    <row r="66">
      <c r="A66" s="10" t="s">
        <v>76</v>
      </c>
      <c r="B66" s="10" t="s">
        <v>73</v>
      </c>
      <c r="C66" s="11" t="s">
        <v>74</v>
      </c>
      <c r="D66" s="68" t="s">
        <v>80</v>
      </c>
      <c r="E66" s="12">
        <v>42453.0</v>
      </c>
      <c r="F66" s="13" t="str">
        <f t="shared" si="7"/>
        <v>Mar-2016</v>
      </c>
      <c r="G66" s="17" t="s">
        <v>32</v>
      </c>
      <c r="H66" s="13" t="s">
        <v>35</v>
      </c>
      <c r="I66" s="48" t="s">
        <v>81</v>
      </c>
      <c r="J66" s="16" t="s">
        <v>9</v>
      </c>
      <c r="K66" s="16" t="s">
        <v>9</v>
      </c>
      <c r="L66" s="16" t="s">
        <v>24</v>
      </c>
      <c r="M66" s="19"/>
      <c r="N66" s="18"/>
      <c r="O66" s="18"/>
      <c r="P66" s="18"/>
      <c r="Q66" s="18"/>
    </row>
    <row r="67">
      <c r="A67" s="74">
        <v>42453.0</v>
      </c>
      <c r="B67" s="10" t="s">
        <v>73</v>
      </c>
      <c r="C67" s="11" t="s">
        <v>74</v>
      </c>
      <c r="D67" s="68" t="s">
        <v>80</v>
      </c>
      <c r="E67" s="20">
        <v>42453.0</v>
      </c>
      <c r="F67" s="21" t="str">
        <f t="shared" si="7"/>
        <v>Mar-2016</v>
      </c>
      <c r="G67" s="22" t="s">
        <v>20</v>
      </c>
      <c r="H67" s="22" t="s">
        <v>35</v>
      </c>
      <c r="I67" s="23" t="s">
        <v>82</v>
      </c>
      <c r="J67" s="24" t="s">
        <v>64</v>
      </c>
      <c r="K67" s="25" t="s">
        <v>9</v>
      </c>
      <c r="L67" s="25" t="s">
        <v>30</v>
      </c>
      <c r="M67" s="26" t="s">
        <v>30</v>
      </c>
      <c r="N67" s="27"/>
      <c r="O67" s="27"/>
      <c r="P67" s="27"/>
      <c r="Q67" s="27"/>
    </row>
    <row r="68">
      <c r="A68" s="11" t="s">
        <v>74</v>
      </c>
      <c r="B68" s="10" t="s">
        <v>73</v>
      </c>
      <c r="C68" s="11" t="s">
        <v>74</v>
      </c>
      <c r="D68" s="68" t="s">
        <v>80</v>
      </c>
      <c r="E68" s="20">
        <v>42453.0</v>
      </c>
      <c r="F68" s="21" t="str">
        <f t="shared" si="7"/>
        <v>Mar-2016</v>
      </c>
      <c r="G68" s="22" t="s">
        <v>25</v>
      </c>
      <c r="H68" s="22" t="s">
        <v>35</v>
      </c>
      <c r="I68" s="23" t="s">
        <v>82</v>
      </c>
      <c r="J68" s="24" t="s">
        <v>64</v>
      </c>
      <c r="K68" s="25" t="s">
        <v>9</v>
      </c>
      <c r="L68" s="25" t="s">
        <v>30</v>
      </c>
      <c r="M68" s="22"/>
      <c r="N68" s="30"/>
      <c r="O68" s="30"/>
      <c r="P68" s="30"/>
      <c r="Q68" s="30"/>
    </row>
    <row r="69">
      <c r="A69" s="31"/>
      <c r="B69" s="10" t="s">
        <v>73</v>
      </c>
      <c r="C69" s="11" t="s">
        <v>74</v>
      </c>
      <c r="D69" s="68" t="s">
        <v>80</v>
      </c>
      <c r="E69" s="12">
        <v>42453.0</v>
      </c>
      <c r="F69" s="13" t="str">
        <f t="shared" si="7"/>
        <v>Mar-2016</v>
      </c>
      <c r="G69" s="13" t="s">
        <v>20</v>
      </c>
      <c r="H69" s="13" t="s">
        <v>35</v>
      </c>
      <c r="I69" s="14" t="s">
        <v>79</v>
      </c>
      <c r="J69" s="15" t="s">
        <v>64</v>
      </c>
      <c r="K69" s="16" t="s">
        <v>9</v>
      </c>
      <c r="L69" s="16" t="s">
        <v>24</v>
      </c>
      <c r="M69" s="17" t="s">
        <v>24</v>
      </c>
      <c r="N69" s="18"/>
      <c r="O69" s="18"/>
      <c r="P69" s="18"/>
      <c r="Q69" s="18"/>
    </row>
    <row r="70">
      <c r="A70" s="33"/>
      <c r="B70" s="10" t="s">
        <v>73</v>
      </c>
      <c r="C70" s="11" t="s">
        <v>74</v>
      </c>
      <c r="D70" s="68" t="s">
        <v>80</v>
      </c>
      <c r="E70" s="34">
        <v>42453.0</v>
      </c>
      <c r="F70" s="35" t="str">
        <f t="shared" si="7"/>
        <v>Mar-2016</v>
      </c>
      <c r="G70" s="35" t="s">
        <v>25</v>
      </c>
      <c r="H70" s="35" t="s">
        <v>35</v>
      </c>
      <c r="I70" s="36" t="s">
        <v>79</v>
      </c>
      <c r="J70" s="37" t="s">
        <v>64</v>
      </c>
      <c r="K70" s="38" t="s">
        <v>9</v>
      </c>
      <c r="L70" s="38" t="s">
        <v>24</v>
      </c>
      <c r="M70" s="39"/>
      <c r="N70" s="40"/>
      <c r="O70" s="40"/>
      <c r="P70" s="40"/>
      <c r="Q70" s="40"/>
    </row>
    <row r="71">
      <c r="A71" s="41"/>
      <c r="B71" s="42"/>
      <c r="C71" s="42"/>
      <c r="D71" s="42"/>
      <c r="E71" s="42"/>
      <c r="F71" s="43"/>
      <c r="G71" s="43"/>
      <c r="H71" s="43"/>
      <c r="I71" s="23"/>
      <c r="M71" s="32"/>
      <c r="N71" s="43"/>
      <c r="O71" s="43"/>
      <c r="P71" s="43"/>
      <c r="Q71" s="43"/>
    </row>
    <row r="72">
      <c r="A72" s="9" t="s">
        <v>83</v>
      </c>
      <c r="B72" s="10" t="s">
        <v>18</v>
      </c>
      <c r="C72" s="11" t="s">
        <v>84</v>
      </c>
      <c r="D72" s="9" t="s">
        <v>83</v>
      </c>
      <c r="E72" s="69">
        <v>42455.0</v>
      </c>
      <c r="F72" s="70" t="str">
        <f t="shared" ref="F72:F81" si="8">TEXT(E72, "mmm") &amp; "-" &amp; TEXT(E72, "yyyy") </f>
        <v>Mar-2016</v>
      </c>
      <c r="G72" s="22" t="s">
        <v>20</v>
      </c>
      <c r="H72" s="22" t="s">
        <v>21</v>
      </c>
      <c r="I72" s="71" t="s">
        <v>85</v>
      </c>
      <c r="J72" s="72" t="s">
        <v>86</v>
      </c>
      <c r="K72" s="73" t="s">
        <v>9</v>
      </c>
      <c r="L72" s="73" t="s">
        <v>24</v>
      </c>
      <c r="M72" s="26" t="s">
        <v>24</v>
      </c>
      <c r="N72" s="27"/>
      <c r="O72" s="27"/>
      <c r="P72" s="27"/>
      <c r="Q72" s="27"/>
    </row>
    <row r="73">
      <c r="A73" s="10" t="s">
        <v>18</v>
      </c>
      <c r="B73" s="10" t="s">
        <v>18</v>
      </c>
      <c r="C73" s="11" t="s">
        <v>84</v>
      </c>
      <c r="D73" s="9" t="s">
        <v>83</v>
      </c>
      <c r="E73" s="69">
        <v>42455.0</v>
      </c>
      <c r="F73" s="21" t="str">
        <f t="shared" si="8"/>
        <v>Mar-2016</v>
      </c>
      <c r="G73" s="22" t="s">
        <v>25</v>
      </c>
      <c r="H73" s="22" t="s">
        <v>21</v>
      </c>
      <c r="I73" s="23" t="s">
        <v>85</v>
      </c>
      <c r="J73" s="24" t="s">
        <v>86</v>
      </c>
      <c r="K73" s="25" t="s">
        <v>9</v>
      </c>
      <c r="L73" s="25" t="s">
        <v>24</v>
      </c>
      <c r="M73" s="32"/>
      <c r="N73" s="27"/>
      <c r="O73" s="27"/>
      <c r="P73" s="27"/>
      <c r="Q73" s="27"/>
    </row>
    <row r="74">
      <c r="A74" s="10" t="s">
        <v>26</v>
      </c>
      <c r="B74" s="10" t="s">
        <v>18</v>
      </c>
      <c r="C74" s="11" t="s">
        <v>84</v>
      </c>
      <c r="D74" s="9" t="s">
        <v>83</v>
      </c>
      <c r="E74" s="12">
        <v>42455.0</v>
      </c>
      <c r="F74" s="13" t="str">
        <f t="shared" si="8"/>
        <v>Mar-2016</v>
      </c>
      <c r="G74" s="13" t="s">
        <v>20</v>
      </c>
      <c r="H74" s="13" t="s">
        <v>21</v>
      </c>
      <c r="I74" s="14" t="s">
        <v>87</v>
      </c>
      <c r="J74" s="15" t="s">
        <v>86</v>
      </c>
      <c r="K74" s="16" t="s">
        <v>9</v>
      </c>
      <c r="L74" s="16" t="s">
        <v>24</v>
      </c>
      <c r="M74" s="17" t="s">
        <v>24</v>
      </c>
      <c r="N74" s="18"/>
      <c r="O74" s="18"/>
      <c r="P74" s="18"/>
      <c r="Q74" s="18"/>
    </row>
    <row r="75">
      <c r="A75" s="28">
        <v>42455.0</v>
      </c>
      <c r="B75" s="10" t="s">
        <v>18</v>
      </c>
      <c r="C75" s="11" t="s">
        <v>84</v>
      </c>
      <c r="D75" s="9" t="s">
        <v>83</v>
      </c>
      <c r="E75" s="12">
        <v>42455.0</v>
      </c>
      <c r="F75" s="13" t="str">
        <f t="shared" si="8"/>
        <v>Mar-2016</v>
      </c>
      <c r="G75" s="13" t="s">
        <v>25</v>
      </c>
      <c r="H75" s="13" t="s">
        <v>21</v>
      </c>
      <c r="I75" s="14" t="s">
        <v>87</v>
      </c>
      <c r="J75" s="15" t="s">
        <v>86</v>
      </c>
      <c r="K75" s="16" t="s">
        <v>9</v>
      </c>
      <c r="L75" s="16" t="s">
        <v>24</v>
      </c>
      <c r="M75" s="19"/>
      <c r="N75" s="18"/>
      <c r="O75" s="18"/>
      <c r="P75" s="18"/>
      <c r="Q75" s="18"/>
    </row>
    <row r="76">
      <c r="A76" s="11" t="s">
        <v>84</v>
      </c>
      <c r="B76" s="10" t="s">
        <v>18</v>
      </c>
      <c r="C76" s="11" t="s">
        <v>84</v>
      </c>
      <c r="D76" s="9" t="s">
        <v>83</v>
      </c>
      <c r="E76" s="69">
        <v>42455.0</v>
      </c>
      <c r="F76" s="21" t="str">
        <f t="shared" si="8"/>
        <v>Mar-2016</v>
      </c>
      <c r="G76" s="22" t="s">
        <v>20</v>
      </c>
      <c r="H76" s="22" t="s">
        <v>21</v>
      </c>
      <c r="I76" s="80" t="s">
        <v>88</v>
      </c>
      <c r="J76" s="24" t="s">
        <v>86</v>
      </c>
      <c r="K76" s="25" t="s">
        <v>9</v>
      </c>
      <c r="L76" s="25" t="s">
        <v>24</v>
      </c>
      <c r="M76" s="26" t="s">
        <v>24</v>
      </c>
      <c r="N76" s="27"/>
      <c r="O76" s="27"/>
      <c r="P76" s="27"/>
      <c r="Q76" s="27"/>
      <c r="R76" s="25" t="s">
        <v>89</v>
      </c>
    </row>
    <row r="77">
      <c r="A77" s="31"/>
      <c r="B77" s="10" t="s">
        <v>18</v>
      </c>
      <c r="C77" s="11" t="s">
        <v>84</v>
      </c>
      <c r="D77" s="9" t="s">
        <v>83</v>
      </c>
      <c r="E77" s="69">
        <v>42455.0</v>
      </c>
      <c r="F77" s="21" t="str">
        <f t="shared" si="8"/>
        <v>Mar-2016</v>
      </c>
      <c r="G77" s="22" t="s">
        <v>25</v>
      </c>
      <c r="H77" s="22" t="s">
        <v>21</v>
      </c>
      <c r="I77" s="80" t="s">
        <v>88</v>
      </c>
      <c r="J77" s="24" t="s">
        <v>86</v>
      </c>
      <c r="K77" s="25" t="s">
        <v>9</v>
      </c>
      <c r="L77" s="25" t="s">
        <v>24</v>
      </c>
      <c r="M77" s="32"/>
      <c r="N77" s="27"/>
      <c r="O77" s="27"/>
      <c r="P77" s="27"/>
      <c r="Q77" s="27"/>
      <c r="R77" s="25" t="s">
        <v>89</v>
      </c>
    </row>
    <row r="78">
      <c r="A78" s="31"/>
      <c r="B78" s="10" t="s">
        <v>18</v>
      </c>
      <c r="C78" s="11" t="s">
        <v>84</v>
      </c>
      <c r="D78" s="9" t="s">
        <v>83</v>
      </c>
      <c r="E78" s="12">
        <v>42455.0</v>
      </c>
      <c r="F78" s="13" t="str">
        <f t="shared" si="8"/>
        <v>Mar-2016</v>
      </c>
      <c r="G78" s="13" t="s">
        <v>20</v>
      </c>
      <c r="H78" s="13" t="s">
        <v>21</v>
      </c>
      <c r="I78" s="14" t="s">
        <v>90</v>
      </c>
      <c r="J78" s="15" t="s">
        <v>9</v>
      </c>
      <c r="K78" s="16" t="s">
        <v>9</v>
      </c>
      <c r="L78" s="16" t="s">
        <v>30</v>
      </c>
      <c r="M78" s="17" t="s">
        <v>30</v>
      </c>
      <c r="N78" s="18"/>
      <c r="O78" s="18"/>
      <c r="P78" s="18"/>
      <c r="Q78" s="18"/>
    </row>
    <row r="79">
      <c r="A79" s="31"/>
      <c r="B79" s="10" t="s">
        <v>18</v>
      </c>
      <c r="C79" s="11" t="s">
        <v>84</v>
      </c>
      <c r="D79" s="9" t="s">
        <v>83</v>
      </c>
      <c r="E79" s="12">
        <v>42455.0</v>
      </c>
      <c r="F79" s="13" t="str">
        <f t="shared" si="8"/>
        <v>Mar-2016</v>
      </c>
      <c r="G79" s="13" t="s">
        <v>25</v>
      </c>
      <c r="H79" s="13" t="s">
        <v>21</v>
      </c>
      <c r="I79" s="14" t="s">
        <v>90</v>
      </c>
      <c r="J79" s="15" t="s">
        <v>9</v>
      </c>
      <c r="K79" s="16" t="s">
        <v>9</v>
      </c>
      <c r="L79" s="16" t="s">
        <v>30</v>
      </c>
      <c r="M79" s="19"/>
      <c r="N79" s="18"/>
      <c r="O79" s="18"/>
      <c r="P79" s="18"/>
      <c r="Q79" s="18"/>
    </row>
    <row r="80">
      <c r="A80" s="31"/>
      <c r="B80" s="10" t="s">
        <v>18</v>
      </c>
      <c r="C80" s="11" t="s">
        <v>84</v>
      </c>
      <c r="D80" s="9" t="s">
        <v>83</v>
      </c>
      <c r="E80" s="69">
        <v>42455.0</v>
      </c>
      <c r="F80" s="21" t="str">
        <f t="shared" si="8"/>
        <v>Mar-2016</v>
      </c>
      <c r="G80" s="22" t="s">
        <v>20</v>
      </c>
      <c r="H80" s="22" t="s">
        <v>21</v>
      </c>
      <c r="I80" s="23" t="s">
        <v>91</v>
      </c>
      <c r="J80" s="24" t="s">
        <v>44</v>
      </c>
      <c r="K80" s="25" t="s">
        <v>9</v>
      </c>
      <c r="L80" s="25" t="s">
        <v>30</v>
      </c>
      <c r="M80" s="26" t="s">
        <v>30</v>
      </c>
      <c r="N80" s="27"/>
      <c r="O80" s="27"/>
      <c r="P80" s="27"/>
      <c r="Q80" s="27"/>
    </row>
    <row r="81">
      <c r="A81" s="31"/>
      <c r="B81" s="10" t="s">
        <v>18</v>
      </c>
      <c r="C81" s="11" t="s">
        <v>84</v>
      </c>
      <c r="D81" s="9" t="s">
        <v>83</v>
      </c>
      <c r="E81" s="69">
        <v>42455.0</v>
      </c>
      <c r="F81" s="21" t="str">
        <f t="shared" si="8"/>
        <v>Mar-2016</v>
      </c>
      <c r="G81" s="22" t="s">
        <v>25</v>
      </c>
      <c r="H81" s="22" t="s">
        <v>21</v>
      </c>
      <c r="I81" s="23" t="s">
        <v>91</v>
      </c>
      <c r="J81" s="24" t="s">
        <v>44</v>
      </c>
      <c r="K81" s="25" t="s">
        <v>9</v>
      </c>
      <c r="L81" s="25" t="s">
        <v>30</v>
      </c>
      <c r="M81" s="32"/>
      <c r="N81" s="27"/>
      <c r="O81" s="27"/>
      <c r="P81" s="27"/>
      <c r="Q81" s="27"/>
    </row>
    <row r="82">
      <c r="A82" s="31"/>
      <c r="B82" s="10" t="s">
        <v>18</v>
      </c>
      <c r="C82" s="11" t="s">
        <v>84</v>
      </c>
      <c r="D82" s="9" t="s">
        <v>83</v>
      </c>
      <c r="E82" s="58">
        <v>42455.0</v>
      </c>
      <c r="F82" s="59"/>
      <c r="G82" s="59" t="s">
        <v>51</v>
      </c>
      <c r="H82" s="59" t="s">
        <v>21</v>
      </c>
      <c r="I82" s="60" t="s">
        <v>62</v>
      </c>
      <c r="J82" s="61"/>
      <c r="K82" s="61"/>
      <c r="L82" s="62" t="s">
        <v>51</v>
      </c>
      <c r="M82" s="63"/>
      <c r="N82" s="64"/>
      <c r="O82" s="64"/>
      <c r="P82" s="64"/>
      <c r="Q82" s="64"/>
    </row>
    <row r="83">
      <c r="A83" s="31"/>
      <c r="B83" s="10" t="s">
        <v>18</v>
      </c>
      <c r="C83" s="11" t="s">
        <v>84</v>
      </c>
      <c r="D83" s="9" t="s">
        <v>83</v>
      </c>
      <c r="E83" s="12">
        <v>42455.0</v>
      </c>
      <c r="F83" s="13" t="str">
        <f t="shared" ref="F83:F88" si="9">TEXT(E83, "mmm") &amp; "-" &amp; TEXT(E83, "yyyy") </f>
        <v>Mar-2016</v>
      </c>
      <c r="G83" s="13" t="s">
        <v>20</v>
      </c>
      <c r="H83" s="13" t="s">
        <v>67</v>
      </c>
      <c r="I83" s="14" t="s">
        <v>92</v>
      </c>
      <c r="J83" s="15" t="s">
        <v>27</v>
      </c>
      <c r="K83" s="16" t="s">
        <v>9</v>
      </c>
      <c r="L83" s="16" t="s">
        <v>24</v>
      </c>
      <c r="M83" s="17" t="s">
        <v>24</v>
      </c>
      <c r="N83" s="49" t="s">
        <v>37</v>
      </c>
      <c r="O83" s="57"/>
      <c r="P83" s="57"/>
      <c r="Q83" s="57"/>
    </row>
    <row r="84">
      <c r="A84" s="31"/>
      <c r="B84" s="10" t="s">
        <v>18</v>
      </c>
      <c r="C84" s="11" t="s">
        <v>84</v>
      </c>
      <c r="D84" s="9" t="s">
        <v>83</v>
      </c>
      <c r="E84" s="12">
        <v>42455.0</v>
      </c>
      <c r="F84" s="13" t="str">
        <f t="shared" si="9"/>
        <v>Mar-2016</v>
      </c>
      <c r="G84" s="13" t="s">
        <v>25</v>
      </c>
      <c r="H84" s="13" t="s">
        <v>67</v>
      </c>
      <c r="I84" s="14" t="s">
        <v>92</v>
      </c>
      <c r="J84" s="15" t="s">
        <v>27</v>
      </c>
      <c r="K84" s="16" t="s">
        <v>9</v>
      </c>
      <c r="L84" s="16" t="s">
        <v>24</v>
      </c>
      <c r="M84" s="17"/>
      <c r="N84" s="49" t="s">
        <v>29</v>
      </c>
      <c r="O84" s="57"/>
      <c r="P84" s="57"/>
      <c r="Q84" s="57"/>
    </row>
    <row r="85">
      <c r="A85" s="31"/>
      <c r="B85" s="10" t="s">
        <v>18</v>
      </c>
      <c r="C85" s="11" t="s">
        <v>84</v>
      </c>
      <c r="D85" s="9" t="s">
        <v>83</v>
      </c>
      <c r="E85" s="69">
        <v>42455.0</v>
      </c>
      <c r="F85" s="21" t="str">
        <f t="shared" si="9"/>
        <v>Mar-2016</v>
      </c>
      <c r="G85" s="22" t="s">
        <v>20</v>
      </c>
      <c r="H85" s="22" t="s">
        <v>67</v>
      </c>
      <c r="I85" s="23" t="s">
        <v>93</v>
      </c>
      <c r="J85" s="24" t="s">
        <v>27</v>
      </c>
      <c r="K85" s="25" t="s">
        <v>9</v>
      </c>
      <c r="L85" s="25" t="s">
        <v>30</v>
      </c>
      <c r="M85" s="26" t="s">
        <v>30</v>
      </c>
      <c r="N85" s="27"/>
      <c r="O85" s="27"/>
      <c r="P85" s="27"/>
      <c r="Q85" s="27"/>
    </row>
    <row r="86">
      <c r="A86" s="31"/>
      <c r="B86" s="10" t="s">
        <v>18</v>
      </c>
      <c r="C86" s="11" t="s">
        <v>84</v>
      </c>
      <c r="D86" s="9" t="s">
        <v>83</v>
      </c>
      <c r="E86" s="69">
        <v>42455.0</v>
      </c>
      <c r="F86" s="21" t="str">
        <f t="shared" si="9"/>
        <v>Mar-2016</v>
      </c>
      <c r="G86" s="22" t="s">
        <v>25</v>
      </c>
      <c r="H86" s="22" t="s">
        <v>67</v>
      </c>
      <c r="I86" s="23" t="s">
        <v>93</v>
      </c>
      <c r="J86" s="24" t="s">
        <v>27</v>
      </c>
      <c r="K86" s="25" t="s">
        <v>9</v>
      </c>
      <c r="L86" s="25" t="s">
        <v>30</v>
      </c>
      <c r="M86" s="32"/>
      <c r="N86" s="27"/>
      <c r="O86" s="27"/>
      <c r="P86" s="27"/>
      <c r="Q86" s="27"/>
    </row>
    <row r="87">
      <c r="A87" s="31"/>
      <c r="B87" s="10" t="s">
        <v>18</v>
      </c>
      <c r="C87" s="11" t="s">
        <v>84</v>
      </c>
      <c r="D87" s="9" t="s">
        <v>83</v>
      </c>
      <c r="E87" s="12">
        <v>42455.0</v>
      </c>
      <c r="F87" s="13" t="str">
        <f t="shared" si="9"/>
        <v>Mar-2016</v>
      </c>
      <c r="G87" s="13" t="s">
        <v>20</v>
      </c>
      <c r="H87" s="13" t="s">
        <v>67</v>
      </c>
      <c r="I87" s="14" t="s">
        <v>94</v>
      </c>
      <c r="J87" s="15" t="s">
        <v>23</v>
      </c>
      <c r="K87" s="16" t="s">
        <v>9</v>
      </c>
      <c r="L87" s="16" t="s">
        <v>24</v>
      </c>
      <c r="M87" s="17" t="s">
        <v>24</v>
      </c>
      <c r="N87" s="57"/>
      <c r="O87" s="57"/>
      <c r="P87" s="57"/>
      <c r="Q87" s="57"/>
    </row>
    <row r="88">
      <c r="A88" s="33"/>
      <c r="B88" s="10" t="s">
        <v>18</v>
      </c>
      <c r="C88" s="11" t="s">
        <v>84</v>
      </c>
      <c r="D88" s="9" t="s">
        <v>83</v>
      </c>
      <c r="E88" s="34">
        <v>42455.0</v>
      </c>
      <c r="F88" s="35" t="str">
        <f t="shared" si="9"/>
        <v>Mar-2016</v>
      </c>
      <c r="G88" s="35" t="s">
        <v>25</v>
      </c>
      <c r="H88" s="35" t="s">
        <v>67</v>
      </c>
      <c r="I88" s="36" t="s">
        <v>94</v>
      </c>
      <c r="J88" s="37" t="s">
        <v>23</v>
      </c>
      <c r="K88" s="38" t="s">
        <v>9</v>
      </c>
      <c r="L88" s="38" t="s">
        <v>24</v>
      </c>
      <c r="M88" s="39"/>
      <c r="N88" s="40"/>
      <c r="O88" s="40"/>
      <c r="P88" s="40"/>
      <c r="Q88" s="40"/>
    </row>
    <row r="89">
      <c r="A89" s="41"/>
      <c r="B89" s="42"/>
      <c r="C89" s="42"/>
      <c r="D89" s="42"/>
      <c r="E89" s="42"/>
      <c r="F89" s="43"/>
      <c r="G89" s="43"/>
      <c r="H89" s="43"/>
      <c r="I89" s="23"/>
      <c r="M89" s="32"/>
      <c r="N89" s="43"/>
      <c r="O89" s="43"/>
      <c r="P89" s="43"/>
      <c r="Q89" s="43"/>
    </row>
    <row r="90">
      <c r="A90" s="68" t="s">
        <v>95</v>
      </c>
      <c r="B90" s="10" t="s">
        <v>73</v>
      </c>
      <c r="C90" s="11" t="s">
        <v>74</v>
      </c>
      <c r="D90" s="68" t="s">
        <v>95</v>
      </c>
      <c r="E90" s="69">
        <v>42460.0</v>
      </c>
      <c r="F90" s="70" t="str">
        <f t="shared" ref="F90:F100" si="10">TEXT(E90, "mmm") &amp; "-" &amp; TEXT(E90, "yyyy") </f>
        <v>Mar-2016</v>
      </c>
      <c r="G90" s="22" t="s">
        <v>20</v>
      </c>
      <c r="H90" s="22" t="s">
        <v>35</v>
      </c>
      <c r="I90" s="71" t="s">
        <v>96</v>
      </c>
      <c r="J90" s="72" t="s">
        <v>97</v>
      </c>
      <c r="K90" s="73" t="s">
        <v>9</v>
      </c>
      <c r="L90" s="73" t="s">
        <v>30</v>
      </c>
      <c r="M90" s="26" t="s">
        <v>30</v>
      </c>
      <c r="N90" s="29" t="s">
        <v>98</v>
      </c>
      <c r="O90" s="30"/>
      <c r="P90" s="30"/>
      <c r="Q90" s="30"/>
    </row>
    <row r="91">
      <c r="A91" s="10" t="s">
        <v>73</v>
      </c>
      <c r="B91" s="10" t="s">
        <v>73</v>
      </c>
      <c r="C91" s="11" t="s">
        <v>74</v>
      </c>
      <c r="D91" s="68" t="s">
        <v>95</v>
      </c>
      <c r="E91" s="69">
        <v>42460.0</v>
      </c>
      <c r="F91" s="21" t="str">
        <f t="shared" si="10"/>
        <v>Mar-2016</v>
      </c>
      <c r="G91" s="22" t="s">
        <v>25</v>
      </c>
      <c r="H91" s="22" t="s">
        <v>35</v>
      </c>
      <c r="I91" s="23" t="s">
        <v>96</v>
      </c>
      <c r="J91" s="24" t="s">
        <v>97</v>
      </c>
      <c r="K91" s="25" t="s">
        <v>9</v>
      </c>
      <c r="L91" s="25" t="s">
        <v>30</v>
      </c>
      <c r="M91" s="26"/>
      <c r="N91" s="29" t="s">
        <v>99</v>
      </c>
      <c r="O91" s="30"/>
      <c r="P91" s="30"/>
      <c r="Q91" s="30"/>
    </row>
    <row r="92">
      <c r="A92" s="10" t="s">
        <v>76</v>
      </c>
      <c r="B92" s="10" t="s">
        <v>73</v>
      </c>
      <c r="C92" s="11" t="s">
        <v>74</v>
      </c>
      <c r="D92" s="68" t="s">
        <v>95</v>
      </c>
      <c r="E92" s="12">
        <v>42460.0</v>
      </c>
      <c r="F92" s="13" t="str">
        <f t="shared" si="10"/>
        <v>Mar-2016</v>
      </c>
      <c r="G92" s="13" t="s">
        <v>20</v>
      </c>
      <c r="H92" s="13" t="s">
        <v>35</v>
      </c>
      <c r="I92" s="14" t="s">
        <v>47</v>
      </c>
      <c r="J92" s="15" t="s">
        <v>48</v>
      </c>
      <c r="K92" s="16" t="s">
        <v>9</v>
      </c>
      <c r="L92" s="16" t="s">
        <v>24</v>
      </c>
      <c r="M92" s="17" t="s">
        <v>24</v>
      </c>
      <c r="N92" s="49" t="s">
        <v>98</v>
      </c>
      <c r="O92" s="57"/>
      <c r="P92" s="57"/>
      <c r="Q92" s="57"/>
    </row>
    <row r="93">
      <c r="A93" s="74">
        <v>42460.0</v>
      </c>
      <c r="B93" s="10" t="s">
        <v>73</v>
      </c>
      <c r="C93" s="11" t="s">
        <v>74</v>
      </c>
      <c r="D93" s="68" t="s">
        <v>95</v>
      </c>
      <c r="E93" s="12">
        <v>42460.0</v>
      </c>
      <c r="F93" s="13" t="str">
        <f t="shared" si="10"/>
        <v>Mar-2016</v>
      </c>
      <c r="G93" s="13" t="s">
        <v>25</v>
      </c>
      <c r="H93" s="13" t="s">
        <v>35</v>
      </c>
      <c r="I93" s="14" t="s">
        <v>47</v>
      </c>
      <c r="J93" s="15" t="s">
        <v>48</v>
      </c>
      <c r="K93" s="16" t="s">
        <v>9</v>
      </c>
      <c r="L93" s="16" t="s">
        <v>24</v>
      </c>
      <c r="M93" s="17"/>
      <c r="N93" s="49" t="s">
        <v>69</v>
      </c>
      <c r="O93" s="57"/>
      <c r="P93" s="57"/>
      <c r="Q93" s="57"/>
    </row>
    <row r="94">
      <c r="A94" s="11" t="s">
        <v>74</v>
      </c>
      <c r="B94" s="10" t="s">
        <v>73</v>
      </c>
      <c r="C94" s="11" t="s">
        <v>74</v>
      </c>
      <c r="D94" s="68" t="s">
        <v>95</v>
      </c>
      <c r="E94" s="69">
        <v>42460.0</v>
      </c>
      <c r="F94" s="21" t="str">
        <f t="shared" si="10"/>
        <v>Mar-2016</v>
      </c>
      <c r="G94" s="22" t="s">
        <v>20</v>
      </c>
      <c r="H94" s="22" t="s">
        <v>35</v>
      </c>
      <c r="I94" s="80" t="s">
        <v>100</v>
      </c>
      <c r="J94" s="24" t="s">
        <v>9</v>
      </c>
      <c r="K94" s="25" t="s">
        <v>9</v>
      </c>
      <c r="L94" s="25" t="s">
        <v>30</v>
      </c>
      <c r="M94" s="26" t="s">
        <v>30</v>
      </c>
      <c r="N94" s="29" t="s">
        <v>98</v>
      </c>
      <c r="O94" s="30"/>
      <c r="P94" s="30"/>
      <c r="Q94" s="30"/>
    </row>
    <row r="95">
      <c r="A95" s="31"/>
      <c r="B95" s="10" t="s">
        <v>73</v>
      </c>
      <c r="C95" s="11" t="s">
        <v>74</v>
      </c>
      <c r="D95" s="68" t="s">
        <v>95</v>
      </c>
      <c r="E95" s="69">
        <v>42460.0</v>
      </c>
      <c r="F95" s="21" t="str">
        <f t="shared" si="10"/>
        <v>Mar-2016</v>
      </c>
      <c r="G95" s="22" t="s">
        <v>25</v>
      </c>
      <c r="H95" s="22" t="s">
        <v>35</v>
      </c>
      <c r="I95" s="80" t="s">
        <v>100</v>
      </c>
      <c r="J95" s="24" t="s">
        <v>9</v>
      </c>
      <c r="K95" s="25" t="s">
        <v>9</v>
      </c>
      <c r="L95" s="25" t="s">
        <v>30</v>
      </c>
      <c r="M95" s="26"/>
      <c r="N95" s="29" t="s">
        <v>69</v>
      </c>
      <c r="O95" s="30"/>
      <c r="P95" s="30"/>
      <c r="Q95" s="30"/>
    </row>
    <row r="96">
      <c r="A96" s="31"/>
      <c r="B96" s="10" t="s">
        <v>73</v>
      </c>
      <c r="C96" s="11" t="s">
        <v>74</v>
      </c>
      <c r="D96" s="68" t="s">
        <v>95</v>
      </c>
      <c r="E96" s="12">
        <v>42460.0</v>
      </c>
      <c r="F96" s="13" t="str">
        <f t="shared" si="10"/>
        <v>Mar-2016</v>
      </c>
      <c r="G96" s="13" t="s">
        <v>20</v>
      </c>
      <c r="H96" s="13" t="s">
        <v>35</v>
      </c>
      <c r="I96" s="14" t="s">
        <v>101</v>
      </c>
      <c r="J96" s="15" t="s">
        <v>102</v>
      </c>
      <c r="K96" s="16" t="s">
        <v>9</v>
      </c>
      <c r="L96" s="16" t="s">
        <v>24</v>
      </c>
      <c r="M96" s="17" t="s">
        <v>30</v>
      </c>
      <c r="N96" s="49" t="s">
        <v>98</v>
      </c>
      <c r="O96" s="57"/>
      <c r="P96" s="57"/>
      <c r="Q96" s="57"/>
    </row>
    <row r="97">
      <c r="A97" s="31"/>
      <c r="B97" s="10" t="s">
        <v>73</v>
      </c>
      <c r="C97" s="11" t="s">
        <v>74</v>
      </c>
      <c r="D97" s="68" t="s">
        <v>95</v>
      </c>
      <c r="E97" s="12">
        <v>42460.0</v>
      </c>
      <c r="F97" s="13" t="str">
        <f t="shared" si="10"/>
        <v>Mar-2016</v>
      </c>
      <c r="G97" s="13" t="s">
        <v>25</v>
      </c>
      <c r="H97" s="13" t="s">
        <v>35</v>
      </c>
      <c r="I97" s="14" t="s">
        <v>101</v>
      </c>
      <c r="J97" s="15" t="s">
        <v>102</v>
      </c>
      <c r="K97" s="16" t="s">
        <v>9</v>
      </c>
      <c r="L97" s="16" t="s">
        <v>30</v>
      </c>
      <c r="M97" s="17"/>
      <c r="N97" s="49" t="s">
        <v>69</v>
      </c>
      <c r="O97" s="57"/>
      <c r="P97" s="57"/>
      <c r="Q97" s="57"/>
    </row>
    <row r="98">
      <c r="A98" s="31"/>
      <c r="B98" s="10" t="s">
        <v>73</v>
      </c>
      <c r="C98" s="11" t="s">
        <v>74</v>
      </c>
      <c r="D98" s="68" t="s">
        <v>95</v>
      </c>
      <c r="E98" s="12">
        <v>42460.0</v>
      </c>
      <c r="F98" s="13" t="str">
        <f t="shared" si="10"/>
        <v>Mar-2016</v>
      </c>
      <c r="G98" s="17" t="s">
        <v>32</v>
      </c>
      <c r="H98" s="13" t="s">
        <v>35</v>
      </c>
      <c r="I98" s="14" t="s">
        <v>101</v>
      </c>
      <c r="J98" s="15" t="s">
        <v>102</v>
      </c>
      <c r="K98" s="16" t="s">
        <v>9</v>
      </c>
      <c r="L98" s="16" t="s">
        <v>30</v>
      </c>
      <c r="M98" s="17"/>
      <c r="N98" s="49" t="s">
        <v>37</v>
      </c>
      <c r="O98" s="57"/>
      <c r="P98" s="57"/>
      <c r="Q98" s="57"/>
    </row>
    <row r="99">
      <c r="A99" s="31"/>
      <c r="B99" s="10" t="s">
        <v>73</v>
      </c>
      <c r="C99" s="11" t="s">
        <v>74</v>
      </c>
      <c r="D99" s="68" t="s">
        <v>95</v>
      </c>
      <c r="E99" s="69">
        <v>42460.0</v>
      </c>
      <c r="F99" s="21" t="str">
        <f t="shared" si="10"/>
        <v>Mar-2016</v>
      </c>
      <c r="G99" s="22" t="s">
        <v>20</v>
      </c>
      <c r="H99" s="22" t="s">
        <v>35</v>
      </c>
      <c r="I99" s="23" t="s">
        <v>103</v>
      </c>
      <c r="J99" s="24" t="s">
        <v>71</v>
      </c>
      <c r="K99" s="25" t="s">
        <v>9</v>
      </c>
      <c r="L99" s="25" t="s">
        <v>24</v>
      </c>
      <c r="M99" s="26" t="s">
        <v>24</v>
      </c>
      <c r="N99" s="29" t="s">
        <v>98</v>
      </c>
      <c r="O99" s="30"/>
      <c r="P99" s="30"/>
      <c r="Q99" s="30"/>
    </row>
    <row r="100">
      <c r="A100" s="33"/>
      <c r="B100" s="10" t="s">
        <v>73</v>
      </c>
      <c r="C100" s="11" t="s">
        <v>74</v>
      </c>
      <c r="D100" s="68" t="s">
        <v>95</v>
      </c>
      <c r="E100" s="75">
        <v>42460.0</v>
      </c>
      <c r="F100" s="51" t="str">
        <f t="shared" si="10"/>
        <v>Mar-2016</v>
      </c>
      <c r="G100" s="52" t="s">
        <v>25</v>
      </c>
      <c r="H100" s="52" t="s">
        <v>35</v>
      </c>
      <c r="I100" s="53" t="s">
        <v>103</v>
      </c>
      <c r="J100" s="54" t="s">
        <v>71</v>
      </c>
      <c r="K100" s="55" t="s">
        <v>9</v>
      </c>
      <c r="L100" s="55" t="s">
        <v>24</v>
      </c>
      <c r="M100" s="76"/>
      <c r="N100" s="77" t="s">
        <v>69</v>
      </c>
      <c r="O100" s="78"/>
      <c r="P100" s="78"/>
      <c r="Q100" s="78"/>
    </row>
    <row r="101">
      <c r="A101" s="81"/>
      <c r="B101" s="82"/>
      <c r="C101" s="82"/>
      <c r="D101" s="82"/>
      <c r="E101" s="82"/>
      <c r="F101" s="32"/>
      <c r="G101" s="32"/>
      <c r="H101" s="32"/>
      <c r="I101" s="23"/>
      <c r="M101" s="32"/>
      <c r="N101" s="32"/>
      <c r="O101" s="32"/>
      <c r="P101" s="32"/>
      <c r="Q101" s="32"/>
    </row>
    <row r="102">
      <c r="A102" s="83" t="s">
        <v>104</v>
      </c>
      <c r="B102" s="10" t="s">
        <v>73</v>
      </c>
      <c r="C102" s="11" t="s">
        <v>74</v>
      </c>
      <c r="D102" s="83" t="s">
        <v>104</v>
      </c>
      <c r="E102" s="84">
        <v>42481.0</v>
      </c>
      <c r="F102" s="70" t="str">
        <f t="shared" ref="F102:F111" si="11">TEXT(E102, "mmm") &amp; "-" &amp; TEXT(E102, "yyyy") </f>
        <v>Apr-2016</v>
      </c>
      <c r="G102" s="85" t="s">
        <v>20</v>
      </c>
      <c r="H102" s="85" t="s">
        <v>35</v>
      </c>
      <c r="I102" s="86" t="s">
        <v>105</v>
      </c>
      <c r="J102" s="73" t="s">
        <v>44</v>
      </c>
      <c r="K102" s="73" t="s">
        <v>9</v>
      </c>
      <c r="L102" s="73" t="s">
        <v>30</v>
      </c>
      <c r="M102" s="87" t="s">
        <v>30</v>
      </c>
      <c r="N102" s="88" t="s">
        <v>98</v>
      </c>
      <c r="O102" s="89"/>
      <c r="P102" s="89"/>
      <c r="Q102" s="89"/>
    </row>
    <row r="103">
      <c r="A103" s="10" t="s">
        <v>73</v>
      </c>
      <c r="B103" s="10" t="s">
        <v>73</v>
      </c>
      <c r="C103" s="11" t="s">
        <v>74</v>
      </c>
      <c r="D103" s="83" t="s">
        <v>104</v>
      </c>
      <c r="E103" s="69">
        <v>42481.0</v>
      </c>
      <c r="F103" s="21" t="str">
        <f t="shared" si="11"/>
        <v>Apr-2016</v>
      </c>
      <c r="G103" s="22" t="s">
        <v>25</v>
      </c>
      <c r="H103" s="22" t="s">
        <v>35</v>
      </c>
      <c r="I103" s="80" t="s">
        <v>105</v>
      </c>
      <c r="J103" s="25" t="s">
        <v>44</v>
      </c>
      <c r="K103" s="25" t="s">
        <v>9</v>
      </c>
      <c r="L103" s="25" t="s">
        <v>30</v>
      </c>
      <c r="M103" s="26"/>
      <c r="N103" s="29" t="s">
        <v>106</v>
      </c>
      <c r="O103" s="29"/>
      <c r="P103" s="29"/>
      <c r="Q103" s="29"/>
    </row>
    <row r="104">
      <c r="A104" s="10" t="s">
        <v>76</v>
      </c>
      <c r="B104" s="10" t="s">
        <v>73</v>
      </c>
      <c r="C104" s="11" t="s">
        <v>74</v>
      </c>
      <c r="D104" s="83" t="s">
        <v>104</v>
      </c>
      <c r="E104" s="12">
        <v>42481.0</v>
      </c>
      <c r="F104" s="13" t="str">
        <f t="shared" si="11"/>
        <v>Apr-2016</v>
      </c>
      <c r="G104" s="13" t="s">
        <v>20</v>
      </c>
      <c r="H104" s="13" t="s">
        <v>35</v>
      </c>
      <c r="I104" s="14" t="s">
        <v>47</v>
      </c>
      <c r="J104" s="15" t="s">
        <v>48</v>
      </c>
      <c r="K104" s="16" t="s">
        <v>9</v>
      </c>
      <c r="L104" s="16" t="s">
        <v>24</v>
      </c>
      <c r="M104" s="17" t="s">
        <v>24</v>
      </c>
      <c r="N104" s="49" t="s">
        <v>98</v>
      </c>
      <c r="O104" s="57"/>
      <c r="P104" s="57"/>
      <c r="Q104" s="57"/>
    </row>
    <row r="105">
      <c r="A105" s="90">
        <v>42481.0</v>
      </c>
      <c r="B105" s="10" t="s">
        <v>73</v>
      </c>
      <c r="C105" s="11" t="s">
        <v>74</v>
      </c>
      <c r="D105" s="83" t="s">
        <v>104</v>
      </c>
      <c r="E105" s="12">
        <v>42481.0</v>
      </c>
      <c r="F105" s="13" t="str">
        <f t="shared" si="11"/>
        <v>Apr-2016</v>
      </c>
      <c r="G105" s="13" t="s">
        <v>25</v>
      </c>
      <c r="H105" s="13" t="s">
        <v>35</v>
      </c>
      <c r="I105" s="14" t="s">
        <v>47</v>
      </c>
      <c r="J105" s="15" t="s">
        <v>48</v>
      </c>
      <c r="K105" s="16" t="s">
        <v>9</v>
      </c>
      <c r="L105" s="16" t="s">
        <v>24</v>
      </c>
      <c r="M105" s="17"/>
      <c r="N105" s="49" t="s">
        <v>69</v>
      </c>
      <c r="O105" s="57"/>
      <c r="P105" s="57"/>
      <c r="Q105" s="57"/>
    </row>
    <row r="106">
      <c r="A106" s="11" t="s">
        <v>74</v>
      </c>
      <c r="B106" s="10" t="s">
        <v>73</v>
      </c>
      <c r="C106" s="11" t="s">
        <v>74</v>
      </c>
      <c r="D106" s="83" t="s">
        <v>104</v>
      </c>
      <c r="E106" s="69">
        <v>42481.0</v>
      </c>
      <c r="F106" s="21" t="str">
        <f t="shared" si="11"/>
        <v>Apr-2016</v>
      </c>
      <c r="G106" s="22" t="s">
        <v>20</v>
      </c>
      <c r="H106" s="22" t="s">
        <v>35</v>
      </c>
      <c r="I106" s="80" t="s">
        <v>107</v>
      </c>
      <c r="J106" s="24" t="s">
        <v>9</v>
      </c>
      <c r="K106" s="25" t="s">
        <v>9</v>
      </c>
      <c r="L106" s="25" t="s">
        <v>24</v>
      </c>
      <c r="M106" s="26" t="s">
        <v>30</v>
      </c>
      <c r="N106" s="29" t="s">
        <v>98</v>
      </c>
      <c r="O106" s="30"/>
      <c r="P106" s="30"/>
      <c r="Q106" s="30"/>
    </row>
    <row r="107">
      <c r="A107" s="31"/>
      <c r="B107" s="10" t="s">
        <v>73</v>
      </c>
      <c r="C107" s="11" t="s">
        <v>74</v>
      </c>
      <c r="D107" s="83" t="s">
        <v>104</v>
      </c>
      <c r="E107" s="69">
        <v>42481.0</v>
      </c>
      <c r="F107" s="21" t="str">
        <f t="shared" si="11"/>
        <v>Apr-2016</v>
      </c>
      <c r="G107" s="22" t="s">
        <v>25</v>
      </c>
      <c r="H107" s="22" t="s">
        <v>35</v>
      </c>
      <c r="I107" s="80" t="s">
        <v>107</v>
      </c>
      <c r="J107" s="24" t="s">
        <v>9</v>
      </c>
      <c r="K107" s="25" t="s">
        <v>9</v>
      </c>
      <c r="L107" s="25" t="s">
        <v>30</v>
      </c>
      <c r="M107" s="26"/>
      <c r="N107" s="29" t="s">
        <v>106</v>
      </c>
      <c r="O107" s="29"/>
      <c r="P107" s="29"/>
      <c r="Q107" s="29"/>
    </row>
    <row r="108">
      <c r="A108" s="31"/>
      <c r="B108" s="10" t="s">
        <v>73</v>
      </c>
      <c r="C108" s="11" t="s">
        <v>74</v>
      </c>
      <c r="D108" s="83" t="s">
        <v>104</v>
      </c>
      <c r="E108" s="69">
        <v>42481.0</v>
      </c>
      <c r="F108" s="21" t="str">
        <f t="shared" si="11"/>
        <v>Apr-2016</v>
      </c>
      <c r="G108" s="91" t="s">
        <v>32</v>
      </c>
      <c r="H108" s="22" t="s">
        <v>35</v>
      </c>
      <c r="I108" s="80" t="s">
        <v>107</v>
      </c>
      <c r="J108" s="24" t="s">
        <v>9</v>
      </c>
      <c r="K108" s="25" t="s">
        <v>9</v>
      </c>
      <c r="L108" s="25" t="s">
        <v>30</v>
      </c>
      <c r="M108" s="91"/>
      <c r="N108" s="92" t="s">
        <v>69</v>
      </c>
      <c r="O108" s="92"/>
      <c r="P108" s="92"/>
      <c r="Q108" s="92"/>
    </row>
    <row r="109">
      <c r="A109" s="31"/>
      <c r="B109" s="10" t="s">
        <v>73</v>
      </c>
      <c r="C109" s="11" t="s">
        <v>74</v>
      </c>
      <c r="D109" s="83" t="s">
        <v>104</v>
      </c>
      <c r="E109" s="12">
        <v>42481.0</v>
      </c>
      <c r="F109" s="13" t="str">
        <f t="shared" si="11"/>
        <v>Apr-2016</v>
      </c>
      <c r="G109" s="13" t="s">
        <v>20</v>
      </c>
      <c r="H109" s="13" t="s">
        <v>35</v>
      </c>
      <c r="I109" s="14" t="s">
        <v>101</v>
      </c>
      <c r="J109" s="15" t="s">
        <v>102</v>
      </c>
      <c r="K109" s="16" t="s">
        <v>9</v>
      </c>
      <c r="L109" s="16" t="s">
        <v>30</v>
      </c>
      <c r="M109" s="17" t="s">
        <v>24</v>
      </c>
      <c r="N109" s="49" t="s">
        <v>98</v>
      </c>
      <c r="O109" s="57"/>
      <c r="P109" s="57"/>
      <c r="Q109" s="57"/>
    </row>
    <row r="110">
      <c r="A110" s="31"/>
      <c r="B110" s="10" t="s">
        <v>73</v>
      </c>
      <c r="C110" s="11" t="s">
        <v>74</v>
      </c>
      <c r="D110" s="83" t="s">
        <v>104</v>
      </c>
      <c r="E110" s="12">
        <v>42481.0</v>
      </c>
      <c r="F110" s="13" t="str">
        <f t="shared" si="11"/>
        <v>Apr-2016</v>
      </c>
      <c r="G110" s="13" t="s">
        <v>25</v>
      </c>
      <c r="H110" s="13" t="s">
        <v>35</v>
      </c>
      <c r="I110" s="14" t="s">
        <v>101</v>
      </c>
      <c r="J110" s="15" t="s">
        <v>102</v>
      </c>
      <c r="K110" s="16" t="s">
        <v>9</v>
      </c>
      <c r="L110" s="16" t="s">
        <v>24</v>
      </c>
      <c r="M110" s="17"/>
      <c r="N110" s="49" t="s">
        <v>37</v>
      </c>
      <c r="O110" s="49"/>
      <c r="P110" s="49"/>
      <c r="Q110" s="49"/>
    </row>
    <row r="111">
      <c r="A111" s="33"/>
      <c r="B111" s="10" t="s">
        <v>73</v>
      </c>
      <c r="C111" s="11" t="s">
        <v>74</v>
      </c>
      <c r="D111" s="83" t="s">
        <v>104</v>
      </c>
      <c r="E111" s="34">
        <v>42481.0</v>
      </c>
      <c r="F111" s="35" t="str">
        <f t="shared" si="11"/>
        <v>Apr-2016</v>
      </c>
      <c r="G111" s="93" t="s">
        <v>32</v>
      </c>
      <c r="H111" s="35" t="s">
        <v>35</v>
      </c>
      <c r="I111" s="36" t="s">
        <v>101</v>
      </c>
      <c r="J111" s="37" t="s">
        <v>102</v>
      </c>
      <c r="K111" s="38" t="s">
        <v>9</v>
      </c>
      <c r="L111" s="38" t="s">
        <v>24</v>
      </c>
      <c r="M111" s="93"/>
      <c r="N111" s="66" t="s">
        <v>69</v>
      </c>
      <c r="O111" s="66"/>
      <c r="P111" s="66"/>
      <c r="Q111" s="66"/>
    </row>
    <row r="112">
      <c r="A112" s="94"/>
      <c r="B112" s="95"/>
      <c r="C112" s="95"/>
      <c r="D112" s="95"/>
      <c r="E112" s="95"/>
      <c r="F112" s="24"/>
      <c r="G112" s="24"/>
      <c r="H112" s="24"/>
      <c r="I112" s="23"/>
      <c r="J112" s="24"/>
      <c r="K112" s="24"/>
      <c r="L112" s="24"/>
      <c r="M112" s="24"/>
      <c r="N112" s="24"/>
      <c r="O112" s="24"/>
      <c r="P112" s="24"/>
      <c r="Q112" s="24"/>
    </row>
    <row r="113">
      <c r="A113" s="96" t="s">
        <v>108</v>
      </c>
      <c r="B113" s="10" t="s">
        <v>18</v>
      </c>
      <c r="C113" s="11" t="s">
        <v>74</v>
      </c>
      <c r="D113" s="96" t="s">
        <v>108</v>
      </c>
      <c r="E113" s="97">
        <v>42487.0</v>
      </c>
      <c r="F113" s="70" t="str">
        <f t="shared" ref="F113:F121" si="12">TEXT(E113, "mmm") &amp; "-" &amp; TEXT(E113, "yyyy") </f>
        <v>Apr-2016</v>
      </c>
      <c r="G113" s="72" t="s">
        <v>20</v>
      </c>
      <c r="H113" s="72" t="s">
        <v>35</v>
      </c>
      <c r="I113" s="71" t="s">
        <v>109</v>
      </c>
      <c r="J113" s="72" t="s">
        <v>27</v>
      </c>
      <c r="K113" s="72" t="s">
        <v>9</v>
      </c>
      <c r="L113" s="72" t="s">
        <v>24</v>
      </c>
      <c r="M113" s="73" t="s">
        <v>24</v>
      </c>
      <c r="N113" s="73" t="s">
        <v>69</v>
      </c>
      <c r="O113" s="72"/>
      <c r="P113" s="72"/>
      <c r="Q113" s="98"/>
    </row>
    <row r="114">
      <c r="A114" s="10" t="s">
        <v>18</v>
      </c>
      <c r="B114" s="10" t="s">
        <v>18</v>
      </c>
      <c r="C114" s="11" t="s">
        <v>74</v>
      </c>
      <c r="D114" s="96" t="s">
        <v>108</v>
      </c>
      <c r="E114" s="95">
        <v>42487.0</v>
      </c>
      <c r="F114" s="21" t="str">
        <f t="shared" si="12"/>
        <v>Apr-2016</v>
      </c>
      <c r="G114" s="24" t="s">
        <v>25</v>
      </c>
      <c r="H114" s="24" t="s">
        <v>35</v>
      </c>
      <c r="I114" s="23" t="s">
        <v>109</v>
      </c>
      <c r="J114" s="24" t="s">
        <v>27</v>
      </c>
      <c r="K114" s="24" t="s">
        <v>9</v>
      </c>
      <c r="L114" s="24" t="s">
        <v>24</v>
      </c>
      <c r="M114" s="25"/>
      <c r="N114" s="25" t="s">
        <v>106</v>
      </c>
      <c r="Q114" s="99"/>
    </row>
    <row r="115">
      <c r="A115" s="10" t="s">
        <v>26</v>
      </c>
      <c r="B115" s="10" t="s">
        <v>18</v>
      </c>
      <c r="C115" s="11" t="s">
        <v>74</v>
      </c>
      <c r="D115" s="96" t="s">
        <v>108</v>
      </c>
      <c r="E115" s="100">
        <v>42487.0</v>
      </c>
      <c r="F115" s="13" t="str">
        <f t="shared" si="12"/>
        <v>Apr-2016</v>
      </c>
      <c r="G115" s="15" t="s">
        <v>20</v>
      </c>
      <c r="H115" s="15" t="s">
        <v>35</v>
      </c>
      <c r="I115" s="14" t="s">
        <v>110</v>
      </c>
      <c r="J115" s="15" t="s">
        <v>9</v>
      </c>
      <c r="K115" s="15" t="s">
        <v>9</v>
      </c>
      <c r="L115" s="15" t="s">
        <v>30</v>
      </c>
      <c r="M115" s="16" t="s">
        <v>30</v>
      </c>
      <c r="N115" s="16" t="s">
        <v>29</v>
      </c>
      <c r="O115" s="101"/>
      <c r="P115" s="101"/>
      <c r="Q115" s="102"/>
    </row>
    <row r="116">
      <c r="A116" s="90">
        <v>42487.0</v>
      </c>
      <c r="B116" s="10" t="s">
        <v>18</v>
      </c>
      <c r="C116" s="11" t="s">
        <v>74</v>
      </c>
      <c r="D116" s="96" t="s">
        <v>108</v>
      </c>
      <c r="E116" s="100">
        <v>42487.0</v>
      </c>
      <c r="F116" s="13" t="str">
        <f t="shared" si="12"/>
        <v>Apr-2016</v>
      </c>
      <c r="G116" s="15" t="s">
        <v>25</v>
      </c>
      <c r="H116" s="15" t="s">
        <v>35</v>
      </c>
      <c r="I116" s="14" t="s">
        <v>110</v>
      </c>
      <c r="J116" s="15" t="s">
        <v>102</v>
      </c>
      <c r="K116" s="15" t="s">
        <v>9</v>
      </c>
      <c r="L116" s="15" t="s">
        <v>30</v>
      </c>
      <c r="M116" s="16"/>
      <c r="N116" s="16" t="s">
        <v>98</v>
      </c>
      <c r="O116" s="101"/>
      <c r="P116" s="101"/>
      <c r="Q116" s="102"/>
    </row>
    <row r="117">
      <c r="A117" s="103" t="str">
        <f>HYPERLINK("http://challonge.com/umeme15","http://challonge.com/umeme15")</f>
        <v>http://challonge.com/umeme15</v>
      </c>
      <c r="B117" s="10" t="s">
        <v>18</v>
      </c>
      <c r="C117" s="11" t="s">
        <v>74</v>
      </c>
      <c r="D117" s="96" t="s">
        <v>108</v>
      </c>
      <c r="E117" s="95">
        <v>42487.0</v>
      </c>
      <c r="F117" s="21" t="str">
        <f t="shared" si="12"/>
        <v>Apr-2016</v>
      </c>
      <c r="G117" s="24" t="s">
        <v>20</v>
      </c>
      <c r="H117" s="24" t="s">
        <v>35</v>
      </c>
      <c r="I117" s="80" t="s">
        <v>111</v>
      </c>
      <c r="J117" s="24" t="s">
        <v>27</v>
      </c>
      <c r="K117" s="24" t="s">
        <v>9</v>
      </c>
      <c r="L117" s="24" t="s">
        <v>24</v>
      </c>
      <c r="M117" s="25" t="s">
        <v>30</v>
      </c>
      <c r="N117" s="25" t="s">
        <v>98</v>
      </c>
      <c r="Q117" s="99"/>
    </row>
    <row r="118">
      <c r="A118" s="11" t="s">
        <v>74</v>
      </c>
      <c r="B118" s="10" t="s">
        <v>18</v>
      </c>
      <c r="C118" s="11" t="s">
        <v>74</v>
      </c>
      <c r="D118" s="96" t="s">
        <v>108</v>
      </c>
      <c r="E118" s="95">
        <v>42487.0</v>
      </c>
      <c r="F118" s="21" t="str">
        <f t="shared" si="12"/>
        <v>Apr-2016</v>
      </c>
      <c r="G118" s="24" t="s">
        <v>25</v>
      </c>
      <c r="H118" s="24" t="s">
        <v>35</v>
      </c>
      <c r="I118" s="80" t="s">
        <v>111</v>
      </c>
      <c r="J118" s="24" t="s">
        <v>27</v>
      </c>
      <c r="K118" s="24" t="s">
        <v>9</v>
      </c>
      <c r="L118" s="24" t="s">
        <v>30</v>
      </c>
      <c r="M118" s="25"/>
      <c r="N118" s="25" t="s">
        <v>106</v>
      </c>
      <c r="Q118" s="99"/>
    </row>
    <row r="119">
      <c r="A119" s="31"/>
      <c r="B119" s="10" t="s">
        <v>18</v>
      </c>
      <c r="C119" s="11" t="s">
        <v>74</v>
      </c>
      <c r="D119" s="96" t="s">
        <v>108</v>
      </c>
      <c r="E119" s="95">
        <v>42487.0</v>
      </c>
      <c r="F119" s="21" t="str">
        <f t="shared" si="12"/>
        <v>Apr-2016</v>
      </c>
      <c r="G119" s="24" t="s">
        <v>32</v>
      </c>
      <c r="H119" s="24" t="s">
        <v>35</v>
      </c>
      <c r="I119" s="80" t="s">
        <v>111</v>
      </c>
      <c r="J119" s="24" t="s">
        <v>27</v>
      </c>
      <c r="K119" s="24" t="s">
        <v>9</v>
      </c>
      <c r="L119" s="24" t="s">
        <v>30</v>
      </c>
      <c r="M119" s="25"/>
      <c r="N119" s="25" t="s">
        <v>37</v>
      </c>
      <c r="Q119" s="99"/>
    </row>
    <row r="120">
      <c r="A120" s="31"/>
      <c r="B120" s="10" t="s">
        <v>18</v>
      </c>
      <c r="C120" s="11" t="s">
        <v>74</v>
      </c>
      <c r="D120" s="96" t="s">
        <v>108</v>
      </c>
      <c r="E120" s="100">
        <v>42487.0</v>
      </c>
      <c r="F120" s="13" t="str">
        <f t="shared" si="12"/>
        <v>Apr-2016</v>
      </c>
      <c r="G120" s="15" t="s">
        <v>20</v>
      </c>
      <c r="H120" s="15" t="s">
        <v>35</v>
      </c>
      <c r="I120" s="14" t="s">
        <v>112</v>
      </c>
      <c r="J120" s="15" t="s">
        <v>86</v>
      </c>
      <c r="K120" s="15" t="s">
        <v>9</v>
      </c>
      <c r="L120" s="15" t="s">
        <v>24</v>
      </c>
      <c r="M120" s="16" t="s">
        <v>24</v>
      </c>
      <c r="N120" s="16" t="s">
        <v>29</v>
      </c>
      <c r="O120" s="101"/>
      <c r="P120" s="101"/>
      <c r="Q120" s="102"/>
    </row>
    <row r="121">
      <c r="A121" s="33"/>
      <c r="B121" s="10" t="s">
        <v>18</v>
      </c>
      <c r="C121" s="11" t="s">
        <v>74</v>
      </c>
      <c r="D121" s="96" t="s">
        <v>108</v>
      </c>
      <c r="E121" s="104">
        <v>42487.0</v>
      </c>
      <c r="F121" s="35" t="str">
        <f t="shared" si="12"/>
        <v>Apr-2016</v>
      </c>
      <c r="G121" s="37" t="s">
        <v>25</v>
      </c>
      <c r="H121" s="37" t="s">
        <v>35</v>
      </c>
      <c r="I121" s="36" t="s">
        <v>112</v>
      </c>
      <c r="J121" s="37" t="s">
        <v>86</v>
      </c>
      <c r="K121" s="37" t="s">
        <v>9</v>
      </c>
      <c r="L121" s="37" t="s">
        <v>24</v>
      </c>
      <c r="M121" s="38"/>
      <c r="N121" s="38" t="s">
        <v>106</v>
      </c>
      <c r="O121" s="105"/>
      <c r="P121" s="105"/>
      <c r="Q121" s="106"/>
    </row>
    <row r="122">
      <c r="A122" s="107"/>
      <c r="B122" s="95"/>
      <c r="C122" s="95"/>
      <c r="D122" s="95"/>
      <c r="E122" s="95"/>
      <c r="I122" s="80"/>
    </row>
    <row r="123">
      <c r="A123" s="68" t="s">
        <v>113</v>
      </c>
      <c r="B123" s="10" t="s">
        <v>73</v>
      </c>
      <c r="C123" s="108" t="s">
        <v>74</v>
      </c>
      <c r="D123" s="68" t="s">
        <v>113</v>
      </c>
      <c r="E123" s="109">
        <v>42502.0</v>
      </c>
      <c r="F123" s="110" t="str">
        <f t="shared" ref="F123:F126" si="13">TEXT(E123, "mmm") &amp; "-" &amp; TEXT(E123, "yyyy") </f>
        <v>May-2016</v>
      </c>
      <c r="G123" s="110" t="s">
        <v>20</v>
      </c>
      <c r="H123" s="110" t="s">
        <v>35</v>
      </c>
      <c r="I123" s="79" t="s">
        <v>101</v>
      </c>
      <c r="J123" s="47" t="s">
        <v>102</v>
      </c>
      <c r="K123" s="47" t="s">
        <v>9</v>
      </c>
      <c r="L123" s="47" t="s">
        <v>24</v>
      </c>
      <c r="M123" s="47" t="s">
        <v>24</v>
      </c>
      <c r="N123" s="47" t="s">
        <v>98</v>
      </c>
      <c r="O123" s="111"/>
      <c r="P123" s="111"/>
      <c r="Q123" s="112"/>
    </row>
    <row r="124">
      <c r="A124" s="10" t="s">
        <v>73</v>
      </c>
      <c r="B124" s="10" t="s">
        <v>73</v>
      </c>
      <c r="C124" s="108" t="s">
        <v>74</v>
      </c>
      <c r="D124" s="68" t="s">
        <v>113</v>
      </c>
      <c r="E124" s="12">
        <v>42502.0</v>
      </c>
      <c r="F124" s="13" t="str">
        <f t="shared" si="13"/>
        <v>May-2016</v>
      </c>
      <c r="G124" s="13" t="s">
        <v>25</v>
      </c>
      <c r="H124" s="13" t="s">
        <v>35</v>
      </c>
      <c r="I124" s="48" t="s">
        <v>101</v>
      </c>
      <c r="J124" s="16" t="s">
        <v>102</v>
      </c>
      <c r="K124" s="16" t="s">
        <v>9</v>
      </c>
      <c r="L124" s="16" t="s">
        <v>24</v>
      </c>
      <c r="M124" s="16"/>
      <c r="N124" s="16" t="s">
        <v>106</v>
      </c>
      <c r="O124" s="17"/>
      <c r="P124" s="17"/>
      <c r="Q124" s="49"/>
    </row>
    <row r="125">
      <c r="A125" s="10" t="s">
        <v>76</v>
      </c>
      <c r="B125" s="10" t="s">
        <v>73</v>
      </c>
      <c r="C125" s="108" t="s">
        <v>74</v>
      </c>
      <c r="D125" s="68" t="s">
        <v>113</v>
      </c>
      <c r="E125" s="20">
        <v>42502.0</v>
      </c>
      <c r="F125" s="21" t="str">
        <f t="shared" si="13"/>
        <v>May-2016</v>
      </c>
      <c r="G125" s="22" t="s">
        <v>20</v>
      </c>
      <c r="H125" s="22" t="s">
        <v>35</v>
      </c>
      <c r="I125" s="80" t="s">
        <v>114</v>
      </c>
      <c r="J125" s="25" t="s">
        <v>9</v>
      </c>
      <c r="K125" s="25" t="s">
        <v>9</v>
      </c>
      <c r="L125" s="25" t="s">
        <v>24</v>
      </c>
      <c r="M125" s="25" t="s">
        <v>24</v>
      </c>
      <c r="N125" s="25" t="s">
        <v>98</v>
      </c>
      <c r="O125" s="32"/>
      <c r="P125" s="32"/>
      <c r="Q125" s="27"/>
    </row>
    <row r="126">
      <c r="A126" s="108" t="s">
        <v>74</v>
      </c>
      <c r="B126" s="10" t="s">
        <v>73</v>
      </c>
      <c r="C126" s="108" t="s">
        <v>74</v>
      </c>
      <c r="D126" s="68" t="s">
        <v>113</v>
      </c>
      <c r="E126" s="50">
        <v>42502.0</v>
      </c>
      <c r="F126" s="51" t="str">
        <f t="shared" si="13"/>
        <v>May-2016</v>
      </c>
      <c r="G126" s="52" t="s">
        <v>25</v>
      </c>
      <c r="H126" s="52" t="s">
        <v>35</v>
      </c>
      <c r="I126" s="113" t="s">
        <v>114</v>
      </c>
      <c r="J126" s="55" t="s">
        <v>9</v>
      </c>
      <c r="K126" s="55" t="s">
        <v>9</v>
      </c>
      <c r="L126" s="55" t="s">
        <v>24</v>
      </c>
      <c r="M126" s="114"/>
      <c r="N126" s="114" t="s">
        <v>106</v>
      </c>
      <c r="O126" s="43"/>
      <c r="P126" s="43"/>
      <c r="Q126" s="56"/>
    </row>
    <row r="127">
      <c r="A127" s="107"/>
      <c r="B127" s="95"/>
      <c r="C127" s="95"/>
      <c r="D127" s="95"/>
      <c r="E127" s="95"/>
      <c r="I127" s="23"/>
    </row>
    <row r="128">
      <c r="A128" s="115" t="s">
        <v>115</v>
      </c>
      <c r="B128" s="116" t="s">
        <v>18</v>
      </c>
      <c r="C128" s="117" t="s">
        <v>116</v>
      </c>
      <c r="D128" s="115" t="s">
        <v>115</v>
      </c>
      <c r="E128" s="109">
        <v>42504.0</v>
      </c>
      <c r="F128" s="110" t="str">
        <f t="shared" ref="F128:F142" si="14">TEXT(E128, "mmm") &amp; "-" &amp; TEXT(E128, "yyyy") </f>
        <v>May-2016</v>
      </c>
      <c r="G128" s="110" t="s">
        <v>20</v>
      </c>
      <c r="H128" s="111" t="s">
        <v>21</v>
      </c>
      <c r="I128" s="79" t="s">
        <v>87</v>
      </c>
      <c r="J128" s="47" t="s">
        <v>44</v>
      </c>
      <c r="K128" s="47" t="s">
        <v>9</v>
      </c>
      <c r="L128" s="47" t="s">
        <v>24</v>
      </c>
      <c r="M128" s="47" t="s">
        <v>24</v>
      </c>
      <c r="N128" s="47" t="s">
        <v>98</v>
      </c>
      <c r="O128" s="111"/>
      <c r="P128" s="111"/>
      <c r="Q128" s="112"/>
    </row>
    <row r="129">
      <c r="A129" s="116" t="s">
        <v>18</v>
      </c>
      <c r="B129" s="116" t="s">
        <v>18</v>
      </c>
      <c r="C129" s="117" t="s">
        <v>116</v>
      </c>
      <c r="D129" s="115" t="s">
        <v>115</v>
      </c>
      <c r="E129" s="12">
        <v>42504.0</v>
      </c>
      <c r="F129" s="13" t="str">
        <f t="shared" si="14"/>
        <v>May-2016</v>
      </c>
      <c r="G129" s="13" t="s">
        <v>25</v>
      </c>
      <c r="H129" s="17" t="s">
        <v>21</v>
      </c>
      <c r="I129" s="48" t="s">
        <v>87</v>
      </c>
      <c r="J129" s="16" t="s">
        <v>44</v>
      </c>
      <c r="K129" s="16" t="s">
        <v>9</v>
      </c>
      <c r="L129" s="16" t="s">
        <v>24</v>
      </c>
      <c r="M129" s="16"/>
      <c r="N129" s="16" t="s">
        <v>106</v>
      </c>
      <c r="O129" s="17"/>
      <c r="P129" s="17"/>
      <c r="Q129" s="49"/>
    </row>
    <row r="130">
      <c r="A130" s="116" t="s">
        <v>26</v>
      </c>
      <c r="B130" s="116" t="s">
        <v>18</v>
      </c>
      <c r="C130" s="117" t="s">
        <v>116</v>
      </c>
      <c r="D130" s="115" t="s">
        <v>115</v>
      </c>
      <c r="E130" s="20">
        <v>42504.0</v>
      </c>
      <c r="F130" s="21" t="str">
        <f t="shared" si="14"/>
        <v>May-2016</v>
      </c>
      <c r="G130" s="22" t="s">
        <v>20</v>
      </c>
      <c r="H130" s="26" t="s">
        <v>21</v>
      </c>
      <c r="I130" s="80" t="s">
        <v>117</v>
      </c>
      <c r="J130" s="25" t="s">
        <v>44</v>
      </c>
      <c r="K130" s="25" t="s">
        <v>9</v>
      </c>
      <c r="L130" s="25" t="s">
        <v>24</v>
      </c>
      <c r="M130" s="25" t="s">
        <v>24</v>
      </c>
      <c r="N130" s="25" t="s">
        <v>99</v>
      </c>
      <c r="O130" s="32"/>
      <c r="P130" s="32"/>
      <c r="Q130" s="27"/>
    </row>
    <row r="131">
      <c r="A131" s="118">
        <v>42504.0</v>
      </c>
      <c r="B131" s="116" t="s">
        <v>18</v>
      </c>
      <c r="C131" s="117" t="s">
        <v>116</v>
      </c>
      <c r="D131" s="115" t="s">
        <v>115</v>
      </c>
      <c r="E131" s="20">
        <v>42504.0</v>
      </c>
      <c r="F131" s="21" t="str">
        <f t="shared" si="14"/>
        <v>May-2016</v>
      </c>
      <c r="G131" s="26" t="s">
        <v>25</v>
      </c>
      <c r="H131" s="26" t="s">
        <v>21</v>
      </c>
      <c r="I131" s="80" t="s">
        <v>117</v>
      </c>
      <c r="J131" s="25" t="s">
        <v>44</v>
      </c>
      <c r="K131" s="25" t="s">
        <v>9</v>
      </c>
      <c r="L131" s="25" t="s">
        <v>24</v>
      </c>
      <c r="M131" s="119"/>
      <c r="N131" s="119" t="s">
        <v>106</v>
      </c>
      <c r="O131" s="32"/>
      <c r="P131" s="32"/>
      <c r="Q131" s="27"/>
    </row>
    <row r="132">
      <c r="A132" s="120" t="s">
        <v>118</v>
      </c>
      <c r="B132" s="116" t="s">
        <v>18</v>
      </c>
      <c r="C132" s="117" t="s">
        <v>116</v>
      </c>
      <c r="D132" s="115" t="s">
        <v>115</v>
      </c>
      <c r="E132" s="20">
        <v>42504.0</v>
      </c>
      <c r="F132" s="13" t="str">
        <f t="shared" si="14"/>
        <v>May-2016</v>
      </c>
      <c r="G132" s="13" t="s">
        <v>20</v>
      </c>
      <c r="H132" s="17" t="s">
        <v>21</v>
      </c>
      <c r="I132" s="48" t="s">
        <v>81</v>
      </c>
      <c r="J132" s="16" t="s">
        <v>9</v>
      </c>
      <c r="K132" s="16" t="s">
        <v>9</v>
      </c>
      <c r="L132" s="16" t="s">
        <v>24</v>
      </c>
      <c r="M132" s="16" t="s">
        <v>24</v>
      </c>
      <c r="N132" s="16" t="s">
        <v>98</v>
      </c>
      <c r="O132" s="19"/>
      <c r="P132" s="19"/>
      <c r="Q132" s="18"/>
    </row>
    <row r="133">
      <c r="A133" s="117" t="s">
        <v>116</v>
      </c>
      <c r="B133" s="116" t="s">
        <v>18</v>
      </c>
      <c r="C133" s="117" t="s">
        <v>116</v>
      </c>
      <c r="D133" s="115" t="s">
        <v>115</v>
      </c>
      <c r="E133" s="20">
        <v>42504.0</v>
      </c>
      <c r="F133" s="13" t="str">
        <f t="shared" si="14"/>
        <v>May-2016</v>
      </c>
      <c r="G133" s="17" t="s">
        <v>25</v>
      </c>
      <c r="H133" s="17" t="s">
        <v>21</v>
      </c>
      <c r="I133" s="48" t="s">
        <v>81</v>
      </c>
      <c r="J133" s="16" t="s">
        <v>9</v>
      </c>
      <c r="K133" s="16" t="s">
        <v>9</v>
      </c>
      <c r="L133" s="16" t="s">
        <v>24</v>
      </c>
      <c r="M133" s="16"/>
      <c r="N133" s="16" t="s">
        <v>37</v>
      </c>
      <c r="O133" s="19"/>
      <c r="P133" s="19"/>
      <c r="Q133" s="18"/>
    </row>
    <row r="134">
      <c r="A134" s="118"/>
      <c r="B134" s="116" t="s">
        <v>18</v>
      </c>
      <c r="C134" s="117" t="s">
        <v>116</v>
      </c>
      <c r="D134" s="115" t="s">
        <v>115</v>
      </c>
      <c r="E134" s="20">
        <v>42504.0</v>
      </c>
      <c r="F134" s="21" t="str">
        <f t="shared" si="14"/>
        <v>May-2016</v>
      </c>
      <c r="G134" s="22" t="s">
        <v>20</v>
      </c>
      <c r="H134" s="26" t="s">
        <v>21</v>
      </c>
      <c r="I134" s="80" t="s">
        <v>119</v>
      </c>
      <c r="J134" s="25" t="s">
        <v>48</v>
      </c>
      <c r="K134" s="25" t="s">
        <v>9</v>
      </c>
      <c r="L134" s="25" t="s">
        <v>30</v>
      </c>
      <c r="M134" s="119" t="s">
        <v>30</v>
      </c>
      <c r="N134" s="119" t="s">
        <v>98</v>
      </c>
      <c r="O134" s="32"/>
      <c r="P134" s="32"/>
      <c r="Q134" s="27"/>
    </row>
    <row r="135">
      <c r="A135" s="118"/>
      <c r="B135" s="116" t="s">
        <v>18</v>
      </c>
      <c r="C135" s="117" t="s">
        <v>116</v>
      </c>
      <c r="D135" s="115" t="s">
        <v>115</v>
      </c>
      <c r="E135" s="20">
        <v>42504.0</v>
      </c>
      <c r="F135" s="21" t="str">
        <f t="shared" si="14"/>
        <v>May-2016</v>
      </c>
      <c r="G135" s="26" t="s">
        <v>25</v>
      </c>
      <c r="H135" s="26" t="s">
        <v>21</v>
      </c>
      <c r="I135" s="80" t="s">
        <v>119</v>
      </c>
      <c r="J135" s="25" t="s">
        <v>48</v>
      </c>
      <c r="K135" s="25" t="s">
        <v>9</v>
      </c>
      <c r="L135" s="25" t="s">
        <v>30</v>
      </c>
      <c r="M135" s="119"/>
      <c r="N135" s="119" t="s">
        <v>99</v>
      </c>
      <c r="O135" s="32"/>
      <c r="P135" s="32"/>
      <c r="Q135" s="27"/>
    </row>
    <row r="136">
      <c r="A136" s="118"/>
      <c r="B136" s="116" t="s">
        <v>18</v>
      </c>
      <c r="C136" s="117" t="s">
        <v>116</v>
      </c>
      <c r="D136" s="115" t="s">
        <v>115</v>
      </c>
      <c r="E136" s="20">
        <v>42504.0</v>
      </c>
      <c r="F136" s="13" t="str">
        <f t="shared" si="14"/>
        <v>May-2016</v>
      </c>
      <c r="G136" s="13" t="s">
        <v>20</v>
      </c>
      <c r="H136" s="17" t="s">
        <v>21</v>
      </c>
      <c r="I136" s="48" t="s">
        <v>120</v>
      </c>
      <c r="J136" s="16" t="s">
        <v>9</v>
      </c>
      <c r="K136" s="16" t="s">
        <v>9</v>
      </c>
      <c r="L136" s="16" t="s">
        <v>24</v>
      </c>
      <c r="M136" s="16" t="s">
        <v>24</v>
      </c>
      <c r="N136" s="16" t="s">
        <v>98</v>
      </c>
      <c r="O136" s="19"/>
      <c r="P136" s="19"/>
      <c r="Q136" s="18"/>
    </row>
    <row r="137">
      <c r="A137" s="118"/>
      <c r="B137" s="116" t="s">
        <v>18</v>
      </c>
      <c r="C137" s="117" t="s">
        <v>116</v>
      </c>
      <c r="D137" s="115" t="s">
        <v>115</v>
      </c>
      <c r="E137" s="20">
        <v>42504.0</v>
      </c>
      <c r="F137" s="13" t="str">
        <f t="shared" si="14"/>
        <v>May-2016</v>
      </c>
      <c r="G137" s="17" t="s">
        <v>25</v>
      </c>
      <c r="H137" s="17" t="s">
        <v>21</v>
      </c>
      <c r="I137" s="48" t="s">
        <v>120</v>
      </c>
      <c r="J137" s="16" t="s">
        <v>9</v>
      </c>
      <c r="K137" s="16" t="s">
        <v>9</v>
      </c>
      <c r="L137" s="16" t="s">
        <v>24</v>
      </c>
      <c r="M137" s="16"/>
      <c r="N137" s="16" t="s">
        <v>106</v>
      </c>
      <c r="O137" s="19"/>
      <c r="P137" s="19"/>
      <c r="Q137" s="18"/>
    </row>
    <row r="138">
      <c r="A138" s="118"/>
      <c r="B138" s="116" t="s">
        <v>18</v>
      </c>
      <c r="C138" s="117" t="s">
        <v>116</v>
      </c>
      <c r="D138" s="115" t="s">
        <v>115</v>
      </c>
      <c r="E138" s="20">
        <v>42504.0</v>
      </c>
      <c r="F138" s="21" t="str">
        <f t="shared" si="14"/>
        <v>May-2016</v>
      </c>
      <c r="G138" s="22" t="s">
        <v>20</v>
      </c>
      <c r="H138" s="26" t="s">
        <v>21</v>
      </c>
      <c r="I138" s="80" t="s">
        <v>121</v>
      </c>
      <c r="J138" s="25" t="s">
        <v>27</v>
      </c>
      <c r="K138" s="25" t="s">
        <v>9</v>
      </c>
      <c r="L138" s="25" t="s">
        <v>30</v>
      </c>
      <c r="M138" s="119" t="s">
        <v>30</v>
      </c>
      <c r="N138" s="119" t="s">
        <v>98</v>
      </c>
      <c r="O138" s="32"/>
      <c r="P138" s="32"/>
      <c r="Q138" s="27"/>
    </row>
    <row r="139">
      <c r="A139" s="118"/>
      <c r="B139" s="116" t="s">
        <v>18</v>
      </c>
      <c r="C139" s="117" t="s">
        <v>116</v>
      </c>
      <c r="D139" s="115" t="s">
        <v>115</v>
      </c>
      <c r="E139" s="20">
        <v>42504.0</v>
      </c>
      <c r="F139" s="21" t="str">
        <f t="shared" si="14"/>
        <v>May-2016</v>
      </c>
      <c r="G139" s="26" t="s">
        <v>25</v>
      </c>
      <c r="H139" s="26" t="s">
        <v>21</v>
      </c>
      <c r="I139" s="80" t="s">
        <v>121</v>
      </c>
      <c r="J139" s="25" t="s">
        <v>27</v>
      </c>
      <c r="K139" s="25" t="s">
        <v>9</v>
      </c>
      <c r="L139" s="25" t="s">
        <v>30</v>
      </c>
      <c r="M139" s="119"/>
      <c r="N139" s="119" t="s">
        <v>29</v>
      </c>
      <c r="O139" s="32"/>
      <c r="P139" s="32"/>
      <c r="Q139" s="27"/>
    </row>
    <row r="140">
      <c r="A140" s="118"/>
      <c r="B140" s="116" t="s">
        <v>18</v>
      </c>
      <c r="C140" s="117" t="s">
        <v>116</v>
      </c>
      <c r="D140" s="115" t="s">
        <v>115</v>
      </c>
      <c r="E140" s="20">
        <v>42504.0</v>
      </c>
      <c r="F140" s="13" t="str">
        <f t="shared" si="14"/>
        <v>May-2016</v>
      </c>
      <c r="G140" s="13" t="s">
        <v>20</v>
      </c>
      <c r="H140" s="17" t="s">
        <v>21</v>
      </c>
      <c r="I140" s="48" t="s">
        <v>122</v>
      </c>
      <c r="J140" s="16" t="s">
        <v>44</v>
      </c>
      <c r="K140" s="16" t="s">
        <v>9</v>
      </c>
      <c r="L140" s="16" t="s">
        <v>30</v>
      </c>
      <c r="M140" s="16" t="s">
        <v>30</v>
      </c>
      <c r="N140" s="16" t="s">
        <v>98</v>
      </c>
      <c r="O140" s="19"/>
      <c r="P140" s="19"/>
      <c r="Q140" s="18"/>
    </row>
    <row r="141">
      <c r="A141" s="118"/>
      <c r="B141" s="116" t="s">
        <v>18</v>
      </c>
      <c r="C141" s="117" t="s">
        <v>116</v>
      </c>
      <c r="D141" s="115" t="s">
        <v>115</v>
      </c>
      <c r="E141" s="20">
        <v>42504.0</v>
      </c>
      <c r="F141" s="13" t="str">
        <f t="shared" si="14"/>
        <v>May-2016</v>
      </c>
      <c r="G141" s="17" t="s">
        <v>25</v>
      </c>
      <c r="H141" s="17" t="s">
        <v>21</v>
      </c>
      <c r="I141" s="48" t="s">
        <v>122</v>
      </c>
      <c r="J141" s="16" t="s">
        <v>44</v>
      </c>
      <c r="K141" s="16" t="s">
        <v>9</v>
      </c>
      <c r="L141" s="16" t="s">
        <v>24</v>
      </c>
      <c r="M141" s="16"/>
      <c r="N141" s="16" t="s">
        <v>98</v>
      </c>
      <c r="O141" s="19"/>
      <c r="P141" s="19"/>
      <c r="Q141" s="18"/>
    </row>
    <row r="142" ht="15.0" customHeight="1">
      <c r="A142" s="121"/>
      <c r="B142" s="116" t="s">
        <v>18</v>
      </c>
      <c r="C142" s="117" t="s">
        <v>116</v>
      </c>
      <c r="D142" s="115" t="s">
        <v>115</v>
      </c>
      <c r="E142" s="50">
        <v>42504.0</v>
      </c>
      <c r="F142" s="35" t="str">
        <f t="shared" si="14"/>
        <v>May-2016</v>
      </c>
      <c r="G142" s="93" t="s">
        <v>32</v>
      </c>
      <c r="H142" s="93" t="s">
        <v>21</v>
      </c>
      <c r="I142" s="122" t="s">
        <v>122</v>
      </c>
      <c r="J142" s="38" t="s">
        <v>44</v>
      </c>
      <c r="K142" s="38" t="s">
        <v>9</v>
      </c>
      <c r="L142" s="38" t="s">
        <v>30</v>
      </c>
      <c r="M142" s="38"/>
      <c r="N142" s="38" t="s">
        <v>106</v>
      </c>
      <c r="O142" s="39"/>
      <c r="P142" s="39"/>
      <c r="Q142" s="40"/>
    </row>
    <row r="143">
      <c r="A143" s="107"/>
      <c r="B143" s="95"/>
      <c r="C143" s="95"/>
      <c r="D143" s="95"/>
      <c r="E143" s="95"/>
      <c r="I143" s="23"/>
    </row>
    <row r="144">
      <c r="A144" s="68" t="s">
        <v>123</v>
      </c>
      <c r="B144" s="10" t="s">
        <v>18</v>
      </c>
      <c r="C144" s="108" t="s">
        <v>74</v>
      </c>
      <c r="D144" s="68" t="s">
        <v>123</v>
      </c>
      <c r="E144" s="109">
        <v>42508.0</v>
      </c>
      <c r="F144" s="110" t="str">
        <f t="shared" ref="F144:F153" si="15">TEXT(E144, "mmm") &amp; "-" &amp; TEXT(E144, "yyyy") </f>
        <v>May-2016</v>
      </c>
      <c r="G144" s="110" t="s">
        <v>20</v>
      </c>
      <c r="H144" s="111" t="s">
        <v>35</v>
      </c>
      <c r="I144" s="79" t="s">
        <v>124</v>
      </c>
      <c r="J144" s="47" t="s">
        <v>9</v>
      </c>
      <c r="K144" s="47" t="s">
        <v>9</v>
      </c>
      <c r="L144" s="47" t="s">
        <v>24</v>
      </c>
      <c r="M144" s="47" t="s">
        <v>24</v>
      </c>
      <c r="N144" s="47" t="s">
        <v>98</v>
      </c>
      <c r="O144" s="111"/>
      <c r="P144" s="111"/>
      <c r="Q144" s="112"/>
    </row>
    <row r="145">
      <c r="A145" s="10" t="s">
        <v>18</v>
      </c>
      <c r="B145" s="10" t="s">
        <v>18</v>
      </c>
      <c r="C145" s="108" t="s">
        <v>74</v>
      </c>
      <c r="D145" s="68" t="s">
        <v>123</v>
      </c>
      <c r="E145" s="12">
        <v>42508.0</v>
      </c>
      <c r="F145" s="13" t="str">
        <f t="shared" si="15"/>
        <v>May-2016</v>
      </c>
      <c r="G145" s="13" t="s">
        <v>25</v>
      </c>
      <c r="H145" s="17" t="s">
        <v>35</v>
      </c>
      <c r="I145" s="48" t="s">
        <v>124</v>
      </c>
      <c r="J145" s="16" t="s">
        <v>9</v>
      </c>
      <c r="K145" s="16" t="s">
        <v>9</v>
      </c>
      <c r="L145" s="16" t="s">
        <v>24</v>
      </c>
      <c r="M145" s="16"/>
      <c r="N145" s="16" t="s">
        <v>106</v>
      </c>
      <c r="O145" s="17"/>
      <c r="P145" s="17"/>
      <c r="Q145" s="49"/>
    </row>
    <row r="146">
      <c r="A146" s="10" t="s">
        <v>26</v>
      </c>
      <c r="B146" s="10" t="s">
        <v>18</v>
      </c>
      <c r="C146" s="108" t="s">
        <v>74</v>
      </c>
      <c r="D146" s="68" t="s">
        <v>123</v>
      </c>
      <c r="E146" s="20">
        <v>42508.0</v>
      </c>
      <c r="F146" s="21" t="str">
        <f t="shared" si="15"/>
        <v>May-2016</v>
      </c>
      <c r="G146" s="22" t="s">
        <v>20</v>
      </c>
      <c r="H146" s="26" t="s">
        <v>35</v>
      </c>
      <c r="I146" s="80" t="s">
        <v>125</v>
      </c>
      <c r="J146" s="25" t="s">
        <v>9</v>
      </c>
      <c r="K146" s="25" t="s">
        <v>9</v>
      </c>
      <c r="L146" s="25" t="s">
        <v>30</v>
      </c>
      <c r="M146" s="25" t="s">
        <v>30</v>
      </c>
      <c r="N146" s="25" t="s">
        <v>98</v>
      </c>
      <c r="O146" s="32"/>
      <c r="P146" s="32"/>
      <c r="Q146" s="27"/>
    </row>
    <row r="147">
      <c r="A147" s="123">
        <v>42508.0</v>
      </c>
      <c r="B147" s="10" t="s">
        <v>18</v>
      </c>
      <c r="C147" s="108" t="s">
        <v>74</v>
      </c>
      <c r="D147" s="68" t="s">
        <v>123</v>
      </c>
      <c r="E147" s="20">
        <v>42508.0</v>
      </c>
      <c r="F147" s="21" t="str">
        <f t="shared" si="15"/>
        <v>May-2016</v>
      </c>
      <c r="G147" s="26" t="s">
        <v>25</v>
      </c>
      <c r="H147" s="26" t="s">
        <v>35</v>
      </c>
      <c r="I147" s="80" t="s">
        <v>125</v>
      </c>
      <c r="J147" s="25" t="s">
        <v>9</v>
      </c>
      <c r="K147" s="25" t="s">
        <v>9</v>
      </c>
      <c r="L147" s="25" t="s">
        <v>30</v>
      </c>
      <c r="M147" s="119"/>
      <c r="N147" s="119" t="s">
        <v>37</v>
      </c>
      <c r="O147" s="32"/>
      <c r="P147" s="32"/>
      <c r="Q147" s="27"/>
    </row>
    <row r="148">
      <c r="A148" s="124" t="s">
        <v>126</v>
      </c>
      <c r="B148" s="10" t="s">
        <v>18</v>
      </c>
      <c r="C148" s="108" t="s">
        <v>74</v>
      </c>
      <c r="D148" s="68" t="s">
        <v>123</v>
      </c>
      <c r="E148" s="20">
        <v>42508.0</v>
      </c>
      <c r="F148" s="13" t="str">
        <f t="shared" si="15"/>
        <v>May-2016</v>
      </c>
      <c r="G148" s="13" t="s">
        <v>20</v>
      </c>
      <c r="H148" s="17" t="s">
        <v>35</v>
      </c>
      <c r="I148" s="48" t="s">
        <v>127</v>
      </c>
      <c r="J148" s="16" t="s">
        <v>44</v>
      </c>
      <c r="K148" s="16" t="s">
        <v>9</v>
      </c>
      <c r="L148" s="16" t="s">
        <v>24</v>
      </c>
      <c r="M148" s="16" t="s">
        <v>24</v>
      </c>
      <c r="N148" s="16" t="s">
        <v>98</v>
      </c>
      <c r="O148" s="19"/>
      <c r="P148" s="19"/>
      <c r="Q148" s="18"/>
    </row>
    <row r="149">
      <c r="A149" s="124" t="s">
        <v>128</v>
      </c>
      <c r="B149" s="10" t="s">
        <v>18</v>
      </c>
      <c r="C149" s="108" t="s">
        <v>74</v>
      </c>
      <c r="D149" s="68" t="s">
        <v>123</v>
      </c>
      <c r="E149" s="20">
        <v>42508.0</v>
      </c>
      <c r="F149" s="13" t="str">
        <f t="shared" si="15"/>
        <v>May-2016</v>
      </c>
      <c r="G149" s="17" t="s">
        <v>25</v>
      </c>
      <c r="H149" s="17" t="s">
        <v>35</v>
      </c>
      <c r="I149" s="48" t="s">
        <v>127</v>
      </c>
      <c r="J149" s="16" t="s">
        <v>44</v>
      </c>
      <c r="K149" s="16" t="s">
        <v>9</v>
      </c>
      <c r="L149" s="16" t="s">
        <v>24</v>
      </c>
      <c r="M149" s="16"/>
      <c r="N149" s="16" t="s">
        <v>69</v>
      </c>
      <c r="O149" s="19"/>
      <c r="P149" s="19"/>
      <c r="Q149" s="18"/>
    </row>
    <row r="150">
      <c r="A150" s="108" t="s">
        <v>74</v>
      </c>
      <c r="B150" s="10" t="s">
        <v>18</v>
      </c>
      <c r="C150" s="108" t="s">
        <v>74</v>
      </c>
      <c r="D150" s="68" t="s">
        <v>123</v>
      </c>
      <c r="E150" s="20">
        <v>42508.0</v>
      </c>
      <c r="F150" s="21" t="str">
        <f t="shared" si="15"/>
        <v>May-2016</v>
      </c>
      <c r="G150" s="22" t="s">
        <v>20</v>
      </c>
      <c r="H150" s="26" t="s">
        <v>129</v>
      </c>
      <c r="I150" s="80" t="s">
        <v>130</v>
      </c>
      <c r="J150" s="25" t="s">
        <v>86</v>
      </c>
      <c r="K150" s="25" t="s">
        <v>9</v>
      </c>
      <c r="L150" s="25" t="s">
        <v>30</v>
      </c>
      <c r="M150" s="119" t="s">
        <v>30</v>
      </c>
      <c r="N150" s="119" t="s">
        <v>98</v>
      </c>
      <c r="O150" s="32"/>
      <c r="P150" s="32"/>
      <c r="Q150" s="27"/>
    </row>
    <row r="151">
      <c r="A151" s="123"/>
      <c r="B151" s="10" t="s">
        <v>18</v>
      </c>
      <c r="C151" s="108" t="s">
        <v>74</v>
      </c>
      <c r="D151" s="68" t="s">
        <v>123</v>
      </c>
      <c r="E151" s="20">
        <v>42508.0</v>
      </c>
      <c r="F151" s="21" t="str">
        <f t="shared" si="15"/>
        <v>May-2016</v>
      </c>
      <c r="G151" s="26" t="s">
        <v>25</v>
      </c>
      <c r="H151" s="26" t="s">
        <v>129</v>
      </c>
      <c r="I151" s="80" t="s">
        <v>130</v>
      </c>
      <c r="J151" s="25" t="s">
        <v>86</v>
      </c>
      <c r="K151" s="25" t="s">
        <v>9</v>
      </c>
      <c r="L151" s="25" t="s">
        <v>30</v>
      </c>
      <c r="M151" s="119"/>
      <c r="N151" s="119" t="s">
        <v>106</v>
      </c>
      <c r="O151" s="32"/>
      <c r="P151" s="32"/>
      <c r="Q151" s="27"/>
    </row>
    <row r="152">
      <c r="A152" s="123"/>
      <c r="B152" s="10" t="s">
        <v>18</v>
      </c>
      <c r="C152" s="108" t="s">
        <v>74</v>
      </c>
      <c r="D152" s="68" t="s">
        <v>123</v>
      </c>
      <c r="E152" s="20">
        <v>42508.0</v>
      </c>
      <c r="F152" s="13" t="str">
        <f t="shared" si="15"/>
        <v>May-2016</v>
      </c>
      <c r="G152" s="13" t="s">
        <v>20</v>
      </c>
      <c r="H152" s="17" t="s">
        <v>129</v>
      </c>
      <c r="I152" s="48" t="s">
        <v>131</v>
      </c>
      <c r="J152" s="16" t="s">
        <v>27</v>
      </c>
      <c r="K152" s="16" t="s">
        <v>9</v>
      </c>
      <c r="L152" s="16" t="s">
        <v>24</v>
      </c>
      <c r="M152" s="16" t="s">
        <v>24</v>
      </c>
      <c r="N152" s="16" t="s">
        <v>37</v>
      </c>
      <c r="O152" s="19"/>
      <c r="P152" s="19"/>
      <c r="Q152" s="18"/>
    </row>
    <row r="153">
      <c r="A153" s="125"/>
      <c r="B153" s="10" t="s">
        <v>18</v>
      </c>
      <c r="C153" s="108" t="s">
        <v>74</v>
      </c>
      <c r="D153" s="68" t="s">
        <v>123</v>
      </c>
      <c r="E153" s="20">
        <v>42508.0</v>
      </c>
      <c r="F153" s="35" t="str">
        <f t="shared" si="15"/>
        <v>May-2016</v>
      </c>
      <c r="G153" s="93" t="s">
        <v>25</v>
      </c>
      <c r="H153" s="93" t="s">
        <v>129</v>
      </c>
      <c r="I153" s="122" t="s">
        <v>131</v>
      </c>
      <c r="J153" s="38" t="s">
        <v>27</v>
      </c>
      <c r="K153" s="38" t="s">
        <v>9</v>
      </c>
      <c r="L153" s="38" t="s">
        <v>24</v>
      </c>
      <c r="M153" s="38"/>
      <c r="N153" s="38" t="s">
        <v>29</v>
      </c>
      <c r="O153" s="39"/>
      <c r="P153" s="39"/>
      <c r="Q153" s="40"/>
    </row>
    <row r="154">
      <c r="A154" s="107"/>
      <c r="B154" s="95"/>
      <c r="C154" s="95"/>
      <c r="D154" s="95"/>
      <c r="E154" s="95"/>
      <c r="I154" s="23"/>
    </row>
    <row r="155">
      <c r="A155" s="68" t="s">
        <v>132</v>
      </c>
      <c r="B155" s="10" t="s">
        <v>18</v>
      </c>
      <c r="C155" s="108" t="s">
        <v>74</v>
      </c>
      <c r="D155" s="68" t="s">
        <v>132</v>
      </c>
      <c r="E155" s="109">
        <v>42515.0</v>
      </c>
      <c r="F155" s="110" t="str">
        <f t="shared" ref="F155:F166" si="16">TEXT(E155, "mmm") &amp; "-" &amp; TEXT(E155, "yyyy") </f>
        <v>May-2016</v>
      </c>
      <c r="G155" s="110" t="s">
        <v>20</v>
      </c>
      <c r="H155" s="111" t="s">
        <v>35</v>
      </c>
      <c r="I155" s="79" t="s">
        <v>133</v>
      </c>
      <c r="J155" s="47" t="s">
        <v>86</v>
      </c>
      <c r="K155" s="47" t="s">
        <v>9</v>
      </c>
      <c r="L155" s="47" t="s">
        <v>24</v>
      </c>
      <c r="M155" s="47" t="s">
        <v>24</v>
      </c>
      <c r="N155" s="47" t="s">
        <v>98</v>
      </c>
      <c r="O155" s="111"/>
      <c r="P155" s="111"/>
      <c r="Q155" s="112"/>
      <c r="R155" s="25" t="s">
        <v>134</v>
      </c>
    </row>
    <row r="156">
      <c r="A156" s="10" t="s">
        <v>18</v>
      </c>
      <c r="B156" s="10" t="s">
        <v>18</v>
      </c>
      <c r="C156" s="108" t="s">
        <v>74</v>
      </c>
      <c r="D156" s="68" t="s">
        <v>132</v>
      </c>
      <c r="E156" s="12">
        <v>42515.0</v>
      </c>
      <c r="F156" s="13" t="str">
        <f t="shared" si="16"/>
        <v>May-2016</v>
      </c>
      <c r="G156" s="13" t="s">
        <v>25</v>
      </c>
      <c r="H156" s="17" t="s">
        <v>35</v>
      </c>
      <c r="I156" s="48" t="s">
        <v>133</v>
      </c>
      <c r="J156" s="16" t="s">
        <v>86</v>
      </c>
      <c r="K156" s="16" t="s">
        <v>9</v>
      </c>
      <c r="L156" s="16" t="s">
        <v>24</v>
      </c>
      <c r="M156" s="16"/>
      <c r="N156" s="16" t="s">
        <v>106</v>
      </c>
      <c r="O156" s="17"/>
      <c r="P156" s="17"/>
      <c r="Q156" s="49"/>
      <c r="R156" s="25" t="s">
        <v>134</v>
      </c>
    </row>
    <row r="157">
      <c r="A157" s="10" t="s">
        <v>26</v>
      </c>
      <c r="B157" s="10" t="s">
        <v>18</v>
      </c>
      <c r="C157" s="108" t="s">
        <v>74</v>
      </c>
      <c r="D157" s="68" t="s">
        <v>132</v>
      </c>
      <c r="E157" s="109">
        <v>42515.0</v>
      </c>
      <c r="F157" s="21" t="str">
        <f t="shared" si="16"/>
        <v>May-2016</v>
      </c>
      <c r="G157" s="22" t="s">
        <v>20</v>
      </c>
      <c r="H157" s="26" t="s">
        <v>35</v>
      </c>
      <c r="I157" s="80" t="s">
        <v>135</v>
      </c>
      <c r="J157" s="25" t="s">
        <v>86</v>
      </c>
      <c r="K157" s="25" t="s">
        <v>9</v>
      </c>
      <c r="L157" s="25" t="s">
        <v>24</v>
      </c>
      <c r="M157" s="25" t="s">
        <v>24</v>
      </c>
      <c r="N157" s="25" t="s">
        <v>98</v>
      </c>
      <c r="O157" s="32"/>
      <c r="P157" s="32"/>
      <c r="Q157" s="27"/>
    </row>
    <row r="158">
      <c r="A158" s="123">
        <v>42515.0</v>
      </c>
      <c r="B158" s="10" t="s">
        <v>18</v>
      </c>
      <c r="C158" s="108" t="s">
        <v>74</v>
      </c>
      <c r="D158" s="68" t="s">
        <v>132</v>
      </c>
      <c r="E158" s="12">
        <v>42515.0</v>
      </c>
      <c r="F158" s="21" t="str">
        <f t="shared" si="16"/>
        <v>May-2016</v>
      </c>
      <c r="G158" s="26" t="s">
        <v>25</v>
      </c>
      <c r="H158" s="26" t="s">
        <v>35</v>
      </c>
      <c r="I158" s="80" t="s">
        <v>135</v>
      </c>
      <c r="J158" s="25" t="s">
        <v>86</v>
      </c>
      <c r="K158" s="25" t="s">
        <v>9</v>
      </c>
      <c r="L158" s="25" t="s">
        <v>24</v>
      </c>
      <c r="M158" s="119"/>
      <c r="N158" s="119" t="s">
        <v>99</v>
      </c>
      <c r="O158" s="32"/>
      <c r="P158" s="32"/>
      <c r="Q158" s="27"/>
    </row>
    <row r="159">
      <c r="A159" s="108" t="s">
        <v>74</v>
      </c>
      <c r="B159" s="10" t="s">
        <v>18</v>
      </c>
      <c r="C159" s="108" t="s">
        <v>74</v>
      </c>
      <c r="D159" s="68" t="s">
        <v>132</v>
      </c>
      <c r="E159" s="109">
        <v>42515.0</v>
      </c>
      <c r="F159" s="13" t="str">
        <f t="shared" si="16"/>
        <v>May-2016</v>
      </c>
      <c r="G159" s="13" t="s">
        <v>20</v>
      </c>
      <c r="H159" s="17" t="s">
        <v>129</v>
      </c>
      <c r="I159" s="48" t="s">
        <v>136</v>
      </c>
      <c r="J159" s="16" t="s">
        <v>44</v>
      </c>
      <c r="K159" s="16" t="s">
        <v>9</v>
      </c>
      <c r="L159" s="16" t="s">
        <v>30</v>
      </c>
      <c r="M159" s="16" t="s">
        <v>30</v>
      </c>
      <c r="N159" s="16" t="s">
        <v>98</v>
      </c>
      <c r="O159" s="19"/>
      <c r="P159" s="19"/>
      <c r="Q159" s="18"/>
    </row>
    <row r="160">
      <c r="A160" s="108"/>
      <c r="B160" s="10" t="s">
        <v>18</v>
      </c>
      <c r="C160" s="108" t="s">
        <v>74</v>
      </c>
      <c r="D160" s="68" t="s">
        <v>132</v>
      </c>
      <c r="E160" s="12">
        <v>42515.0</v>
      </c>
      <c r="F160" s="13" t="str">
        <f t="shared" si="16"/>
        <v>May-2016</v>
      </c>
      <c r="G160" s="17" t="s">
        <v>25</v>
      </c>
      <c r="H160" s="17" t="s">
        <v>129</v>
      </c>
      <c r="I160" s="48" t="s">
        <v>136</v>
      </c>
      <c r="J160" s="16" t="s">
        <v>44</v>
      </c>
      <c r="K160" s="16" t="s">
        <v>9</v>
      </c>
      <c r="L160" s="16" t="s">
        <v>30</v>
      </c>
      <c r="M160" s="16"/>
      <c r="N160" s="16" t="s">
        <v>29</v>
      </c>
      <c r="O160" s="19"/>
      <c r="P160" s="19"/>
      <c r="Q160" s="18"/>
    </row>
    <row r="161">
      <c r="A161" s="123"/>
      <c r="B161" s="10" t="s">
        <v>18</v>
      </c>
      <c r="C161" s="108" t="s">
        <v>74</v>
      </c>
      <c r="D161" s="68" t="s">
        <v>132</v>
      </c>
      <c r="E161" s="109">
        <v>42515.0</v>
      </c>
      <c r="F161" s="21" t="str">
        <f t="shared" si="16"/>
        <v>May-2016</v>
      </c>
      <c r="G161" s="22" t="s">
        <v>20</v>
      </c>
      <c r="H161" s="26" t="s">
        <v>129</v>
      </c>
      <c r="I161" s="80" t="s">
        <v>137</v>
      </c>
      <c r="J161" s="25" t="s">
        <v>138</v>
      </c>
      <c r="K161" s="25" t="s">
        <v>9</v>
      </c>
      <c r="L161" s="25" t="s">
        <v>30</v>
      </c>
      <c r="M161" s="119" t="s">
        <v>30</v>
      </c>
      <c r="N161" s="119" t="s">
        <v>98</v>
      </c>
      <c r="O161" s="32"/>
      <c r="P161" s="32"/>
      <c r="Q161" s="27"/>
    </row>
    <row r="162">
      <c r="A162" s="123"/>
      <c r="B162" s="10" t="s">
        <v>18</v>
      </c>
      <c r="C162" s="108" t="s">
        <v>74</v>
      </c>
      <c r="D162" s="68" t="s">
        <v>132</v>
      </c>
      <c r="E162" s="12">
        <v>42515.0</v>
      </c>
      <c r="F162" s="21" t="str">
        <f t="shared" si="16"/>
        <v>May-2016</v>
      </c>
      <c r="G162" s="26" t="s">
        <v>25</v>
      </c>
      <c r="H162" s="26" t="s">
        <v>129</v>
      </c>
      <c r="I162" s="80" t="s">
        <v>137</v>
      </c>
      <c r="J162" s="25" t="s">
        <v>138</v>
      </c>
      <c r="K162" s="25" t="s">
        <v>9</v>
      </c>
      <c r="L162" s="25" t="s">
        <v>30</v>
      </c>
      <c r="M162" s="119"/>
      <c r="N162" s="119" t="s">
        <v>37</v>
      </c>
      <c r="O162" s="32"/>
      <c r="P162" s="32"/>
      <c r="Q162" s="27"/>
    </row>
    <row r="163">
      <c r="A163" s="123"/>
      <c r="B163" s="10" t="s">
        <v>18</v>
      </c>
      <c r="C163" s="108" t="s">
        <v>74</v>
      </c>
      <c r="D163" s="68" t="s">
        <v>132</v>
      </c>
      <c r="E163" s="109">
        <v>42515.0</v>
      </c>
      <c r="F163" s="13" t="str">
        <f t="shared" si="16"/>
        <v>May-2016</v>
      </c>
      <c r="G163" s="13" t="s">
        <v>20</v>
      </c>
      <c r="H163" s="17" t="s">
        <v>129</v>
      </c>
      <c r="I163" s="48" t="s">
        <v>111</v>
      </c>
      <c r="J163" s="16" t="s">
        <v>27</v>
      </c>
      <c r="K163" s="16" t="s">
        <v>9</v>
      </c>
      <c r="L163" s="16" t="s">
        <v>30</v>
      </c>
      <c r="M163" s="16" t="s">
        <v>30</v>
      </c>
      <c r="N163" s="16" t="s">
        <v>98</v>
      </c>
      <c r="O163" s="19"/>
      <c r="P163" s="19"/>
      <c r="Q163" s="18"/>
    </row>
    <row r="164">
      <c r="A164" s="123"/>
      <c r="B164" s="10" t="s">
        <v>18</v>
      </c>
      <c r="C164" s="108" t="s">
        <v>74</v>
      </c>
      <c r="D164" s="68" t="s">
        <v>132</v>
      </c>
      <c r="E164" s="12">
        <v>42515.0</v>
      </c>
      <c r="F164" s="13" t="str">
        <f t="shared" si="16"/>
        <v>May-2016</v>
      </c>
      <c r="G164" s="17" t="s">
        <v>25</v>
      </c>
      <c r="H164" s="17" t="s">
        <v>129</v>
      </c>
      <c r="I164" s="48" t="s">
        <v>111</v>
      </c>
      <c r="J164" s="16" t="s">
        <v>27</v>
      </c>
      <c r="K164" s="16" t="s">
        <v>9</v>
      </c>
      <c r="L164" s="16" t="s">
        <v>30</v>
      </c>
      <c r="M164" s="16"/>
      <c r="N164" s="16" t="s">
        <v>37</v>
      </c>
      <c r="O164" s="19"/>
      <c r="P164" s="19"/>
      <c r="Q164" s="18"/>
    </row>
    <row r="165">
      <c r="A165" s="123"/>
      <c r="B165" s="10" t="s">
        <v>18</v>
      </c>
      <c r="C165" s="108" t="s">
        <v>74</v>
      </c>
      <c r="D165" s="68" t="s">
        <v>132</v>
      </c>
      <c r="E165" s="109">
        <v>42515.0</v>
      </c>
      <c r="F165" s="21" t="str">
        <f t="shared" si="16"/>
        <v>May-2016</v>
      </c>
      <c r="G165" s="21" t="s">
        <v>20</v>
      </c>
      <c r="H165" s="91" t="s">
        <v>129</v>
      </c>
      <c r="I165" s="126" t="s">
        <v>124</v>
      </c>
      <c r="J165" s="119" t="s">
        <v>139</v>
      </c>
      <c r="K165" s="119" t="s">
        <v>9</v>
      </c>
      <c r="L165" s="119" t="s">
        <v>24</v>
      </c>
      <c r="M165" s="119" t="s">
        <v>24</v>
      </c>
      <c r="N165" s="119" t="s">
        <v>37</v>
      </c>
      <c r="O165" s="127"/>
      <c r="P165" s="127"/>
      <c r="Q165" s="128"/>
    </row>
    <row r="166">
      <c r="A166" s="125"/>
      <c r="B166" s="10" t="s">
        <v>18</v>
      </c>
      <c r="C166" s="108" t="s">
        <v>74</v>
      </c>
      <c r="D166" s="68" t="s">
        <v>132</v>
      </c>
      <c r="E166" s="12">
        <v>42515.0</v>
      </c>
      <c r="F166" s="51" t="str">
        <f t="shared" si="16"/>
        <v>May-2016</v>
      </c>
      <c r="G166" s="129" t="s">
        <v>25</v>
      </c>
      <c r="H166" s="129" t="s">
        <v>129</v>
      </c>
      <c r="I166" s="130" t="s">
        <v>124</v>
      </c>
      <c r="J166" s="114" t="s">
        <v>140</v>
      </c>
      <c r="K166" s="114" t="s">
        <v>9</v>
      </c>
      <c r="L166" s="114" t="s">
        <v>24</v>
      </c>
      <c r="M166" s="114"/>
      <c r="N166" s="114" t="s">
        <v>69</v>
      </c>
      <c r="O166" s="131"/>
      <c r="P166" s="131"/>
      <c r="Q166" s="132"/>
    </row>
    <row r="167">
      <c r="A167" s="107"/>
      <c r="B167" s="95"/>
      <c r="C167" s="95"/>
      <c r="D167" s="95"/>
      <c r="E167" s="95"/>
      <c r="I167" s="23"/>
    </row>
    <row r="168">
      <c r="A168" s="68" t="s">
        <v>141</v>
      </c>
      <c r="B168" s="10" t="s">
        <v>18</v>
      </c>
      <c r="C168" s="108" t="s">
        <v>74</v>
      </c>
      <c r="D168" s="68" t="s">
        <v>141</v>
      </c>
      <c r="E168" s="109">
        <v>42523.0</v>
      </c>
      <c r="F168" s="110" t="str">
        <f t="shared" ref="F168:F180" si="17">TEXT(E168, "mmm") &amp; "-" &amp; TEXT(E168, "yyyy") </f>
        <v>Jun-2016</v>
      </c>
      <c r="G168" s="110" t="s">
        <v>20</v>
      </c>
      <c r="H168" s="111" t="s">
        <v>35</v>
      </c>
      <c r="I168" s="79" t="s">
        <v>142</v>
      </c>
      <c r="J168" s="47" t="s">
        <v>44</v>
      </c>
      <c r="K168" s="47" t="s">
        <v>9</v>
      </c>
      <c r="L168" s="47" t="s">
        <v>24</v>
      </c>
      <c r="M168" s="47" t="s">
        <v>24</v>
      </c>
      <c r="N168" s="47" t="s">
        <v>98</v>
      </c>
      <c r="O168" s="111"/>
      <c r="P168" s="111"/>
      <c r="Q168" s="112"/>
    </row>
    <row r="169">
      <c r="A169" s="10" t="s">
        <v>18</v>
      </c>
      <c r="B169" s="10" t="s">
        <v>18</v>
      </c>
      <c r="C169" s="108" t="s">
        <v>74</v>
      </c>
      <c r="D169" s="68" t="s">
        <v>141</v>
      </c>
      <c r="E169" s="109">
        <v>42523.0</v>
      </c>
      <c r="F169" s="13" t="str">
        <f t="shared" si="17"/>
        <v>Jun-2016</v>
      </c>
      <c r="G169" s="13" t="s">
        <v>25</v>
      </c>
      <c r="H169" s="17" t="s">
        <v>35</v>
      </c>
      <c r="I169" s="48" t="s">
        <v>142</v>
      </c>
      <c r="J169" s="16" t="s">
        <v>44</v>
      </c>
      <c r="K169" s="16" t="s">
        <v>9</v>
      </c>
      <c r="L169" s="16" t="s">
        <v>24</v>
      </c>
      <c r="M169" s="16"/>
      <c r="N169" s="16" t="s">
        <v>37</v>
      </c>
      <c r="O169" s="17"/>
      <c r="P169" s="17"/>
      <c r="Q169" s="49"/>
    </row>
    <row r="170">
      <c r="A170" s="10" t="s">
        <v>26</v>
      </c>
      <c r="B170" s="10" t="s">
        <v>18</v>
      </c>
      <c r="C170" s="108" t="s">
        <v>74</v>
      </c>
      <c r="D170" s="68" t="s">
        <v>141</v>
      </c>
      <c r="E170" s="109">
        <v>42523.0</v>
      </c>
      <c r="F170" s="21" t="str">
        <f t="shared" si="17"/>
        <v>Jun-2016</v>
      </c>
      <c r="G170" s="22" t="s">
        <v>20</v>
      </c>
      <c r="H170" s="26" t="s">
        <v>35</v>
      </c>
      <c r="I170" s="80" t="s">
        <v>143</v>
      </c>
      <c r="J170" s="25" t="s">
        <v>44</v>
      </c>
      <c r="K170" s="25" t="s">
        <v>9</v>
      </c>
      <c r="L170" s="25" t="s">
        <v>24</v>
      </c>
      <c r="M170" s="25" t="s">
        <v>24</v>
      </c>
      <c r="N170" s="25" t="s">
        <v>98</v>
      </c>
      <c r="O170" s="32"/>
      <c r="P170" s="32"/>
      <c r="Q170" s="27"/>
    </row>
    <row r="171">
      <c r="A171" s="123">
        <v>42523.0</v>
      </c>
      <c r="B171" s="10" t="s">
        <v>18</v>
      </c>
      <c r="C171" s="108" t="s">
        <v>74</v>
      </c>
      <c r="D171" s="68" t="s">
        <v>141</v>
      </c>
      <c r="E171" s="109">
        <v>42523.0</v>
      </c>
      <c r="F171" s="21" t="str">
        <f t="shared" si="17"/>
        <v>Jun-2016</v>
      </c>
      <c r="G171" s="26" t="s">
        <v>25</v>
      </c>
      <c r="H171" s="26" t="s">
        <v>35</v>
      </c>
      <c r="I171" s="80" t="s">
        <v>143</v>
      </c>
      <c r="J171" s="25" t="s">
        <v>27</v>
      </c>
      <c r="K171" s="25" t="s">
        <v>9</v>
      </c>
      <c r="L171" s="25" t="s">
        <v>24</v>
      </c>
      <c r="M171" s="119"/>
      <c r="N171" s="119" t="s">
        <v>106</v>
      </c>
      <c r="O171" s="32"/>
      <c r="P171" s="32"/>
      <c r="Q171" s="27"/>
    </row>
    <row r="172">
      <c r="A172" s="108" t="s">
        <v>74</v>
      </c>
      <c r="B172" s="10" t="s">
        <v>18</v>
      </c>
      <c r="C172" s="108" t="s">
        <v>74</v>
      </c>
      <c r="D172" s="68" t="s">
        <v>141</v>
      </c>
      <c r="E172" s="109">
        <v>42523.0</v>
      </c>
      <c r="F172" s="13" t="str">
        <f t="shared" si="17"/>
        <v>Jun-2016</v>
      </c>
      <c r="G172" s="13" t="s">
        <v>20</v>
      </c>
      <c r="H172" s="17" t="s">
        <v>129</v>
      </c>
      <c r="I172" s="48" t="s">
        <v>144</v>
      </c>
      <c r="J172" s="16" t="s">
        <v>23</v>
      </c>
      <c r="K172" s="16" t="s">
        <v>9</v>
      </c>
      <c r="L172" s="16" t="s">
        <v>30</v>
      </c>
      <c r="M172" s="16" t="s">
        <v>30</v>
      </c>
      <c r="N172" s="16" t="s">
        <v>98</v>
      </c>
      <c r="O172" s="19"/>
      <c r="P172" s="19"/>
      <c r="Q172" s="18"/>
    </row>
    <row r="173">
      <c r="A173" s="108"/>
      <c r="B173" s="10" t="s">
        <v>18</v>
      </c>
      <c r="C173" s="108" t="s">
        <v>74</v>
      </c>
      <c r="D173" s="68" t="s">
        <v>141</v>
      </c>
      <c r="E173" s="109">
        <v>42523.0</v>
      </c>
      <c r="F173" s="13" t="str">
        <f t="shared" si="17"/>
        <v>Jun-2016</v>
      </c>
      <c r="G173" s="17" t="s">
        <v>25</v>
      </c>
      <c r="H173" s="17" t="s">
        <v>129</v>
      </c>
      <c r="I173" s="48" t="s">
        <v>144</v>
      </c>
      <c r="J173" s="16" t="s">
        <v>86</v>
      </c>
      <c r="K173" s="16" t="s">
        <v>9</v>
      </c>
      <c r="L173" s="16" t="s">
        <v>30</v>
      </c>
      <c r="M173" s="16"/>
      <c r="N173" s="16" t="s">
        <v>106</v>
      </c>
      <c r="O173" s="19"/>
      <c r="P173" s="19"/>
      <c r="Q173" s="18"/>
    </row>
    <row r="174">
      <c r="A174" s="123"/>
      <c r="B174" s="10" t="s">
        <v>18</v>
      </c>
      <c r="C174" s="108" t="s">
        <v>74</v>
      </c>
      <c r="D174" s="68" t="s">
        <v>141</v>
      </c>
      <c r="E174" s="109">
        <v>42523.0</v>
      </c>
      <c r="F174" s="21" t="str">
        <f t="shared" si="17"/>
        <v>Jun-2016</v>
      </c>
      <c r="G174" s="22" t="s">
        <v>20</v>
      </c>
      <c r="H174" s="26" t="s">
        <v>129</v>
      </c>
      <c r="I174" s="80" t="s">
        <v>127</v>
      </c>
      <c r="J174" s="25" t="s">
        <v>44</v>
      </c>
      <c r="K174" s="25" t="s">
        <v>9</v>
      </c>
      <c r="L174" s="25" t="s">
        <v>30</v>
      </c>
      <c r="M174" s="119" t="s">
        <v>30</v>
      </c>
      <c r="N174" s="119" t="s">
        <v>98</v>
      </c>
      <c r="O174" s="32"/>
      <c r="P174" s="32"/>
      <c r="Q174" s="27"/>
    </row>
    <row r="175">
      <c r="A175" s="123"/>
      <c r="B175" s="10" t="s">
        <v>18</v>
      </c>
      <c r="C175" s="108" t="s">
        <v>74</v>
      </c>
      <c r="D175" s="68" t="s">
        <v>141</v>
      </c>
      <c r="E175" s="109">
        <v>42523.0</v>
      </c>
      <c r="F175" s="21" t="str">
        <f t="shared" si="17"/>
        <v>Jun-2016</v>
      </c>
      <c r="G175" s="26" t="s">
        <v>25</v>
      </c>
      <c r="H175" s="26" t="s">
        <v>129</v>
      </c>
      <c r="I175" s="80" t="s">
        <v>127</v>
      </c>
      <c r="J175" s="25" t="s">
        <v>27</v>
      </c>
      <c r="K175" s="25" t="s">
        <v>9</v>
      </c>
      <c r="L175" s="25" t="s">
        <v>30</v>
      </c>
      <c r="M175" s="119"/>
      <c r="N175" s="119" t="s">
        <v>106</v>
      </c>
      <c r="O175" s="32"/>
      <c r="P175" s="32"/>
      <c r="Q175" s="27"/>
    </row>
    <row r="176">
      <c r="A176" s="123"/>
      <c r="B176" s="10" t="s">
        <v>18</v>
      </c>
      <c r="C176" s="108" t="s">
        <v>74</v>
      </c>
      <c r="D176" s="68" t="s">
        <v>141</v>
      </c>
      <c r="E176" s="109">
        <v>42523.0</v>
      </c>
      <c r="F176" s="13" t="str">
        <f t="shared" si="17"/>
        <v>Jun-2016</v>
      </c>
      <c r="G176" s="13" t="s">
        <v>20</v>
      </c>
      <c r="H176" s="17" t="s">
        <v>129</v>
      </c>
      <c r="I176" s="48" t="s">
        <v>145</v>
      </c>
      <c r="J176" s="16" t="s">
        <v>86</v>
      </c>
      <c r="K176" s="16" t="s">
        <v>9</v>
      </c>
      <c r="L176" s="16" t="s">
        <v>30</v>
      </c>
      <c r="M176" s="16" t="s">
        <v>30</v>
      </c>
      <c r="N176" s="16" t="s">
        <v>98</v>
      </c>
      <c r="O176" s="19"/>
      <c r="P176" s="19"/>
      <c r="Q176" s="18"/>
    </row>
    <row r="177">
      <c r="A177" s="123"/>
      <c r="B177" s="10" t="s">
        <v>18</v>
      </c>
      <c r="C177" s="108" t="s">
        <v>74</v>
      </c>
      <c r="D177" s="68" t="s">
        <v>141</v>
      </c>
      <c r="E177" s="109">
        <v>42523.0</v>
      </c>
      <c r="F177" s="13" t="str">
        <f t="shared" si="17"/>
        <v>Jun-2016</v>
      </c>
      <c r="G177" s="17" t="s">
        <v>25</v>
      </c>
      <c r="H177" s="17" t="s">
        <v>129</v>
      </c>
      <c r="I177" s="48" t="s">
        <v>145</v>
      </c>
      <c r="J177" s="16" t="s">
        <v>86</v>
      </c>
      <c r="K177" s="16" t="s">
        <v>9</v>
      </c>
      <c r="L177" s="16" t="s">
        <v>30</v>
      </c>
      <c r="M177" s="16"/>
      <c r="N177" s="16" t="s">
        <v>106</v>
      </c>
      <c r="O177" s="19"/>
      <c r="P177" s="19"/>
      <c r="Q177" s="18"/>
    </row>
    <row r="178">
      <c r="A178" s="123"/>
      <c r="B178" s="10" t="s">
        <v>18</v>
      </c>
      <c r="C178" s="108" t="s">
        <v>74</v>
      </c>
      <c r="D178" s="68" t="s">
        <v>141</v>
      </c>
      <c r="E178" s="109">
        <v>42523.0</v>
      </c>
      <c r="F178" s="21" t="str">
        <f t="shared" si="17"/>
        <v>Jun-2016</v>
      </c>
      <c r="G178" s="91" t="s">
        <v>146</v>
      </c>
      <c r="H178" s="91" t="s">
        <v>147</v>
      </c>
      <c r="I178" s="126" t="s">
        <v>148</v>
      </c>
      <c r="J178" s="119" t="s">
        <v>27</v>
      </c>
      <c r="K178" s="119" t="s">
        <v>9</v>
      </c>
      <c r="L178" s="119" t="s">
        <v>24</v>
      </c>
      <c r="M178" s="119" t="s">
        <v>24</v>
      </c>
      <c r="N178" s="119" t="s">
        <v>29</v>
      </c>
      <c r="O178" s="127"/>
      <c r="P178" s="127"/>
      <c r="Q178" s="128"/>
    </row>
    <row r="179">
      <c r="A179" s="123"/>
      <c r="B179" s="10" t="s">
        <v>18</v>
      </c>
      <c r="C179" s="108" t="s">
        <v>74</v>
      </c>
      <c r="D179" s="68" t="s">
        <v>141</v>
      </c>
      <c r="E179" s="109">
        <v>42523.0</v>
      </c>
      <c r="F179" s="21" t="str">
        <f t="shared" si="17"/>
        <v>Jun-2016</v>
      </c>
      <c r="G179" s="91" t="s">
        <v>149</v>
      </c>
      <c r="H179" s="91" t="s">
        <v>147</v>
      </c>
      <c r="I179" s="126" t="s">
        <v>148</v>
      </c>
      <c r="J179" s="119" t="s">
        <v>27</v>
      </c>
      <c r="K179" s="119" t="s">
        <v>9</v>
      </c>
      <c r="L179" s="119" t="s">
        <v>24</v>
      </c>
      <c r="M179" s="119"/>
      <c r="N179" s="119" t="s">
        <v>98</v>
      </c>
      <c r="O179" s="127"/>
      <c r="P179" s="127"/>
      <c r="Q179" s="128"/>
    </row>
    <row r="180">
      <c r="A180" s="125"/>
      <c r="B180" s="10" t="s">
        <v>18</v>
      </c>
      <c r="C180" s="108" t="s">
        <v>74</v>
      </c>
      <c r="D180" s="68" t="s">
        <v>141</v>
      </c>
      <c r="E180" s="109">
        <v>42523.0</v>
      </c>
      <c r="F180" s="51" t="str">
        <f t="shared" si="17"/>
        <v>Jun-2016</v>
      </c>
      <c r="G180" s="129" t="s">
        <v>149</v>
      </c>
      <c r="H180" s="129" t="s">
        <v>147</v>
      </c>
      <c r="I180" s="130" t="s">
        <v>148</v>
      </c>
      <c r="J180" s="114" t="s">
        <v>27</v>
      </c>
      <c r="K180" s="114" t="s">
        <v>9</v>
      </c>
      <c r="L180" s="114" t="s">
        <v>24</v>
      </c>
      <c r="M180" s="114"/>
      <c r="N180" s="114" t="s">
        <v>98</v>
      </c>
      <c r="O180" s="131"/>
      <c r="P180" s="131"/>
      <c r="Q180" s="132"/>
    </row>
    <row r="181">
      <c r="A181" s="107"/>
      <c r="B181" s="95"/>
      <c r="C181" s="95"/>
      <c r="D181" s="95"/>
      <c r="E181" s="95"/>
      <c r="I181" s="23"/>
    </row>
    <row r="182">
      <c r="A182" s="133" t="s">
        <v>150</v>
      </c>
      <c r="B182" s="134" t="s">
        <v>151</v>
      </c>
      <c r="C182" s="134" t="s">
        <v>74</v>
      </c>
      <c r="D182" s="133" t="s">
        <v>150</v>
      </c>
      <c r="E182" s="135">
        <v>42524.0</v>
      </c>
      <c r="F182" s="110" t="str">
        <f t="shared" ref="F182:F187" si="18">TEXT(E182, "mmm") &amp; "-" &amp; TEXT(E182, "yyyy") </f>
        <v>Jun-2016</v>
      </c>
      <c r="G182" s="47" t="s">
        <v>20</v>
      </c>
      <c r="H182" s="47" t="s">
        <v>35</v>
      </c>
      <c r="I182" s="79" t="s">
        <v>152</v>
      </c>
      <c r="J182" s="47" t="s">
        <v>27</v>
      </c>
      <c r="K182" s="47" t="s">
        <v>9</v>
      </c>
      <c r="L182" s="47" t="s">
        <v>24</v>
      </c>
      <c r="M182" s="47" t="s">
        <v>24</v>
      </c>
      <c r="N182" s="47" t="s">
        <v>29</v>
      </c>
      <c r="O182" s="47"/>
      <c r="P182" s="47"/>
      <c r="Q182" s="136" t="s">
        <v>153</v>
      </c>
    </row>
    <row r="183">
      <c r="A183" s="134" t="s">
        <v>151</v>
      </c>
      <c r="B183" s="134" t="s">
        <v>151</v>
      </c>
      <c r="C183" s="134" t="s">
        <v>74</v>
      </c>
      <c r="D183" s="133" t="s">
        <v>150</v>
      </c>
      <c r="E183" s="137">
        <v>42524.0</v>
      </c>
      <c r="F183" s="13" t="str">
        <f t="shared" si="18"/>
        <v>Jun-2016</v>
      </c>
      <c r="G183" s="16" t="s">
        <v>25</v>
      </c>
      <c r="H183" s="16" t="s">
        <v>35</v>
      </c>
      <c r="I183" s="48" t="s">
        <v>152</v>
      </c>
      <c r="J183" s="16" t="s">
        <v>27</v>
      </c>
      <c r="K183" s="16" t="s">
        <v>9</v>
      </c>
      <c r="L183" s="16" t="s">
        <v>30</v>
      </c>
      <c r="M183" s="16"/>
      <c r="N183" s="16" t="s">
        <v>29</v>
      </c>
      <c r="O183" s="16"/>
      <c r="P183" s="16"/>
      <c r="Q183" s="138" t="s">
        <v>153</v>
      </c>
    </row>
    <row r="184">
      <c r="A184" s="139">
        <v>42524.0</v>
      </c>
      <c r="B184" s="134" t="s">
        <v>151</v>
      </c>
      <c r="C184" s="134" t="s">
        <v>74</v>
      </c>
      <c r="D184" s="133" t="s">
        <v>150</v>
      </c>
      <c r="E184" s="137">
        <v>42524.0</v>
      </c>
      <c r="F184" s="13" t="str">
        <f t="shared" si="18"/>
        <v>Jun-2016</v>
      </c>
      <c r="G184" s="16" t="s">
        <v>32</v>
      </c>
      <c r="H184" s="16" t="s">
        <v>35</v>
      </c>
      <c r="I184" s="48" t="s">
        <v>152</v>
      </c>
      <c r="J184" s="16" t="s">
        <v>27</v>
      </c>
      <c r="K184" s="16" t="s">
        <v>9</v>
      </c>
      <c r="L184" s="16" t="s">
        <v>24</v>
      </c>
      <c r="M184" s="16"/>
      <c r="N184" s="16" t="s">
        <v>69</v>
      </c>
      <c r="O184" s="16"/>
      <c r="P184" s="16"/>
      <c r="Q184" s="138" t="s">
        <v>153</v>
      </c>
    </row>
    <row r="185">
      <c r="A185" s="134" t="s">
        <v>74</v>
      </c>
      <c r="B185" s="134" t="s">
        <v>151</v>
      </c>
      <c r="C185" s="134" t="s">
        <v>74</v>
      </c>
      <c r="D185" s="133" t="s">
        <v>150</v>
      </c>
      <c r="E185" s="137">
        <v>42524.0</v>
      </c>
      <c r="F185" s="21" t="str">
        <f t="shared" si="18"/>
        <v>Jun-2016</v>
      </c>
      <c r="G185" s="25" t="s">
        <v>20</v>
      </c>
      <c r="H185" s="25" t="s">
        <v>35</v>
      </c>
      <c r="I185" s="80" t="s">
        <v>154</v>
      </c>
      <c r="J185" s="25" t="s">
        <v>64</v>
      </c>
      <c r="K185" s="25" t="s">
        <v>9</v>
      </c>
      <c r="L185" s="25" t="s">
        <v>24</v>
      </c>
      <c r="M185" s="25" t="s">
        <v>24</v>
      </c>
      <c r="N185" s="25" t="s">
        <v>98</v>
      </c>
      <c r="Q185" s="99"/>
    </row>
    <row r="186">
      <c r="A186" s="140"/>
      <c r="B186" s="134" t="s">
        <v>151</v>
      </c>
      <c r="C186" s="134" t="s">
        <v>74</v>
      </c>
      <c r="D186" s="133" t="s">
        <v>150</v>
      </c>
      <c r="E186" s="137">
        <v>42524.0</v>
      </c>
      <c r="F186" s="21" t="str">
        <f t="shared" si="18"/>
        <v>Jun-2016</v>
      </c>
      <c r="G186" s="25" t="s">
        <v>25</v>
      </c>
      <c r="H186" s="25" t="s">
        <v>35</v>
      </c>
      <c r="I186" s="80" t="s">
        <v>154</v>
      </c>
      <c r="J186" s="25" t="s">
        <v>64</v>
      </c>
      <c r="K186" s="25" t="s">
        <v>9</v>
      </c>
      <c r="L186" s="25" t="s">
        <v>30</v>
      </c>
      <c r="M186" s="25"/>
      <c r="N186" s="25" t="s">
        <v>29</v>
      </c>
      <c r="Q186" s="99"/>
    </row>
    <row r="187">
      <c r="A187" s="141"/>
      <c r="B187" s="134" t="s">
        <v>151</v>
      </c>
      <c r="C187" s="134" t="s">
        <v>74</v>
      </c>
      <c r="D187" s="133" t="s">
        <v>150</v>
      </c>
      <c r="E187" s="142">
        <v>42524.0</v>
      </c>
      <c r="F187" s="51" t="str">
        <f t="shared" si="18"/>
        <v>Jun-2016</v>
      </c>
      <c r="G187" s="55" t="s">
        <v>32</v>
      </c>
      <c r="H187" s="55" t="s">
        <v>35</v>
      </c>
      <c r="I187" s="113" t="s">
        <v>154</v>
      </c>
      <c r="J187" s="55" t="s">
        <v>64</v>
      </c>
      <c r="K187" s="55" t="s">
        <v>9</v>
      </c>
      <c r="L187" s="55" t="s">
        <v>24</v>
      </c>
      <c r="M187" s="55"/>
      <c r="N187" s="55" t="s">
        <v>69</v>
      </c>
      <c r="O187" s="143"/>
      <c r="P187" s="143"/>
      <c r="Q187" s="144"/>
    </row>
    <row r="188">
      <c r="A188" s="107"/>
      <c r="B188" s="95"/>
      <c r="C188" s="95"/>
      <c r="D188" s="95"/>
      <c r="E188" s="95"/>
      <c r="I188" s="23"/>
    </row>
    <row r="189">
      <c r="A189" s="68" t="s">
        <v>155</v>
      </c>
      <c r="B189" s="10" t="s">
        <v>18</v>
      </c>
      <c r="C189" s="108" t="s">
        <v>74</v>
      </c>
      <c r="D189" s="68" t="s">
        <v>155</v>
      </c>
      <c r="E189" s="109">
        <v>42529.0</v>
      </c>
      <c r="F189" s="110" t="str">
        <f t="shared" ref="F189:F198" si="19">TEXT(E189, "mmm") &amp; "-" &amp; TEXT(E189, "yyyy") </f>
        <v>Jun-2016</v>
      </c>
      <c r="G189" s="110" t="s">
        <v>20</v>
      </c>
      <c r="H189" s="111" t="s">
        <v>35</v>
      </c>
      <c r="I189" s="79" t="s">
        <v>156</v>
      </c>
      <c r="J189" s="47" t="s">
        <v>71</v>
      </c>
      <c r="K189" s="47" t="s">
        <v>9</v>
      </c>
      <c r="L189" s="47" t="s">
        <v>30</v>
      </c>
      <c r="M189" s="47" t="s">
        <v>30</v>
      </c>
      <c r="N189" s="47" t="s">
        <v>37</v>
      </c>
      <c r="O189" s="111"/>
      <c r="P189" s="111"/>
      <c r="Q189" s="112"/>
    </row>
    <row r="190">
      <c r="A190" s="10" t="s">
        <v>18</v>
      </c>
      <c r="B190" s="10" t="s">
        <v>18</v>
      </c>
      <c r="C190" s="108" t="s">
        <v>74</v>
      </c>
      <c r="D190" s="68" t="s">
        <v>155</v>
      </c>
      <c r="E190" s="109">
        <v>42529.0</v>
      </c>
      <c r="F190" s="13" t="str">
        <f t="shared" si="19"/>
        <v>Jun-2016</v>
      </c>
      <c r="G190" s="13" t="s">
        <v>25</v>
      </c>
      <c r="H190" s="17" t="s">
        <v>35</v>
      </c>
      <c r="I190" s="48" t="s">
        <v>156</v>
      </c>
      <c r="J190" s="16" t="s">
        <v>71</v>
      </c>
      <c r="K190" s="16" t="s">
        <v>9</v>
      </c>
      <c r="L190" s="16" t="s">
        <v>30</v>
      </c>
      <c r="M190" s="16"/>
      <c r="N190" s="16" t="s">
        <v>99</v>
      </c>
      <c r="O190" s="17"/>
      <c r="P190" s="17"/>
      <c r="Q190" s="49"/>
    </row>
    <row r="191">
      <c r="A191" s="10" t="s">
        <v>26</v>
      </c>
      <c r="B191" s="10" t="s">
        <v>18</v>
      </c>
      <c r="C191" s="108" t="s">
        <v>74</v>
      </c>
      <c r="D191" s="68" t="s">
        <v>155</v>
      </c>
      <c r="E191" s="109">
        <v>42529.0</v>
      </c>
      <c r="F191" s="21" t="str">
        <f t="shared" si="19"/>
        <v>Jun-2016</v>
      </c>
      <c r="G191" s="22" t="s">
        <v>20</v>
      </c>
      <c r="H191" s="26" t="s">
        <v>35</v>
      </c>
      <c r="I191" s="80" t="s">
        <v>157</v>
      </c>
      <c r="J191" s="25" t="s">
        <v>27</v>
      </c>
      <c r="K191" s="25" t="s">
        <v>9</v>
      </c>
      <c r="L191" s="25" t="s">
        <v>24</v>
      </c>
      <c r="M191" s="25" t="s">
        <v>24</v>
      </c>
      <c r="N191" s="25" t="s">
        <v>37</v>
      </c>
      <c r="O191" s="32"/>
      <c r="P191" s="32"/>
      <c r="Q191" s="27"/>
    </row>
    <row r="192">
      <c r="A192" s="123">
        <v>42529.0</v>
      </c>
      <c r="B192" s="10" t="s">
        <v>18</v>
      </c>
      <c r="C192" s="108" t="s">
        <v>74</v>
      </c>
      <c r="D192" s="68" t="s">
        <v>155</v>
      </c>
      <c r="E192" s="109">
        <v>42529.0</v>
      </c>
      <c r="F192" s="21" t="str">
        <f t="shared" si="19"/>
        <v>Jun-2016</v>
      </c>
      <c r="G192" s="26" t="s">
        <v>25</v>
      </c>
      <c r="H192" s="26" t="s">
        <v>35</v>
      </c>
      <c r="I192" s="80" t="s">
        <v>157</v>
      </c>
      <c r="J192" s="25" t="s">
        <v>27</v>
      </c>
      <c r="K192" s="25" t="s">
        <v>9</v>
      </c>
      <c r="L192" s="25" t="s">
        <v>24</v>
      </c>
      <c r="M192" s="119"/>
      <c r="N192" s="119" t="s">
        <v>106</v>
      </c>
      <c r="O192" s="32"/>
      <c r="P192" s="32"/>
      <c r="Q192" s="27"/>
    </row>
    <row r="193">
      <c r="A193" s="124" t="s">
        <v>158</v>
      </c>
      <c r="B193" s="10" t="s">
        <v>18</v>
      </c>
      <c r="C193" s="108" t="s">
        <v>74</v>
      </c>
      <c r="D193" s="68" t="s">
        <v>155</v>
      </c>
      <c r="E193" s="109">
        <v>42529.0</v>
      </c>
      <c r="F193" s="13" t="str">
        <f t="shared" si="19"/>
        <v>Jun-2016</v>
      </c>
      <c r="G193" s="13" t="s">
        <v>20</v>
      </c>
      <c r="H193" s="17" t="s">
        <v>35</v>
      </c>
      <c r="I193" s="48" t="s">
        <v>159</v>
      </c>
      <c r="J193" s="16" t="s">
        <v>140</v>
      </c>
      <c r="K193" s="16" t="s">
        <v>9</v>
      </c>
      <c r="L193" s="16" t="s">
        <v>30</v>
      </c>
      <c r="M193" s="16" t="s">
        <v>30</v>
      </c>
      <c r="N193" s="16" t="s">
        <v>37</v>
      </c>
      <c r="O193" s="19"/>
      <c r="P193" s="19"/>
      <c r="Q193" s="18"/>
    </row>
    <row r="194">
      <c r="A194" s="124" t="s">
        <v>160</v>
      </c>
      <c r="B194" s="10" t="s">
        <v>18</v>
      </c>
      <c r="C194" s="108" t="s">
        <v>74</v>
      </c>
      <c r="D194" s="68" t="s">
        <v>155</v>
      </c>
      <c r="E194" s="109">
        <v>42529.0</v>
      </c>
      <c r="F194" s="13" t="str">
        <f t="shared" si="19"/>
        <v>Jun-2016</v>
      </c>
      <c r="G194" s="17" t="s">
        <v>25</v>
      </c>
      <c r="H194" s="17" t="s">
        <v>35</v>
      </c>
      <c r="I194" s="48" t="s">
        <v>159</v>
      </c>
      <c r="J194" s="16" t="s">
        <v>140</v>
      </c>
      <c r="K194" s="16" t="s">
        <v>9</v>
      </c>
      <c r="L194" s="16" t="s">
        <v>30</v>
      </c>
      <c r="M194" s="16"/>
      <c r="N194" s="16" t="s">
        <v>106</v>
      </c>
      <c r="O194" s="19"/>
      <c r="P194" s="19"/>
      <c r="Q194" s="18"/>
    </row>
    <row r="195">
      <c r="A195" s="108" t="s">
        <v>74</v>
      </c>
      <c r="B195" s="10" t="s">
        <v>18</v>
      </c>
      <c r="C195" s="108" t="s">
        <v>74</v>
      </c>
      <c r="D195" s="68" t="s">
        <v>155</v>
      </c>
      <c r="E195" s="109">
        <v>42529.0</v>
      </c>
      <c r="F195" s="21" t="str">
        <f t="shared" si="19"/>
        <v>Jun-2016</v>
      </c>
      <c r="G195" s="22" t="s">
        <v>20</v>
      </c>
      <c r="H195" s="26" t="s">
        <v>35</v>
      </c>
      <c r="I195" s="80" t="s">
        <v>161</v>
      </c>
      <c r="J195" s="25" t="s">
        <v>86</v>
      </c>
      <c r="K195" s="25" t="s">
        <v>9</v>
      </c>
      <c r="L195" s="25" t="s">
        <v>30</v>
      </c>
      <c r="M195" s="119" t="s">
        <v>30</v>
      </c>
      <c r="N195" s="119" t="s">
        <v>98</v>
      </c>
      <c r="O195" s="32"/>
      <c r="P195" s="32"/>
      <c r="Q195" s="27"/>
    </row>
    <row r="196">
      <c r="A196" s="123"/>
      <c r="B196" s="10" t="s">
        <v>18</v>
      </c>
      <c r="C196" s="108" t="s">
        <v>74</v>
      </c>
      <c r="D196" s="68" t="s">
        <v>155</v>
      </c>
      <c r="E196" s="109">
        <v>42529.0</v>
      </c>
      <c r="F196" s="21" t="str">
        <f t="shared" si="19"/>
        <v>Jun-2016</v>
      </c>
      <c r="G196" s="26" t="s">
        <v>25</v>
      </c>
      <c r="H196" s="26" t="s">
        <v>35</v>
      </c>
      <c r="I196" s="80" t="s">
        <v>161</v>
      </c>
      <c r="J196" s="25" t="s">
        <v>86</v>
      </c>
      <c r="K196" s="25" t="s">
        <v>9</v>
      </c>
      <c r="L196" s="25" t="s">
        <v>30</v>
      </c>
      <c r="M196" s="119"/>
      <c r="N196" s="119" t="s">
        <v>106</v>
      </c>
      <c r="O196" s="32"/>
      <c r="P196" s="32"/>
      <c r="Q196" s="27"/>
    </row>
    <row r="197">
      <c r="A197" s="123"/>
      <c r="B197" s="10" t="s">
        <v>18</v>
      </c>
      <c r="C197" s="108" t="s">
        <v>74</v>
      </c>
      <c r="D197" s="68" t="s">
        <v>155</v>
      </c>
      <c r="E197" s="109">
        <v>42529.0</v>
      </c>
      <c r="F197" s="13" t="str">
        <f t="shared" si="19"/>
        <v>Jun-2016</v>
      </c>
      <c r="G197" s="13" t="s">
        <v>20</v>
      </c>
      <c r="H197" s="17" t="s">
        <v>35</v>
      </c>
      <c r="I197" s="48" t="s">
        <v>135</v>
      </c>
      <c r="J197" s="16" t="s">
        <v>86</v>
      </c>
      <c r="K197" s="16" t="s">
        <v>9</v>
      </c>
      <c r="L197" s="16" t="s">
        <v>24</v>
      </c>
      <c r="M197" s="16" t="s">
        <v>24</v>
      </c>
      <c r="N197" s="16" t="s">
        <v>98</v>
      </c>
      <c r="O197" s="19"/>
      <c r="P197" s="19"/>
      <c r="Q197" s="18"/>
    </row>
    <row r="198">
      <c r="A198" s="125"/>
      <c r="B198" s="10" t="s">
        <v>18</v>
      </c>
      <c r="C198" s="108" t="s">
        <v>74</v>
      </c>
      <c r="D198" s="68" t="s">
        <v>155</v>
      </c>
      <c r="E198" s="145">
        <v>42529.0</v>
      </c>
      <c r="F198" s="35" t="str">
        <f t="shared" si="19"/>
        <v>Jun-2016</v>
      </c>
      <c r="G198" s="93" t="s">
        <v>25</v>
      </c>
      <c r="H198" s="93" t="s">
        <v>35</v>
      </c>
      <c r="I198" s="122" t="s">
        <v>135</v>
      </c>
      <c r="J198" s="38" t="s">
        <v>86</v>
      </c>
      <c r="K198" s="38" t="s">
        <v>9</v>
      </c>
      <c r="L198" s="38" t="s">
        <v>24</v>
      </c>
      <c r="M198" s="38"/>
      <c r="N198" s="38" t="s">
        <v>69</v>
      </c>
      <c r="O198" s="39"/>
      <c r="P198" s="39"/>
      <c r="Q198" s="40"/>
    </row>
    <row r="199">
      <c r="A199" s="107"/>
      <c r="B199" s="95"/>
      <c r="C199" s="95"/>
      <c r="D199" s="95"/>
      <c r="E199" s="95"/>
      <c r="I199" s="23"/>
    </row>
    <row r="200">
      <c r="A200" s="133" t="s">
        <v>162</v>
      </c>
      <c r="B200" s="134" t="s">
        <v>151</v>
      </c>
      <c r="C200" s="134" t="s">
        <v>74</v>
      </c>
      <c r="D200" s="133" t="s">
        <v>162</v>
      </c>
      <c r="E200" s="135">
        <v>42531.0</v>
      </c>
      <c r="F200" s="110" t="str">
        <f t="shared" ref="F200:F207" si="20">TEXT(E200, "mmm") &amp; "-" &amp; TEXT(E200, "yyyy") </f>
        <v>Jun-2016</v>
      </c>
      <c r="G200" s="47" t="s">
        <v>20</v>
      </c>
      <c r="H200" s="47" t="s">
        <v>35</v>
      </c>
      <c r="I200" s="79" t="s">
        <v>163</v>
      </c>
      <c r="J200" s="47" t="s">
        <v>44</v>
      </c>
      <c r="K200" s="47" t="s">
        <v>9</v>
      </c>
      <c r="L200" s="47" t="s">
        <v>24</v>
      </c>
      <c r="M200" s="47" t="s">
        <v>24</v>
      </c>
      <c r="N200" s="47" t="s">
        <v>69</v>
      </c>
      <c r="O200" s="47"/>
      <c r="P200" s="47"/>
      <c r="Q200" s="136"/>
      <c r="R200" s="24"/>
      <c r="S200" s="24"/>
      <c r="T200" s="24"/>
      <c r="U200" s="24"/>
    </row>
    <row r="201">
      <c r="A201" s="134" t="s">
        <v>151</v>
      </c>
      <c r="B201" s="134" t="s">
        <v>151</v>
      </c>
      <c r="C201" s="134" t="s">
        <v>74</v>
      </c>
      <c r="D201" s="133" t="s">
        <v>162</v>
      </c>
      <c r="E201" s="135">
        <v>42531.0</v>
      </c>
      <c r="F201" s="13" t="str">
        <f t="shared" si="20"/>
        <v>Jun-2016</v>
      </c>
      <c r="G201" s="16" t="s">
        <v>25</v>
      </c>
      <c r="H201" s="16" t="s">
        <v>35</v>
      </c>
      <c r="I201" s="48" t="s">
        <v>163</v>
      </c>
      <c r="J201" s="16" t="s">
        <v>44</v>
      </c>
      <c r="K201" s="16" t="s">
        <v>9</v>
      </c>
      <c r="L201" s="16" t="s">
        <v>30</v>
      </c>
      <c r="M201" s="16"/>
      <c r="N201" s="16" t="s">
        <v>106</v>
      </c>
      <c r="O201" s="16"/>
      <c r="P201" s="16"/>
      <c r="Q201" s="138"/>
      <c r="R201" s="24"/>
      <c r="S201" s="24"/>
      <c r="T201" s="24"/>
      <c r="U201" s="24"/>
    </row>
    <row r="202">
      <c r="A202" s="139">
        <v>42531.0</v>
      </c>
      <c r="B202" s="134" t="s">
        <v>151</v>
      </c>
      <c r="C202" s="134" t="s">
        <v>74</v>
      </c>
      <c r="D202" s="133" t="s">
        <v>162</v>
      </c>
      <c r="E202" s="135">
        <v>42531.0</v>
      </c>
      <c r="F202" s="13" t="str">
        <f t="shared" si="20"/>
        <v>Jun-2016</v>
      </c>
      <c r="G202" s="16" t="s">
        <v>32</v>
      </c>
      <c r="H202" s="16" t="s">
        <v>35</v>
      </c>
      <c r="I202" s="48" t="s">
        <v>163</v>
      </c>
      <c r="J202" s="16" t="s">
        <v>9</v>
      </c>
      <c r="K202" s="16" t="s">
        <v>9</v>
      </c>
      <c r="L202" s="16" t="s">
        <v>24</v>
      </c>
      <c r="M202" s="16"/>
      <c r="N202" s="16" t="s">
        <v>69</v>
      </c>
      <c r="O202" s="16"/>
      <c r="P202" s="16"/>
      <c r="Q202" s="138"/>
      <c r="R202" s="24"/>
      <c r="S202" s="24"/>
      <c r="T202" s="24"/>
      <c r="U202" s="24"/>
    </row>
    <row r="203">
      <c r="A203" s="134" t="s">
        <v>74</v>
      </c>
      <c r="B203" s="134" t="s">
        <v>151</v>
      </c>
      <c r="C203" s="134" t="s">
        <v>74</v>
      </c>
      <c r="D203" s="133" t="s">
        <v>162</v>
      </c>
      <c r="E203" s="135">
        <v>42531.0</v>
      </c>
      <c r="F203" s="21" t="str">
        <f t="shared" si="20"/>
        <v>Jun-2016</v>
      </c>
      <c r="G203" s="25" t="s">
        <v>20</v>
      </c>
      <c r="H203" s="25" t="s">
        <v>35</v>
      </c>
      <c r="I203" s="80" t="s">
        <v>164</v>
      </c>
      <c r="J203" s="25" t="s">
        <v>9</v>
      </c>
      <c r="K203" s="25" t="s">
        <v>9</v>
      </c>
      <c r="L203" s="25" t="s">
        <v>30</v>
      </c>
      <c r="M203" s="25" t="s">
        <v>30</v>
      </c>
      <c r="N203" s="25" t="s">
        <v>98</v>
      </c>
      <c r="Q203" s="99"/>
      <c r="R203" s="24"/>
      <c r="S203" s="24"/>
      <c r="T203" s="24"/>
    </row>
    <row r="204">
      <c r="A204" s="140"/>
      <c r="B204" s="134" t="s">
        <v>151</v>
      </c>
      <c r="C204" s="134" t="s">
        <v>74</v>
      </c>
      <c r="D204" s="133" t="s">
        <v>162</v>
      </c>
      <c r="E204" s="135">
        <v>42531.0</v>
      </c>
      <c r="F204" s="21" t="str">
        <f t="shared" si="20"/>
        <v>Jun-2016</v>
      </c>
      <c r="G204" s="25" t="s">
        <v>25</v>
      </c>
      <c r="H204" s="25" t="s">
        <v>35</v>
      </c>
      <c r="I204" s="80" t="s">
        <v>164</v>
      </c>
      <c r="J204" s="25" t="s">
        <v>102</v>
      </c>
      <c r="K204" s="25" t="s">
        <v>9</v>
      </c>
      <c r="L204" s="25" t="s">
        <v>30</v>
      </c>
      <c r="M204" s="25"/>
      <c r="N204" s="25" t="s">
        <v>106</v>
      </c>
      <c r="Q204" s="99"/>
      <c r="R204" s="24"/>
      <c r="S204" s="24"/>
      <c r="T204" s="24"/>
    </row>
    <row r="205">
      <c r="A205" s="140"/>
      <c r="B205" s="134" t="s">
        <v>151</v>
      </c>
      <c r="C205" s="134" t="s">
        <v>74</v>
      </c>
      <c r="D205" s="133" t="s">
        <v>162</v>
      </c>
      <c r="E205" s="135">
        <v>42531.0</v>
      </c>
      <c r="F205" s="13" t="str">
        <f t="shared" si="20"/>
        <v>Jun-2016</v>
      </c>
      <c r="G205" s="16" t="s">
        <v>32</v>
      </c>
      <c r="H205" s="16" t="s">
        <v>35</v>
      </c>
      <c r="I205" s="48" t="s">
        <v>165</v>
      </c>
      <c r="J205" s="16" t="s">
        <v>27</v>
      </c>
      <c r="K205" s="16" t="s">
        <v>9</v>
      </c>
      <c r="L205" s="16" t="s">
        <v>24</v>
      </c>
      <c r="M205" s="16" t="s">
        <v>24</v>
      </c>
      <c r="N205" s="16" t="s">
        <v>37</v>
      </c>
      <c r="O205" s="101"/>
      <c r="P205" s="101"/>
      <c r="Q205" s="102"/>
      <c r="R205" s="24"/>
      <c r="S205" s="24"/>
      <c r="T205" s="24"/>
    </row>
    <row r="206">
      <c r="A206" s="140"/>
      <c r="B206" s="134" t="s">
        <v>151</v>
      </c>
      <c r="C206" s="134" t="s">
        <v>74</v>
      </c>
      <c r="D206" s="133" t="s">
        <v>162</v>
      </c>
      <c r="E206" s="135">
        <v>42531.0</v>
      </c>
      <c r="F206" s="13" t="str">
        <f t="shared" si="20"/>
        <v>Jun-2016</v>
      </c>
      <c r="G206" s="16" t="s">
        <v>25</v>
      </c>
      <c r="H206" s="16" t="s">
        <v>35</v>
      </c>
      <c r="I206" s="48" t="s">
        <v>165</v>
      </c>
      <c r="J206" s="16" t="s">
        <v>27</v>
      </c>
      <c r="K206" s="16" t="s">
        <v>9</v>
      </c>
      <c r="L206" s="16" t="s">
        <v>30</v>
      </c>
      <c r="M206" s="16"/>
      <c r="N206" s="16" t="s">
        <v>29</v>
      </c>
      <c r="O206" s="101"/>
      <c r="P206" s="101"/>
      <c r="Q206" s="102"/>
      <c r="R206" s="24"/>
      <c r="S206" s="24"/>
      <c r="T206" s="24"/>
    </row>
    <row r="207">
      <c r="A207" s="141"/>
      <c r="B207" s="134" t="s">
        <v>151</v>
      </c>
      <c r="C207" s="134" t="s">
        <v>74</v>
      </c>
      <c r="D207" s="133" t="s">
        <v>162</v>
      </c>
      <c r="E207" s="135">
        <v>42531.0</v>
      </c>
      <c r="F207" s="35" t="str">
        <f t="shared" si="20"/>
        <v>Jun-2016</v>
      </c>
      <c r="G207" s="38" t="s">
        <v>32</v>
      </c>
      <c r="H207" s="38" t="s">
        <v>35</v>
      </c>
      <c r="I207" s="122" t="s">
        <v>165</v>
      </c>
      <c r="J207" s="38" t="s">
        <v>27</v>
      </c>
      <c r="K207" s="38" t="s">
        <v>9</v>
      </c>
      <c r="L207" s="38" t="s">
        <v>24</v>
      </c>
      <c r="M207" s="38"/>
      <c r="N207" s="38" t="s">
        <v>106</v>
      </c>
      <c r="O207" s="105"/>
      <c r="P207" s="105"/>
      <c r="Q207" s="106"/>
      <c r="R207" s="24"/>
      <c r="S207" s="24"/>
      <c r="T207" s="24"/>
    </row>
    <row r="208">
      <c r="A208" s="107"/>
      <c r="B208" s="95"/>
      <c r="C208" s="95"/>
      <c r="D208" s="95"/>
      <c r="E208" s="95"/>
      <c r="I208" s="23"/>
    </row>
    <row r="209">
      <c r="A209" s="68" t="s">
        <v>166</v>
      </c>
      <c r="B209" s="134" t="s">
        <v>151</v>
      </c>
      <c r="C209" s="108" t="s">
        <v>74</v>
      </c>
      <c r="D209" s="68" t="s">
        <v>166</v>
      </c>
      <c r="E209" s="123">
        <v>42536.0</v>
      </c>
      <c r="F209" s="110" t="str">
        <f t="shared" ref="F209:F220" si="21">TEXT(E209, "mmm") &amp; "-" &amp; TEXT(E209, "yyyy") </f>
        <v>Jun-2016</v>
      </c>
      <c r="G209" s="110" t="s">
        <v>20</v>
      </c>
      <c r="H209" s="111" t="s">
        <v>35</v>
      </c>
      <c r="I209" s="79" t="s">
        <v>93</v>
      </c>
      <c r="J209" s="47" t="s">
        <v>23</v>
      </c>
      <c r="K209" s="47" t="s">
        <v>9</v>
      </c>
      <c r="L209" s="47" t="s">
        <v>24</v>
      </c>
      <c r="M209" s="47" t="s">
        <v>24</v>
      </c>
      <c r="N209" s="47" t="s">
        <v>98</v>
      </c>
      <c r="O209" s="111"/>
      <c r="P209" s="111"/>
      <c r="Q209" s="112"/>
    </row>
    <row r="210">
      <c r="A210" s="134" t="s">
        <v>151</v>
      </c>
      <c r="B210" s="134" t="s">
        <v>151</v>
      </c>
      <c r="C210" s="108" t="s">
        <v>74</v>
      </c>
      <c r="D210" s="68" t="s">
        <v>166</v>
      </c>
      <c r="E210" s="123">
        <v>42536.0</v>
      </c>
      <c r="F210" s="13" t="str">
        <f t="shared" si="21"/>
        <v>Jun-2016</v>
      </c>
      <c r="G210" s="13" t="s">
        <v>25</v>
      </c>
      <c r="H210" s="17" t="s">
        <v>35</v>
      </c>
      <c r="I210" s="48" t="s">
        <v>93</v>
      </c>
      <c r="J210" s="16" t="s">
        <v>23</v>
      </c>
      <c r="K210" s="16" t="s">
        <v>9</v>
      </c>
      <c r="L210" s="16" t="s">
        <v>30</v>
      </c>
      <c r="M210" s="16"/>
      <c r="N210" s="16" t="s">
        <v>106</v>
      </c>
      <c r="O210" s="17"/>
      <c r="P210" s="17"/>
      <c r="Q210" s="49"/>
    </row>
    <row r="211">
      <c r="A211" s="10" t="s">
        <v>26</v>
      </c>
      <c r="B211" s="134" t="s">
        <v>151</v>
      </c>
      <c r="C211" s="108" t="s">
        <v>74</v>
      </c>
      <c r="D211" s="68" t="s">
        <v>166</v>
      </c>
      <c r="E211" s="123">
        <v>42536.0</v>
      </c>
      <c r="F211" s="13" t="str">
        <f t="shared" si="21"/>
        <v>Jun-2016</v>
      </c>
      <c r="G211" s="16" t="s">
        <v>32</v>
      </c>
      <c r="H211" s="17" t="s">
        <v>35</v>
      </c>
      <c r="I211" s="48" t="s">
        <v>93</v>
      </c>
      <c r="J211" s="16" t="s">
        <v>23</v>
      </c>
      <c r="K211" s="16" t="s">
        <v>9</v>
      </c>
      <c r="L211" s="16" t="s">
        <v>24</v>
      </c>
      <c r="M211" s="16"/>
      <c r="N211" s="16" t="s">
        <v>69</v>
      </c>
      <c r="O211" s="19"/>
      <c r="P211" s="19"/>
      <c r="Q211" s="18"/>
    </row>
    <row r="212">
      <c r="A212" s="123">
        <v>42536.0</v>
      </c>
      <c r="B212" s="134" t="s">
        <v>151</v>
      </c>
      <c r="C212" s="108" t="s">
        <v>74</v>
      </c>
      <c r="D212" s="68" t="s">
        <v>166</v>
      </c>
      <c r="E212" s="123">
        <v>42536.0</v>
      </c>
      <c r="F212" s="21" t="str">
        <f t="shared" si="21"/>
        <v>Jun-2016</v>
      </c>
      <c r="G212" s="21" t="s">
        <v>20</v>
      </c>
      <c r="H212" s="91" t="s">
        <v>35</v>
      </c>
      <c r="I212" s="126" t="s">
        <v>167</v>
      </c>
      <c r="J212" s="119" t="s">
        <v>27</v>
      </c>
      <c r="K212" s="119" t="s">
        <v>9</v>
      </c>
      <c r="L212" s="119" t="s">
        <v>30</v>
      </c>
      <c r="M212" s="119" t="s">
        <v>30</v>
      </c>
      <c r="N212" s="119" t="s">
        <v>29</v>
      </c>
      <c r="O212" s="127"/>
      <c r="P212" s="127"/>
      <c r="Q212" s="128"/>
    </row>
    <row r="213">
      <c r="A213" s="124" t="s">
        <v>168</v>
      </c>
      <c r="B213" s="134" t="s">
        <v>151</v>
      </c>
      <c r="C213" s="108" t="s">
        <v>74</v>
      </c>
      <c r="D213" s="68" t="s">
        <v>166</v>
      </c>
      <c r="E213" s="123">
        <v>42536.0</v>
      </c>
      <c r="F213" s="21" t="str">
        <f t="shared" si="21"/>
        <v>Jun-2016</v>
      </c>
      <c r="G213" s="91" t="s">
        <v>25</v>
      </c>
      <c r="H213" s="91" t="s">
        <v>35</v>
      </c>
      <c r="I213" s="126" t="s">
        <v>167</v>
      </c>
      <c r="J213" s="119" t="s">
        <v>27</v>
      </c>
      <c r="K213" s="119" t="s">
        <v>9</v>
      </c>
      <c r="L213" s="119" t="s">
        <v>24</v>
      </c>
      <c r="M213" s="119"/>
      <c r="N213" s="119" t="s">
        <v>106</v>
      </c>
      <c r="O213" s="127"/>
      <c r="P213" s="127"/>
      <c r="Q213" s="128"/>
    </row>
    <row r="214">
      <c r="A214" s="108" t="s">
        <v>74</v>
      </c>
      <c r="B214" s="134" t="s">
        <v>151</v>
      </c>
      <c r="C214" s="108" t="s">
        <v>74</v>
      </c>
      <c r="D214" s="68" t="s">
        <v>166</v>
      </c>
      <c r="E214" s="123">
        <v>42536.0</v>
      </c>
      <c r="F214" s="21" t="str">
        <f t="shared" si="21"/>
        <v>Jun-2016</v>
      </c>
      <c r="G214" s="91" t="s">
        <v>32</v>
      </c>
      <c r="H214" s="91" t="s">
        <v>35</v>
      </c>
      <c r="I214" s="126" t="s">
        <v>167</v>
      </c>
      <c r="J214" s="119" t="s">
        <v>27</v>
      </c>
      <c r="K214" s="119" t="s">
        <v>9</v>
      </c>
      <c r="L214" s="119" t="s">
        <v>30</v>
      </c>
      <c r="M214" s="119"/>
      <c r="N214" s="119" t="s">
        <v>98</v>
      </c>
      <c r="O214" s="127"/>
      <c r="P214" s="127"/>
      <c r="Q214" s="128"/>
    </row>
    <row r="215">
      <c r="A215" s="123"/>
      <c r="B215" s="134" t="s">
        <v>151</v>
      </c>
      <c r="C215" s="108" t="s">
        <v>74</v>
      </c>
      <c r="D215" s="68" t="s">
        <v>166</v>
      </c>
      <c r="E215" s="123">
        <v>42536.0</v>
      </c>
      <c r="F215" s="13" t="str">
        <f t="shared" si="21"/>
        <v>Jun-2016</v>
      </c>
      <c r="G215" s="13" t="s">
        <v>20</v>
      </c>
      <c r="H215" s="17" t="s">
        <v>35</v>
      </c>
      <c r="I215" s="48" t="s">
        <v>148</v>
      </c>
      <c r="J215" s="16" t="s">
        <v>27</v>
      </c>
      <c r="K215" s="16" t="s">
        <v>9</v>
      </c>
      <c r="L215" s="16" t="s">
        <v>30</v>
      </c>
      <c r="M215" s="16" t="s">
        <v>24</v>
      </c>
      <c r="N215" s="16" t="s">
        <v>29</v>
      </c>
      <c r="O215" s="19"/>
      <c r="P215" s="19"/>
      <c r="Q215" s="18"/>
    </row>
    <row r="216">
      <c r="A216" s="123"/>
      <c r="B216" s="134" t="s">
        <v>151</v>
      </c>
      <c r="C216" s="108" t="s">
        <v>74</v>
      </c>
      <c r="D216" s="68" t="s">
        <v>166</v>
      </c>
      <c r="E216" s="123">
        <v>42536.0</v>
      </c>
      <c r="F216" s="13" t="str">
        <f t="shared" si="21"/>
        <v>Jun-2016</v>
      </c>
      <c r="G216" s="13" t="s">
        <v>25</v>
      </c>
      <c r="H216" s="17" t="s">
        <v>35</v>
      </c>
      <c r="I216" s="48" t="s">
        <v>148</v>
      </c>
      <c r="J216" s="16" t="s">
        <v>27</v>
      </c>
      <c r="K216" s="16" t="s">
        <v>9</v>
      </c>
      <c r="L216" s="16" t="s">
        <v>24</v>
      </c>
      <c r="M216" s="16"/>
      <c r="N216" s="16" t="s">
        <v>29</v>
      </c>
      <c r="O216" s="19"/>
      <c r="P216" s="19"/>
      <c r="Q216" s="18"/>
    </row>
    <row r="217">
      <c r="A217" s="123"/>
      <c r="B217" s="134" t="s">
        <v>151</v>
      </c>
      <c r="C217" s="108" t="s">
        <v>74</v>
      </c>
      <c r="D217" s="68" t="s">
        <v>166</v>
      </c>
      <c r="E217" s="123">
        <v>42536.0</v>
      </c>
      <c r="F217" s="13" t="str">
        <f t="shared" si="21"/>
        <v>Jun-2016</v>
      </c>
      <c r="G217" s="16" t="s">
        <v>32</v>
      </c>
      <c r="H217" s="17" t="s">
        <v>35</v>
      </c>
      <c r="I217" s="48" t="s">
        <v>148</v>
      </c>
      <c r="J217" s="16" t="s">
        <v>27</v>
      </c>
      <c r="K217" s="16" t="s">
        <v>9</v>
      </c>
      <c r="L217" s="16" t="s">
        <v>24</v>
      </c>
      <c r="M217" s="16"/>
      <c r="N217" s="16" t="s">
        <v>106</v>
      </c>
      <c r="O217" s="19"/>
      <c r="P217" s="19"/>
      <c r="Q217" s="18"/>
    </row>
    <row r="218">
      <c r="A218" s="123"/>
      <c r="B218" s="134" t="s">
        <v>151</v>
      </c>
      <c r="C218" s="108" t="s">
        <v>74</v>
      </c>
      <c r="D218" s="68" t="s">
        <v>166</v>
      </c>
      <c r="E218" s="123">
        <v>42536.0</v>
      </c>
      <c r="F218" s="21" t="str">
        <f t="shared" si="21"/>
        <v>Jun-2016</v>
      </c>
      <c r="G218" s="22" t="s">
        <v>20</v>
      </c>
      <c r="H218" s="25" t="s">
        <v>129</v>
      </c>
      <c r="I218" s="80" t="s">
        <v>105</v>
      </c>
      <c r="J218" s="25" t="s">
        <v>44</v>
      </c>
      <c r="K218" s="25" t="s">
        <v>9</v>
      </c>
      <c r="L218" s="25" t="s">
        <v>30</v>
      </c>
      <c r="M218" s="25" t="s">
        <v>24</v>
      </c>
      <c r="N218" s="25" t="s">
        <v>37</v>
      </c>
      <c r="Q218" s="99"/>
    </row>
    <row r="219">
      <c r="A219" s="123"/>
      <c r="B219" s="134" t="s">
        <v>151</v>
      </c>
      <c r="C219" s="108" t="s">
        <v>74</v>
      </c>
      <c r="D219" s="68" t="s">
        <v>166</v>
      </c>
      <c r="E219" s="123">
        <v>42536.0</v>
      </c>
      <c r="F219" s="21" t="str">
        <f t="shared" si="21"/>
        <v>Jun-2016</v>
      </c>
      <c r="G219" s="26" t="s">
        <v>25</v>
      </c>
      <c r="H219" s="25" t="s">
        <v>129</v>
      </c>
      <c r="I219" s="80" t="s">
        <v>105</v>
      </c>
      <c r="J219" s="25" t="s">
        <v>44</v>
      </c>
      <c r="K219" s="25" t="s">
        <v>9</v>
      </c>
      <c r="L219" s="25" t="s">
        <v>24</v>
      </c>
      <c r="M219" s="25"/>
      <c r="N219" s="25" t="s">
        <v>98</v>
      </c>
      <c r="Q219" s="99"/>
    </row>
    <row r="220">
      <c r="A220" s="125"/>
      <c r="B220" s="134" t="s">
        <v>151</v>
      </c>
      <c r="C220" s="108" t="s">
        <v>74</v>
      </c>
      <c r="D220" s="68" t="s">
        <v>166</v>
      </c>
      <c r="E220" s="123">
        <v>42536.0</v>
      </c>
      <c r="F220" s="51" t="str">
        <f t="shared" si="21"/>
        <v>Jun-2016</v>
      </c>
      <c r="G220" s="76" t="s">
        <v>32</v>
      </c>
      <c r="H220" s="55" t="s">
        <v>129</v>
      </c>
      <c r="I220" s="113" t="s">
        <v>105</v>
      </c>
      <c r="J220" s="55" t="s">
        <v>44</v>
      </c>
      <c r="K220" s="55" t="s">
        <v>9</v>
      </c>
      <c r="L220" s="55" t="s">
        <v>24</v>
      </c>
      <c r="M220" s="55"/>
      <c r="N220" s="55" t="s">
        <v>106</v>
      </c>
      <c r="O220" s="143"/>
      <c r="P220" s="143"/>
      <c r="Q220" s="144"/>
    </row>
    <row r="221">
      <c r="A221" s="107"/>
      <c r="B221" s="95"/>
      <c r="C221" s="95"/>
      <c r="D221" s="95"/>
      <c r="E221" s="95"/>
      <c r="I221" s="80"/>
    </row>
    <row r="222">
      <c r="A222" s="68" t="s">
        <v>169</v>
      </c>
      <c r="B222" s="10" t="s">
        <v>73</v>
      </c>
      <c r="C222" s="108" t="s">
        <v>74</v>
      </c>
      <c r="D222" s="68" t="s">
        <v>169</v>
      </c>
      <c r="E222" s="123">
        <v>42537.0</v>
      </c>
      <c r="F222" s="110" t="str">
        <f t="shared" ref="F222:F228" si="22">TEXT(E222, "mmm") &amp; "-" &amp; TEXT(E222, "yyyy") </f>
        <v>Jun-2016</v>
      </c>
      <c r="G222" s="110" t="s">
        <v>20</v>
      </c>
      <c r="H222" s="110" t="s">
        <v>35</v>
      </c>
      <c r="I222" s="79" t="s">
        <v>170</v>
      </c>
      <c r="J222" s="47" t="s">
        <v>27</v>
      </c>
      <c r="K222" s="47" t="s">
        <v>9</v>
      </c>
      <c r="L222" s="47" t="s">
        <v>24</v>
      </c>
      <c r="M222" s="47" t="s">
        <v>24</v>
      </c>
      <c r="N222" s="47" t="s">
        <v>98</v>
      </c>
      <c r="O222" s="111"/>
      <c r="P222" s="111"/>
      <c r="Q222" s="112"/>
    </row>
    <row r="223">
      <c r="A223" s="10" t="s">
        <v>73</v>
      </c>
      <c r="B223" s="10" t="s">
        <v>73</v>
      </c>
      <c r="C223" s="108" t="s">
        <v>74</v>
      </c>
      <c r="D223" s="68" t="s">
        <v>169</v>
      </c>
      <c r="E223" s="123">
        <v>42537.0</v>
      </c>
      <c r="F223" s="13" t="str">
        <f t="shared" si="22"/>
        <v>Jun-2016</v>
      </c>
      <c r="G223" s="13" t="s">
        <v>25</v>
      </c>
      <c r="H223" s="13" t="s">
        <v>35</v>
      </c>
      <c r="I223" s="48" t="s">
        <v>170</v>
      </c>
      <c r="J223" s="16" t="s">
        <v>27</v>
      </c>
      <c r="K223" s="16" t="s">
        <v>9</v>
      </c>
      <c r="L223" s="16" t="s">
        <v>30</v>
      </c>
      <c r="M223" s="16"/>
      <c r="N223" s="16" t="s">
        <v>99</v>
      </c>
      <c r="O223" s="17"/>
      <c r="P223" s="17"/>
      <c r="Q223" s="49"/>
    </row>
    <row r="224">
      <c r="A224" s="10" t="s">
        <v>76</v>
      </c>
      <c r="B224" s="10" t="s">
        <v>73</v>
      </c>
      <c r="C224" s="108" t="s">
        <v>74</v>
      </c>
      <c r="D224" s="68" t="s">
        <v>169</v>
      </c>
      <c r="E224" s="123">
        <v>42537.0</v>
      </c>
      <c r="F224" s="13" t="str">
        <f t="shared" si="22"/>
        <v>Jun-2016</v>
      </c>
      <c r="G224" s="17" t="s">
        <v>32</v>
      </c>
      <c r="H224" s="13" t="s">
        <v>35</v>
      </c>
      <c r="I224" s="48" t="s">
        <v>170</v>
      </c>
      <c r="J224" s="16" t="s">
        <v>27</v>
      </c>
      <c r="K224" s="16" t="s">
        <v>9</v>
      </c>
      <c r="L224" s="16" t="s">
        <v>24</v>
      </c>
      <c r="M224" s="16"/>
      <c r="N224" s="16" t="s">
        <v>106</v>
      </c>
      <c r="O224" s="19"/>
      <c r="P224" s="19"/>
      <c r="Q224" s="18"/>
    </row>
    <row r="225">
      <c r="A225" s="123">
        <v>42537.0</v>
      </c>
      <c r="B225" s="10" t="s">
        <v>73</v>
      </c>
      <c r="C225" s="108" t="s">
        <v>74</v>
      </c>
      <c r="D225" s="68" t="s">
        <v>169</v>
      </c>
      <c r="E225" s="123">
        <v>42537.0</v>
      </c>
      <c r="F225" s="21" t="str">
        <f t="shared" si="22"/>
        <v>Jun-2016</v>
      </c>
      <c r="G225" s="22" t="s">
        <v>20</v>
      </c>
      <c r="H225" s="22" t="s">
        <v>35</v>
      </c>
      <c r="I225" s="80" t="s">
        <v>171</v>
      </c>
      <c r="J225" s="25" t="s">
        <v>9</v>
      </c>
      <c r="K225" s="25" t="s">
        <v>9</v>
      </c>
      <c r="L225" s="25" t="s">
        <v>30</v>
      </c>
      <c r="M225" s="25" t="s">
        <v>30</v>
      </c>
      <c r="N225" s="25" t="s">
        <v>98</v>
      </c>
      <c r="O225" s="32"/>
      <c r="P225" s="32"/>
      <c r="Q225" s="27"/>
    </row>
    <row r="226">
      <c r="A226" s="108" t="s">
        <v>74</v>
      </c>
      <c r="B226" s="10" t="s">
        <v>73</v>
      </c>
      <c r="C226" s="108" t="s">
        <v>74</v>
      </c>
      <c r="D226" s="68" t="s">
        <v>169</v>
      </c>
      <c r="E226" s="123">
        <v>42537.0</v>
      </c>
      <c r="F226" s="21" t="str">
        <f t="shared" si="22"/>
        <v>Jun-2016</v>
      </c>
      <c r="G226" s="26" t="s">
        <v>25</v>
      </c>
      <c r="H226" s="22" t="s">
        <v>35</v>
      </c>
      <c r="I226" s="80" t="s">
        <v>171</v>
      </c>
      <c r="J226" s="25" t="s">
        <v>9</v>
      </c>
      <c r="K226" s="25" t="s">
        <v>9</v>
      </c>
      <c r="L226" s="25" t="s">
        <v>30</v>
      </c>
      <c r="M226" s="119"/>
      <c r="N226" s="119" t="s">
        <v>29</v>
      </c>
      <c r="O226" s="32"/>
      <c r="P226" s="32"/>
      <c r="Q226" s="27"/>
    </row>
    <row r="227">
      <c r="A227" s="123"/>
      <c r="B227" s="10" t="s">
        <v>73</v>
      </c>
      <c r="C227" s="108" t="s">
        <v>74</v>
      </c>
      <c r="D227" s="68" t="s">
        <v>169</v>
      </c>
      <c r="E227" s="123">
        <v>42537.0</v>
      </c>
      <c r="F227" s="13" t="str">
        <f t="shared" si="22"/>
        <v>Jun-2016</v>
      </c>
      <c r="G227" s="13" t="s">
        <v>20</v>
      </c>
      <c r="H227" s="13" t="s">
        <v>35</v>
      </c>
      <c r="I227" s="48" t="s">
        <v>172</v>
      </c>
      <c r="J227" s="16" t="s">
        <v>48</v>
      </c>
      <c r="K227" s="16" t="s">
        <v>9</v>
      </c>
      <c r="L227" s="16" t="s">
        <v>24</v>
      </c>
      <c r="M227" s="16" t="s">
        <v>24</v>
      </c>
      <c r="N227" s="16" t="s">
        <v>98</v>
      </c>
      <c r="O227" s="19"/>
      <c r="P227" s="19"/>
      <c r="Q227" s="18"/>
    </row>
    <row r="228">
      <c r="A228" s="123"/>
      <c r="B228" s="10" t="s">
        <v>73</v>
      </c>
      <c r="C228" s="108" t="s">
        <v>74</v>
      </c>
      <c r="D228" s="68" t="s">
        <v>169</v>
      </c>
      <c r="E228" s="123">
        <v>42537.0</v>
      </c>
      <c r="F228" s="35" t="str">
        <f t="shared" si="22"/>
        <v>Jun-2016</v>
      </c>
      <c r="G228" s="93" t="s">
        <v>25</v>
      </c>
      <c r="H228" s="38" t="s">
        <v>35</v>
      </c>
      <c r="I228" s="122" t="s">
        <v>172</v>
      </c>
      <c r="J228" s="38" t="s">
        <v>48</v>
      </c>
      <c r="K228" s="38" t="s">
        <v>9</v>
      </c>
      <c r="L228" s="38" t="s">
        <v>24</v>
      </c>
      <c r="M228" s="38"/>
      <c r="N228" s="38" t="s">
        <v>106</v>
      </c>
      <c r="O228" s="39"/>
      <c r="P228" s="39"/>
      <c r="Q228" s="40"/>
    </row>
    <row r="229">
      <c r="A229" s="107"/>
      <c r="B229" s="95"/>
      <c r="C229" s="95"/>
      <c r="D229" s="95"/>
      <c r="E229" s="95"/>
      <c r="I229" s="23"/>
    </row>
    <row r="230">
      <c r="A230" s="68" t="s">
        <v>173</v>
      </c>
      <c r="B230" s="10" t="s">
        <v>18</v>
      </c>
      <c r="C230" s="108" t="s">
        <v>74</v>
      </c>
      <c r="D230" s="68" t="s">
        <v>173</v>
      </c>
      <c r="E230" s="123">
        <v>42543.0</v>
      </c>
      <c r="F230" s="110" t="str">
        <f t="shared" ref="F230:F241" si="23">TEXT(E230, "mmm") &amp; "-" &amp; TEXT(E230, "yyyy") </f>
        <v>Jun-2016</v>
      </c>
      <c r="G230" s="110" t="s">
        <v>20</v>
      </c>
      <c r="H230" s="111" t="s">
        <v>35</v>
      </c>
      <c r="I230" s="79" t="s">
        <v>174</v>
      </c>
      <c r="J230" s="47" t="s">
        <v>71</v>
      </c>
      <c r="K230" s="47" t="s">
        <v>9</v>
      </c>
      <c r="L230" s="47" t="s">
        <v>24</v>
      </c>
      <c r="M230" s="47" t="s">
        <v>24</v>
      </c>
      <c r="N230" s="47" t="s">
        <v>98</v>
      </c>
      <c r="O230" s="111"/>
      <c r="P230" s="111"/>
      <c r="Q230" s="112"/>
    </row>
    <row r="231">
      <c r="A231" s="10" t="s">
        <v>18</v>
      </c>
      <c r="B231" s="10" t="s">
        <v>18</v>
      </c>
      <c r="C231" s="108" t="s">
        <v>74</v>
      </c>
      <c r="D231" s="68" t="s">
        <v>173</v>
      </c>
      <c r="E231" s="123">
        <v>42543.0</v>
      </c>
      <c r="F231" s="13" t="str">
        <f t="shared" si="23"/>
        <v>Jun-2016</v>
      </c>
      <c r="G231" s="13" t="s">
        <v>25</v>
      </c>
      <c r="H231" s="17" t="s">
        <v>35</v>
      </c>
      <c r="I231" s="48" t="s">
        <v>174</v>
      </c>
      <c r="J231" s="16" t="s">
        <v>71</v>
      </c>
      <c r="K231" s="16" t="s">
        <v>9</v>
      </c>
      <c r="L231" s="16" t="s">
        <v>24</v>
      </c>
      <c r="M231" s="16"/>
      <c r="N231" s="16" t="s">
        <v>106</v>
      </c>
      <c r="O231" s="17"/>
      <c r="P231" s="17"/>
      <c r="Q231" s="49"/>
    </row>
    <row r="232">
      <c r="A232" s="10" t="s">
        <v>26</v>
      </c>
      <c r="B232" s="10" t="s">
        <v>18</v>
      </c>
      <c r="C232" s="108" t="s">
        <v>74</v>
      </c>
      <c r="D232" s="68" t="s">
        <v>173</v>
      </c>
      <c r="E232" s="123">
        <v>42543.0</v>
      </c>
      <c r="F232" s="22" t="str">
        <f t="shared" si="23"/>
        <v>Jun-2016</v>
      </c>
      <c r="G232" s="22" t="s">
        <v>20</v>
      </c>
      <c r="H232" s="26" t="s">
        <v>35</v>
      </c>
      <c r="I232" s="80" t="s">
        <v>175</v>
      </c>
      <c r="J232" s="25" t="s">
        <v>23</v>
      </c>
      <c r="K232" s="25" t="s">
        <v>9</v>
      </c>
      <c r="L232" s="25" t="s">
        <v>30</v>
      </c>
      <c r="M232" s="25" t="s">
        <v>30</v>
      </c>
      <c r="N232" s="25" t="s">
        <v>29</v>
      </c>
      <c r="O232" s="32"/>
      <c r="P232" s="32"/>
      <c r="Q232" s="27"/>
    </row>
    <row r="233">
      <c r="A233" s="123">
        <v>42543.0</v>
      </c>
      <c r="B233" s="10" t="s">
        <v>18</v>
      </c>
      <c r="C233" s="108" t="s">
        <v>74</v>
      </c>
      <c r="D233" s="68" t="s">
        <v>173</v>
      </c>
      <c r="E233" s="123">
        <v>42543.0</v>
      </c>
      <c r="F233" s="22" t="str">
        <f t="shared" si="23"/>
        <v>Jun-2016</v>
      </c>
      <c r="G233" s="26" t="s">
        <v>25</v>
      </c>
      <c r="H233" s="26" t="s">
        <v>35</v>
      </c>
      <c r="I233" s="80" t="s">
        <v>175</v>
      </c>
      <c r="J233" s="25" t="s">
        <v>44</v>
      </c>
      <c r="K233" s="25" t="s">
        <v>9</v>
      </c>
      <c r="L233" s="25" t="s">
        <v>30</v>
      </c>
      <c r="M233" s="25"/>
      <c r="N233" s="25" t="s">
        <v>69</v>
      </c>
      <c r="O233" s="32"/>
      <c r="P233" s="32"/>
      <c r="Q233" s="27"/>
    </row>
    <row r="234">
      <c r="A234" s="124" t="s">
        <v>176</v>
      </c>
      <c r="B234" s="10" t="s">
        <v>18</v>
      </c>
      <c r="C234" s="108" t="s">
        <v>74</v>
      </c>
      <c r="D234" s="68" t="s">
        <v>173</v>
      </c>
      <c r="E234" s="123">
        <v>42543.0</v>
      </c>
      <c r="F234" s="13" t="str">
        <f t="shared" si="23"/>
        <v>Jun-2016</v>
      </c>
      <c r="G234" s="13" t="s">
        <v>20</v>
      </c>
      <c r="H234" s="17" t="s">
        <v>35</v>
      </c>
      <c r="I234" s="48" t="s">
        <v>101</v>
      </c>
      <c r="J234" s="16" t="s">
        <v>102</v>
      </c>
      <c r="K234" s="16" t="s">
        <v>9</v>
      </c>
      <c r="L234" s="16" t="s">
        <v>30</v>
      </c>
      <c r="M234" s="16" t="s">
        <v>30</v>
      </c>
      <c r="N234" s="16" t="s">
        <v>29</v>
      </c>
      <c r="O234" s="19"/>
      <c r="P234" s="19"/>
      <c r="Q234" s="18"/>
    </row>
    <row r="235">
      <c r="A235" s="108" t="s">
        <v>74</v>
      </c>
      <c r="B235" s="10" t="s">
        <v>18</v>
      </c>
      <c r="C235" s="108" t="s">
        <v>74</v>
      </c>
      <c r="D235" s="68" t="s">
        <v>173</v>
      </c>
      <c r="E235" s="123">
        <v>42543.0</v>
      </c>
      <c r="F235" s="13" t="str">
        <f t="shared" si="23"/>
        <v>Jun-2016</v>
      </c>
      <c r="G235" s="13" t="s">
        <v>25</v>
      </c>
      <c r="H235" s="17" t="s">
        <v>35</v>
      </c>
      <c r="I235" s="48" t="s">
        <v>101</v>
      </c>
      <c r="J235" s="16" t="s">
        <v>102</v>
      </c>
      <c r="K235" s="16" t="s">
        <v>9</v>
      </c>
      <c r="L235" s="16" t="s">
        <v>24</v>
      </c>
      <c r="M235" s="16"/>
      <c r="N235" s="16" t="s">
        <v>98</v>
      </c>
      <c r="O235" s="19"/>
      <c r="P235" s="19"/>
      <c r="Q235" s="18"/>
    </row>
    <row r="236">
      <c r="A236" s="123"/>
      <c r="B236" s="10" t="s">
        <v>18</v>
      </c>
      <c r="C236" s="108" t="s">
        <v>74</v>
      </c>
      <c r="D236" s="68" t="s">
        <v>173</v>
      </c>
      <c r="E236" s="123">
        <v>42543.0</v>
      </c>
      <c r="F236" s="13" t="str">
        <f t="shared" si="23"/>
        <v>Jun-2016</v>
      </c>
      <c r="G236" s="16" t="s">
        <v>32</v>
      </c>
      <c r="H236" s="17" t="s">
        <v>35</v>
      </c>
      <c r="I236" s="48" t="s">
        <v>101</v>
      </c>
      <c r="J236" s="16" t="s">
        <v>102</v>
      </c>
      <c r="K236" s="16" t="s">
        <v>9</v>
      </c>
      <c r="L236" s="16" t="s">
        <v>30</v>
      </c>
      <c r="M236" s="16"/>
      <c r="N236" s="16" t="s">
        <v>106</v>
      </c>
      <c r="O236" s="19"/>
      <c r="P236" s="19"/>
      <c r="Q236" s="18"/>
    </row>
    <row r="237">
      <c r="A237" s="123"/>
      <c r="B237" s="10" t="s">
        <v>18</v>
      </c>
      <c r="C237" s="108" t="s">
        <v>74</v>
      </c>
      <c r="D237" s="68" t="s">
        <v>173</v>
      </c>
      <c r="E237" s="123">
        <v>42543.0</v>
      </c>
      <c r="F237" s="21" t="str">
        <f t="shared" si="23"/>
        <v>Jun-2016</v>
      </c>
      <c r="G237" s="21" t="s">
        <v>20</v>
      </c>
      <c r="H237" s="91" t="s">
        <v>35</v>
      </c>
      <c r="I237" s="126" t="s">
        <v>177</v>
      </c>
      <c r="J237" s="119" t="s">
        <v>71</v>
      </c>
      <c r="K237" s="119" t="s">
        <v>9</v>
      </c>
      <c r="L237" s="119" t="s">
        <v>24</v>
      </c>
      <c r="M237" s="119" t="s">
        <v>24</v>
      </c>
      <c r="N237" s="119" t="s">
        <v>37</v>
      </c>
      <c r="O237" s="127"/>
      <c r="P237" s="127"/>
      <c r="Q237" s="128"/>
    </row>
    <row r="238">
      <c r="A238" s="123"/>
      <c r="B238" s="10" t="s">
        <v>18</v>
      </c>
      <c r="C238" s="108" t="s">
        <v>74</v>
      </c>
      <c r="D238" s="68" t="s">
        <v>173</v>
      </c>
      <c r="E238" s="123">
        <v>42543.0</v>
      </c>
      <c r="F238" s="21" t="str">
        <f t="shared" si="23"/>
        <v>Jun-2016</v>
      </c>
      <c r="G238" s="91" t="s">
        <v>25</v>
      </c>
      <c r="H238" s="91" t="s">
        <v>35</v>
      </c>
      <c r="I238" s="126" t="s">
        <v>177</v>
      </c>
      <c r="J238" s="119" t="s">
        <v>71</v>
      </c>
      <c r="K238" s="119" t="s">
        <v>9</v>
      </c>
      <c r="L238" s="119" t="s">
        <v>24</v>
      </c>
      <c r="M238" s="119"/>
      <c r="N238" s="119" t="s">
        <v>106</v>
      </c>
      <c r="O238" s="127"/>
      <c r="P238" s="127"/>
      <c r="Q238" s="128"/>
    </row>
    <row r="239">
      <c r="A239" s="123"/>
      <c r="B239" s="10" t="s">
        <v>18</v>
      </c>
      <c r="C239" s="108" t="s">
        <v>74</v>
      </c>
      <c r="D239" s="68" t="s">
        <v>173</v>
      </c>
      <c r="E239" s="123">
        <v>42543.0</v>
      </c>
      <c r="F239" s="13" t="str">
        <f t="shared" si="23"/>
        <v>Jun-2016</v>
      </c>
      <c r="G239" s="13" t="s">
        <v>20</v>
      </c>
      <c r="H239" s="16" t="s">
        <v>129</v>
      </c>
      <c r="I239" s="48" t="s">
        <v>178</v>
      </c>
      <c r="J239" s="16" t="s">
        <v>27</v>
      </c>
      <c r="K239" s="16" t="s">
        <v>9</v>
      </c>
      <c r="L239" s="16" t="s">
        <v>30</v>
      </c>
      <c r="M239" s="16" t="s">
        <v>24</v>
      </c>
      <c r="N239" s="16" t="s">
        <v>98</v>
      </c>
      <c r="O239" s="101"/>
      <c r="P239" s="101"/>
      <c r="Q239" s="102"/>
    </row>
    <row r="240">
      <c r="A240" s="123"/>
      <c r="B240" s="10" t="s">
        <v>18</v>
      </c>
      <c r="C240" s="108" t="s">
        <v>74</v>
      </c>
      <c r="D240" s="68" t="s">
        <v>173</v>
      </c>
      <c r="E240" s="123">
        <v>42543.0</v>
      </c>
      <c r="F240" s="13" t="str">
        <f t="shared" si="23"/>
        <v>Jun-2016</v>
      </c>
      <c r="G240" s="13" t="s">
        <v>25</v>
      </c>
      <c r="H240" s="16" t="s">
        <v>129</v>
      </c>
      <c r="I240" s="48" t="s">
        <v>178</v>
      </c>
      <c r="J240" s="16" t="s">
        <v>27</v>
      </c>
      <c r="K240" s="16" t="s">
        <v>9</v>
      </c>
      <c r="L240" s="16" t="s">
        <v>24</v>
      </c>
      <c r="M240" s="16"/>
      <c r="N240" s="16" t="s">
        <v>37</v>
      </c>
      <c r="O240" s="101"/>
      <c r="P240" s="101"/>
      <c r="Q240" s="102"/>
    </row>
    <row r="241">
      <c r="A241" s="125"/>
      <c r="B241" s="10" t="s">
        <v>18</v>
      </c>
      <c r="C241" s="108" t="s">
        <v>74</v>
      </c>
      <c r="D241" s="68" t="s">
        <v>173</v>
      </c>
      <c r="E241" s="123">
        <v>42543.0</v>
      </c>
      <c r="F241" s="35" t="str">
        <f t="shared" si="23"/>
        <v>Jun-2016</v>
      </c>
      <c r="G241" s="38" t="s">
        <v>32</v>
      </c>
      <c r="H241" s="38" t="s">
        <v>129</v>
      </c>
      <c r="I241" s="122" t="s">
        <v>178</v>
      </c>
      <c r="J241" s="38" t="s">
        <v>27</v>
      </c>
      <c r="K241" s="38" t="s">
        <v>9</v>
      </c>
      <c r="L241" s="38" t="s">
        <v>24</v>
      </c>
      <c r="M241" s="38"/>
      <c r="N241" s="38" t="s">
        <v>106</v>
      </c>
      <c r="O241" s="105"/>
      <c r="P241" s="105"/>
      <c r="Q241" s="106"/>
    </row>
    <row r="242">
      <c r="A242" s="107"/>
      <c r="B242" s="95"/>
      <c r="C242" s="95"/>
      <c r="D242" s="95"/>
      <c r="E242" s="95"/>
      <c r="I242" s="23"/>
    </row>
    <row r="243">
      <c r="A243" s="68" t="s">
        <v>179</v>
      </c>
      <c r="B243" s="10" t="s">
        <v>73</v>
      </c>
      <c r="C243" s="108" t="s">
        <v>74</v>
      </c>
      <c r="D243" s="68" t="s">
        <v>179</v>
      </c>
      <c r="E243" s="123">
        <f t="shared" ref="E243:E249" si="24">$A$246</f>
        <v>42544</v>
      </c>
      <c r="F243" s="110" t="str">
        <f t="shared" ref="F243:F249" si="25">TEXT(E243, "mmm") &amp; "-" &amp; TEXT(E243, "yyyy") </f>
        <v>Jun-2016</v>
      </c>
      <c r="G243" s="110" t="s">
        <v>20</v>
      </c>
      <c r="H243" s="110" t="s">
        <v>35</v>
      </c>
      <c r="I243" s="79" t="s">
        <v>180</v>
      </c>
      <c r="J243" s="47" t="s">
        <v>44</v>
      </c>
      <c r="K243" s="47" t="s">
        <v>9</v>
      </c>
      <c r="L243" s="47" t="s">
        <v>30</v>
      </c>
      <c r="M243" s="47" t="s">
        <v>30</v>
      </c>
      <c r="N243" s="47" t="s">
        <v>29</v>
      </c>
      <c r="O243" s="111"/>
      <c r="P243" s="111"/>
      <c r="Q243" s="112"/>
    </row>
    <row r="244">
      <c r="A244" s="10" t="s">
        <v>73</v>
      </c>
      <c r="B244" s="10" t="s">
        <v>73</v>
      </c>
      <c r="C244" s="108" t="s">
        <v>74</v>
      </c>
      <c r="D244" s="68" t="s">
        <v>179</v>
      </c>
      <c r="E244" s="123">
        <f t="shared" si="24"/>
        <v>42544</v>
      </c>
      <c r="F244" s="13" t="str">
        <f t="shared" si="25"/>
        <v>Jun-2016</v>
      </c>
      <c r="G244" s="13" t="s">
        <v>25</v>
      </c>
      <c r="H244" s="13" t="s">
        <v>35</v>
      </c>
      <c r="I244" s="48" t="s">
        <v>180</v>
      </c>
      <c r="J244" s="16" t="s">
        <v>44</v>
      </c>
      <c r="K244" s="16" t="s">
        <v>9</v>
      </c>
      <c r="L244" s="16" t="s">
        <v>30</v>
      </c>
      <c r="M244" s="16"/>
      <c r="N244" s="16" t="s">
        <v>98</v>
      </c>
      <c r="O244" s="17"/>
      <c r="P244" s="17"/>
      <c r="Q244" s="49"/>
    </row>
    <row r="245">
      <c r="A245" s="10" t="s">
        <v>76</v>
      </c>
      <c r="B245" s="10" t="s">
        <v>73</v>
      </c>
      <c r="C245" s="108" t="s">
        <v>74</v>
      </c>
      <c r="D245" s="68" t="s">
        <v>179</v>
      </c>
      <c r="E245" s="123">
        <f t="shared" si="24"/>
        <v>42544</v>
      </c>
      <c r="F245" s="21" t="str">
        <f t="shared" si="25"/>
        <v>Jun-2016</v>
      </c>
      <c r="G245" s="21" t="s">
        <v>20</v>
      </c>
      <c r="H245" s="21" t="s">
        <v>35</v>
      </c>
      <c r="I245" s="126" t="s">
        <v>181</v>
      </c>
      <c r="J245" s="119" t="s">
        <v>27</v>
      </c>
      <c r="K245" s="119" t="s">
        <v>9</v>
      </c>
      <c r="L245" s="119" t="s">
        <v>24</v>
      </c>
      <c r="M245" s="119" t="s">
        <v>24</v>
      </c>
      <c r="N245" s="119" t="s">
        <v>29</v>
      </c>
      <c r="O245" s="127"/>
      <c r="P245" s="127"/>
      <c r="Q245" s="128"/>
    </row>
    <row r="246">
      <c r="A246" s="123">
        <v>42544.0</v>
      </c>
      <c r="B246" s="10" t="s">
        <v>73</v>
      </c>
      <c r="C246" s="108" t="s">
        <v>74</v>
      </c>
      <c r="D246" s="68" t="s">
        <v>179</v>
      </c>
      <c r="E246" s="123">
        <f t="shared" si="24"/>
        <v>42544</v>
      </c>
      <c r="F246" s="21" t="str">
        <f t="shared" si="25"/>
        <v>Jun-2016</v>
      </c>
      <c r="G246" s="91" t="s">
        <v>25</v>
      </c>
      <c r="H246" s="21" t="s">
        <v>35</v>
      </c>
      <c r="I246" s="126" t="s">
        <v>181</v>
      </c>
      <c r="J246" s="119" t="s">
        <v>44</v>
      </c>
      <c r="K246" s="119" t="s">
        <v>9</v>
      </c>
      <c r="L246" s="119" t="s">
        <v>24</v>
      </c>
      <c r="M246" s="119"/>
      <c r="N246" s="119" t="s">
        <v>98</v>
      </c>
      <c r="O246" s="32"/>
      <c r="P246" s="32"/>
      <c r="Q246" s="27"/>
    </row>
    <row r="247">
      <c r="A247" s="108" t="s">
        <v>74</v>
      </c>
      <c r="B247" s="10" t="s">
        <v>73</v>
      </c>
      <c r="C247" s="108" t="s">
        <v>74</v>
      </c>
      <c r="D247" s="68" t="s">
        <v>179</v>
      </c>
      <c r="E247" s="123">
        <f t="shared" si="24"/>
        <v>42544</v>
      </c>
      <c r="F247" s="13" t="str">
        <f t="shared" si="25"/>
        <v>Jun-2016</v>
      </c>
      <c r="G247" s="13" t="s">
        <v>20</v>
      </c>
      <c r="H247" s="13" t="s">
        <v>35</v>
      </c>
      <c r="I247" s="48" t="s">
        <v>103</v>
      </c>
      <c r="J247" s="16" t="s">
        <v>182</v>
      </c>
      <c r="K247" s="16" t="s">
        <v>9</v>
      </c>
      <c r="L247" s="16" t="s">
        <v>30</v>
      </c>
      <c r="M247" s="16" t="s">
        <v>24</v>
      </c>
      <c r="N247" s="16" t="s">
        <v>98</v>
      </c>
      <c r="O247" s="19"/>
      <c r="P247" s="19"/>
      <c r="Q247" s="18"/>
    </row>
    <row r="248">
      <c r="A248" s="123"/>
      <c r="B248" s="10" t="s">
        <v>73</v>
      </c>
      <c r="C248" s="108" t="s">
        <v>74</v>
      </c>
      <c r="D248" s="68" t="s">
        <v>179</v>
      </c>
      <c r="E248" s="123">
        <f t="shared" si="24"/>
        <v>42544</v>
      </c>
      <c r="F248" s="13" t="str">
        <f t="shared" si="25"/>
        <v>Jun-2016</v>
      </c>
      <c r="G248" s="13" t="s">
        <v>25</v>
      </c>
      <c r="H248" s="13" t="s">
        <v>35</v>
      </c>
      <c r="I248" s="48" t="s">
        <v>103</v>
      </c>
      <c r="J248" s="16" t="s">
        <v>71</v>
      </c>
      <c r="K248" s="16" t="s">
        <v>9</v>
      </c>
      <c r="L248" s="16" t="s">
        <v>24</v>
      </c>
      <c r="M248" s="16"/>
      <c r="N248" s="16" t="s">
        <v>37</v>
      </c>
      <c r="O248" s="19"/>
      <c r="P248" s="19"/>
      <c r="Q248" s="18"/>
    </row>
    <row r="249">
      <c r="A249" s="123"/>
      <c r="B249" s="10" t="s">
        <v>73</v>
      </c>
      <c r="C249" s="108" t="s">
        <v>74</v>
      </c>
      <c r="D249" s="68" t="s">
        <v>179</v>
      </c>
      <c r="E249" s="123">
        <f t="shared" si="24"/>
        <v>42544</v>
      </c>
      <c r="F249" s="35" t="str">
        <f t="shared" si="25"/>
        <v>Jun-2016</v>
      </c>
      <c r="G249" s="38" t="s">
        <v>32</v>
      </c>
      <c r="H249" s="38" t="s">
        <v>35</v>
      </c>
      <c r="I249" s="122" t="s">
        <v>103</v>
      </c>
      <c r="J249" s="38" t="s">
        <v>71</v>
      </c>
      <c r="K249" s="38" t="s">
        <v>9</v>
      </c>
      <c r="L249" s="38" t="s">
        <v>24</v>
      </c>
      <c r="M249" s="38"/>
      <c r="N249" s="38" t="s">
        <v>69</v>
      </c>
      <c r="O249" s="39"/>
      <c r="P249" s="39"/>
      <c r="Q249" s="40"/>
    </row>
    <row r="250">
      <c r="A250" s="107"/>
      <c r="B250" s="95"/>
      <c r="C250" s="95"/>
      <c r="D250" s="95"/>
      <c r="E250" s="95"/>
      <c r="I250" s="23"/>
    </row>
    <row r="251">
      <c r="A251" s="68" t="s">
        <v>183</v>
      </c>
      <c r="B251" s="10" t="s">
        <v>18</v>
      </c>
      <c r="C251" s="108" t="s">
        <v>74</v>
      </c>
      <c r="D251" s="68" t="s">
        <v>183</v>
      </c>
      <c r="E251" s="123">
        <v>42550.0</v>
      </c>
      <c r="F251" s="110" t="str">
        <f t="shared" ref="F251:F258" si="26">TEXT(E251, "mmm") &amp; "-" &amp; TEXT(E251, "yyyy") </f>
        <v>Jun-2016</v>
      </c>
      <c r="G251" s="110" t="s">
        <v>20</v>
      </c>
      <c r="H251" s="111" t="s">
        <v>35</v>
      </c>
      <c r="I251" s="79" t="s">
        <v>184</v>
      </c>
      <c r="J251" s="47" t="s">
        <v>9</v>
      </c>
      <c r="K251" s="47" t="s">
        <v>9</v>
      </c>
      <c r="L251" s="47" t="s">
        <v>24</v>
      </c>
      <c r="M251" s="47" t="s">
        <v>24</v>
      </c>
      <c r="N251" s="47" t="s">
        <v>98</v>
      </c>
      <c r="O251" s="111"/>
      <c r="P251" s="111"/>
      <c r="Q251" s="112"/>
    </row>
    <row r="252">
      <c r="A252" s="10" t="s">
        <v>18</v>
      </c>
      <c r="B252" s="10" t="s">
        <v>18</v>
      </c>
      <c r="C252" s="108" t="s">
        <v>74</v>
      </c>
      <c r="D252" s="68" t="s">
        <v>183</v>
      </c>
      <c r="E252" s="123">
        <v>42550.0</v>
      </c>
      <c r="F252" s="13" t="str">
        <f t="shared" si="26"/>
        <v>Jun-2016</v>
      </c>
      <c r="G252" s="13" t="s">
        <v>25</v>
      </c>
      <c r="H252" s="17" t="s">
        <v>35</v>
      </c>
      <c r="I252" s="48" t="s">
        <v>184</v>
      </c>
      <c r="J252" s="16" t="s">
        <v>44</v>
      </c>
      <c r="K252" s="16" t="s">
        <v>9</v>
      </c>
      <c r="L252" s="16" t="s">
        <v>24</v>
      </c>
      <c r="M252" s="16"/>
      <c r="N252" s="16" t="s">
        <v>29</v>
      </c>
      <c r="O252" s="17"/>
      <c r="P252" s="17"/>
      <c r="Q252" s="49"/>
    </row>
    <row r="253">
      <c r="A253" s="10" t="s">
        <v>26</v>
      </c>
      <c r="B253" s="10" t="s">
        <v>18</v>
      </c>
      <c r="C253" s="108" t="s">
        <v>74</v>
      </c>
      <c r="D253" s="68" t="s">
        <v>183</v>
      </c>
      <c r="E253" s="123">
        <v>42550.0</v>
      </c>
      <c r="F253" s="22" t="str">
        <f t="shared" si="26"/>
        <v>Jun-2016</v>
      </c>
      <c r="G253" s="22" t="s">
        <v>20</v>
      </c>
      <c r="H253" s="26" t="s">
        <v>35</v>
      </c>
      <c r="I253" s="80" t="s">
        <v>185</v>
      </c>
      <c r="J253" s="25" t="s">
        <v>138</v>
      </c>
      <c r="K253" s="25" t="s">
        <v>9</v>
      </c>
      <c r="L253" s="25" t="s">
        <v>24</v>
      </c>
      <c r="M253" s="25" t="s">
        <v>24</v>
      </c>
      <c r="N253" s="25" t="s">
        <v>29</v>
      </c>
      <c r="O253" s="32"/>
      <c r="P253" s="32"/>
      <c r="Q253" s="27"/>
    </row>
    <row r="254">
      <c r="A254" s="123">
        <v>42550.0</v>
      </c>
      <c r="B254" s="10" t="s">
        <v>18</v>
      </c>
      <c r="C254" s="108" t="s">
        <v>74</v>
      </c>
      <c r="D254" s="68" t="s">
        <v>183</v>
      </c>
      <c r="E254" s="123">
        <v>42550.0</v>
      </c>
      <c r="F254" s="22" t="str">
        <f t="shared" si="26"/>
        <v>Jun-2016</v>
      </c>
      <c r="G254" s="26" t="s">
        <v>25</v>
      </c>
      <c r="H254" s="26" t="s">
        <v>35</v>
      </c>
      <c r="I254" s="80" t="s">
        <v>185</v>
      </c>
      <c r="J254" s="25" t="s">
        <v>138</v>
      </c>
      <c r="K254" s="25" t="s">
        <v>9</v>
      </c>
      <c r="L254" s="25" t="s">
        <v>24</v>
      </c>
      <c r="M254" s="25"/>
      <c r="N254" s="25" t="s">
        <v>106</v>
      </c>
      <c r="O254" s="32"/>
      <c r="P254" s="32"/>
      <c r="Q254" s="27"/>
    </row>
    <row r="255">
      <c r="A255" s="108" t="s">
        <v>74</v>
      </c>
      <c r="B255" s="10" t="s">
        <v>18</v>
      </c>
      <c r="C255" s="108" t="s">
        <v>74</v>
      </c>
      <c r="D255" s="68" t="s">
        <v>183</v>
      </c>
      <c r="E255" s="123">
        <v>42550.0</v>
      </c>
      <c r="F255" s="13" t="str">
        <f t="shared" si="26"/>
        <v>Jun-2016</v>
      </c>
      <c r="G255" s="13" t="s">
        <v>20</v>
      </c>
      <c r="H255" s="17" t="s">
        <v>129</v>
      </c>
      <c r="I255" s="48" t="s">
        <v>186</v>
      </c>
      <c r="J255" s="16" t="s">
        <v>102</v>
      </c>
      <c r="K255" s="16" t="s">
        <v>9</v>
      </c>
      <c r="L255" s="16" t="s">
        <v>30</v>
      </c>
      <c r="M255" s="16" t="s">
        <v>30</v>
      </c>
      <c r="N255" s="16" t="s">
        <v>69</v>
      </c>
      <c r="O255" s="19"/>
      <c r="P255" s="19"/>
      <c r="Q255" s="18"/>
    </row>
    <row r="256">
      <c r="A256" s="108"/>
      <c r="B256" s="10" t="s">
        <v>18</v>
      </c>
      <c r="C256" s="108" t="s">
        <v>74</v>
      </c>
      <c r="D256" s="68" t="s">
        <v>183</v>
      </c>
      <c r="E256" s="123">
        <v>42550.0</v>
      </c>
      <c r="F256" s="13" t="str">
        <f t="shared" si="26"/>
        <v>Jun-2016</v>
      </c>
      <c r="G256" s="13" t="s">
        <v>25</v>
      </c>
      <c r="H256" s="17" t="s">
        <v>129</v>
      </c>
      <c r="I256" s="48" t="s">
        <v>186</v>
      </c>
      <c r="J256" s="16" t="s">
        <v>102</v>
      </c>
      <c r="K256" s="16" t="s">
        <v>9</v>
      </c>
      <c r="L256" s="16" t="s">
        <v>30</v>
      </c>
      <c r="M256" s="16"/>
      <c r="N256" s="16" t="s">
        <v>98</v>
      </c>
      <c r="O256" s="19"/>
      <c r="P256" s="19"/>
      <c r="Q256" s="18"/>
    </row>
    <row r="257">
      <c r="A257" s="123"/>
      <c r="B257" s="10" t="s">
        <v>18</v>
      </c>
      <c r="C257" s="108" t="s">
        <v>74</v>
      </c>
      <c r="D257" s="68" t="s">
        <v>183</v>
      </c>
      <c r="E257" s="123">
        <v>42550.0</v>
      </c>
      <c r="F257" s="21" t="str">
        <f t="shared" si="26"/>
        <v>Jun-2016</v>
      </c>
      <c r="G257" s="21" t="s">
        <v>20</v>
      </c>
      <c r="H257" s="25" t="s">
        <v>129</v>
      </c>
      <c r="I257" s="126" t="s">
        <v>187</v>
      </c>
      <c r="J257" s="119" t="s">
        <v>71</v>
      </c>
      <c r="K257" s="119" t="s">
        <v>9</v>
      </c>
      <c r="L257" s="119" t="s">
        <v>24</v>
      </c>
      <c r="M257" s="119" t="s">
        <v>24</v>
      </c>
      <c r="N257" s="119" t="s">
        <v>37</v>
      </c>
      <c r="O257" s="127"/>
      <c r="P257" s="127"/>
      <c r="Q257" s="128"/>
    </row>
    <row r="258">
      <c r="A258" s="125"/>
      <c r="B258" s="10" t="s">
        <v>18</v>
      </c>
      <c r="C258" s="108" t="s">
        <v>74</v>
      </c>
      <c r="D258" s="68" t="s">
        <v>183</v>
      </c>
      <c r="E258" s="125">
        <v>42550.0</v>
      </c>
      <c r="F258" s="51" t="str">
        <f t="shared" si="26"/>
        <v>Jun-2016</v>
      </c>
      <c r="G258" s="129" t="s">
        <v>25</v>
      </c>
      <c r="H258" s="55" t="s">
        <v>129</v>
      </c>
      <c r="I258" s="130" t="s">
        <v>187</v>
      </c>
      <c r="J258" s="114" t="s">
        <v>71</v>
      </c>
      <c r="K258" s="114" t="s">
        <v>27</v>
      </c>
      <c r="L258" s="114" t="s">
        <v>24</v>
      </c>
      <c r="M258" s="114"/>
      <c r="N258" s="114" t="s">
        <v>69</v>
      </c>
      <c r="O258" s="131"/>
      <c r="P258" s="131"/>
      <c r="Q258" s="132"/>
    </row>
    <row r="259">
      <c r="A259" s="107"/>
      <c r="B259" s="95"/>
      <c r="C259" s="95"/>
      <c r="D259" s="95"/>
      <c r="E259" s="95"/>
      <c r="I259" s="23"/>
    </row>
    <row r="260">
      <c r="A260" s="83" t="s">
        <v>188</v>
      </c>
      <c r="B260" s="10" t="s">
        <v>73</v>
      </c>
      <c r="C260" s="11" t="s">
        <v>74</v>
      </c>
      <c r="D260" s="83" t="s">
        <v>188</v>
      </c>
      <c r="E260" s="90">
        <v>42551.0</v>
      </c>
      <c r="F260" s="110" t="str">
        <f t="shared" ref="F260:F267" si="27">TEXT(E260, "mmm") &amp; "-" &amp; TEXT(E260, "yyyy") </f>
        <v>Jun-2016</v>
      </c>
      <c r="G260" s="110" t="s">
        <v>20</v>
      </c>
      <c r="H260" s="110" t="s">
        <v>35</v>
      </c>
      <c r="I260" s="79" t="s">
        <v>189</v>
      </c>
      <c r="J260" s="47" t="s">
        <v>23</v>
      </c>
      <c r="K260" s="47" t="s">
        <v>9</v>
      </c>
      <c r="L260" s="47" t="s">
        <v>30</v>
      </c>
      <c r="M260" s="111" t="s">
        <v>30</v>
      </c>
      <c r="N260" s="111" t="s">
        <v>98</v>
      </c>
      <c r="O260" s="110"/>
      <c r="P260" s="110"/>
      <c r="Q260" s="146"/>
    </row>
    <row r="261">
      <c r="A261" s="10" t="s">
        <v>73</v>
      </c>
      <c r="B261" s="10" t="s">
        <v>73</v>
      </c>
      <c r="C261" s="11" t="s">
        <v>74</v>
      </c>
      <c r="D261" s="83" t="s">
        <v>188</v>
      </c>
      <c r="E261" s="90">
        <v>42551.0</v>
      </c>
      <c r="F261" s="13" t="str">
        <f t="shared" si="27"/>
        <v>Jun-2016</v>
      </c>
      <c r="G261" s="13" t="s">
        <v>25</v>
      </c>
      <c r="H261" s="13" t="s">
        <v>35</v>
      </c>
      <c r="I261" s="48" t="s">
        <v>189</v>
      </c>
      <c r="J261" s="16" t="s">
        <v>23</v>
      </c>
      <c r="K261" s="16" t="s">
        <v>9</v>
      </c>
      <c r="L261" s="16" t="s">
        <v>30</v>
      </c>
      <c r="M261" s="17"/>
      <c r="N261" s="17" t="s">
        <v>37</v>
      </c>
      <c r="O261" s="17"/>
      <c r="P261" s="17"/>
      <c r="Q261" s="49"/>
    </row>
    <row r="262">
      <c r="A262" s="10" t="s">
        <v>76</v>
      </c>
      <c r="B262" s="10" t="s">
        <v>73</v>
      </c>
      <c r="C262" s="11" t="s">
        <v>74</v>
      </c>
      <c r="D262" s="83" t="s">
        <v>188</v>
      </c>
      <c r="E262" s="90">
        <v>42551.0</v>
      </c>
      <c r="F262" s="21" t="str">
        <f t="shared" si="27"/>
        <v>Jun-2016</v>
      </c>
      <c r="G262" s="21" t="s">
        <v>20</v>
      </c>
      <c r="H262" s="21" t="s">
        <v>35</v>
      </c>
      <c r="I262" s="126" t="s">
        <v>190</v>
      </c>
      <c r="J262" s="119" t="s">
        <v>9</v>
      </c>
      <c r="K262" s="119" t="s">
        <v>9</v>
      </c>
      <c r="L262" s="119" t="s">
        <v>24</v>
      </c>
      <c r="M262" s="91" t="s">
        <v>24</v>
      </c>
      <c r="N262" s="91" t="s">
        <v>98</v>
      </c>
      <c r="O262" s="21"/>
      <c r="P262" s="21"/>
      <c r="Q262" s="147"/>
    </row>
    <row r="263">
      <c r="A263" s="90">
        <v>42551.0</v>
      </c>
      <c r="B263" s="10" t="s">
        <v>73</v>
      </c>
      <c r="C263" s="11" t="s">
        <v>74</v>
      </c>
      <c r="D263" s="83" t="s">
        <v>188</v>
      </c>
      <c r="E263" s="90">
        <v>42551.0</v>
      </c>
      <c r="F263" s="21" t="str">
        <f t="shared" si="27"/>
        <v>Jun-2016</v>
      </c>
      <c r="G263" s="21" t="s">
        <v>25</v>
      </c>
      <c r="H263" s="21" t="s">
        <v>35</v>
      </c>
      <c r="I263" s="126" t="s">
        <v>190</v>
      </c>
      <c r="J263" s="119" t="s">
        <v>9</v>
      </c>
      <c r="K263" s="119" t="s">
        <v>9</v>
      </c>
      <c r="L263" s="119" t="s">
        <v>24</v>
      </c>
      <c r="M263" s="91"/>
      <c r="N263" s="91" t="s">
        <v>106</v>
      </c>
      <c r="O263" s="21"/>
      <c r="P263" s="21"/>
      <c r="Q263" s="147"/>
    </row>
    <row r="264">
      <c r="A264" s="11" t="s">
        <v>74</v>
      </c>
      <c r="B264" s="10" t="s">
        <v>73</v>
      </c>
      <c r="C264" s="11" t="s">
        <v>74</v>
      </c>
      <c r="D264" s="83" t="s">
        <v>188</v>
      </c>
      <c r="E264" s="90">
        <v>42551.0</v>
      </c>
      <c r="F264" s="13" t="str">
        <f t="shared" si="27"/>
        <v>Jun-2016</v>
      </c>
      <c r="G264" s="13" t="s">
        <v>20</v>
      </c>
      <c r="H264" s="13" t="s">
        <v>35</v>
      </c>
      <c r="I264" s="48" t="s">
        <v>191</v>
      </c>
      <c r="J264" s="16" t="s">
        <v>86</v>
      </c>
      <c r="K264" s="16" t="s">
        <v>9</v>
      </c>
      <c r="L264" s="16" t="s">
        <v>30</v>
      </c>
      <c r="M264" s="17" t="s">
        <v>30</v>
      </c>
      <c r="N264" s="17" t="s">
        <v>29</v>
      </c>
      <c r="O264" s="13"/>
      <c r="P264" s="13"/>
      <c r="Q264" s="57"/>
    </row>
    <row r="265">
      <c r="A265" s="31"/>
      <c r="B265" s="10" t="s">
        <v>73</v>
      </c>
      <c r="C265" s="11" t="s">
        <v>74</v>
      </c>
      <c r="D265" s="83" t="s">
        <v>188</v>
      </c>
      <c r="E265" s="90">
        <v>42551.0</v>
      </c>
      <c r="F265" s="13" t="str">
        <f t="shared" si="27"/>
        <v>Jun-2016</v>
      </c>
      <c r="G265" s="13" t="s">
        <v>25</v>
      </c>
      <c r="H265" s="13" t="s">
        <v>35</v>
      </c>
      <c r="I265" s="48" t="s">
        <v>191</v>
      </c>
      <c r="J265" s="16" t="s">
        <v>86</v>
      </c>
      <c r="K265" s="16" t="s">
        <v>9</v>
      </c>
      <c r="L265" s="16" t="s">
        <v>30</v>
      </c>
      <c r="M265" s="17"/>
      <c r="N265" s="17" t="s">
        <v>37</v>
      </c>
      <c r="O265" s="17"/>
      <c r="P265" s="17"/>
      <c r="Q265" s="49"/>
    </row>
    <row r="266">
      <c r="A266" s="31"/>
      <c r="B266" s="10" t="s">
        <v>73</v>
      </c>
      <c r="C266" s="11" t="s">
        <v>74</v>
      </c>
      <c r="D266" s="83" t="s">
        <v>188</v>
      </c>
      <c r="E266" s="90">
        <v>42551.0</v>
      </c>
      <c r="F266" s="21" t="str">
        <f t="shared" si="27"/>
        <v>Jun-2016</v>
      </c>
      <c r="G266" s="21" t="s">
        <v>20</v>
      </c>
      <c r="H266" s="21" t="s">
        <v>35</v>
      </c>
      <c r="I266" s="126" t="s">
        <v>114</v>
      </c>
      <c r="J266" s="119" t="s">
        <v>9</v>
      </c>
      <c r="K266" s="119" t="s">
        <v>9</v>
      </c>
      <c r="L266" s="119" t="s">
        <v>24</v>
      </c>
      <c r="M266" s="91" t="s">
        <v>24</v>
      </c>
      <c r="N266" s="91" t="s">
        <v>98</v>
      </c>
      <c r="O266" s="21"/>
      <c r="P266" s="21"/>
      <c r="Q266" s="147"/>
    </row>
    <row r="267">
      <c r="A267" s="148"/>
      <c r="B267" s="10" t="s">
        <v>73</v>
      </c>
      <c r="C267" s="11" t="s">
        <v>74</v>
      </c>
      <c r="D267" s="83" t="s">
        <v>188</v>
      </c>
      <c r="E267" s="149">
        <v>42551.0</v>
      </c>
      <c r="F267" s="51" t="str">
        <f t="shared" si="27"/>
        <v>Jun-2016</v>
      </c>
      <c r="G267" s="51" t="s">
        <v>25</v>
      </c>
      <c r="H267" s="51" t="s">
        <v>35</v>
      </c>
      <c r="I267" s="130" t="s">
        <v>114</v>
      </c>
      <c r="J267" s="114" t="s">
        <v>9</v>
      </c>
      <c r="K267" s="114" t="s">
        <v>9</v>
      </c>
      <c r="L267" s="114" t="s">
        <v>24</v>
      </c>
      <c r="M267" s="129"/>
      <c r="N267" s="129" t="s">
        <v>37</v>
      </c>
      <c r="O267" s="129"/>
      <c r="P267" s="129"/>
      <c r="Q267" s="150"/>
    </row>
    <row r="268">
      <c r="A268" s="107"/>
      <c r="B268" s="95"/>
      <c r="C268" s="95"/>
      <c r="D268" s="95"/>
      <c r="E268" s="95"/>
      <c r="I268" s="23"/>
    </row>
    <row r="269">
      <c r="A269" s="83" t="s">
        <v>192</v>
      </c>
      <c r="B269" s="134" t="s">
        <v>151</v>
      </c>
      <c r="C269" s="11" t="s">
        <v>74</v>
      </c>
      <c r="D269" s="83" t="s">
        <v>192</v>
      </c>
      <c r="E269" s="90">
        <v>42552.0</v>
      </c>
      <c r="F269" s="110" t="str">
        <f t="shared" ref="F269:F277" si="28">TEXT(E269, "mmm") &amp; "-" &amp; TEXT(E269, "yyyy") </f>
        <v>Jul-2016</v>
      </c>
      <c r="G269" s="110" t="s">
        <v>20</v>
      </c>
      <c r="H269" s="110" t="s">
        <v>35</v>
      </c>
      <c r="I269" s="79" t="s">
        <v>193</v>
      </c>
      <c r="J269" s="47" t="s">
        <v>44</v>
      </c>
      <c r="K269" s="47" t="s">
        <v>9</v>
      </c>
      <c r="L269" s="47" t="s">
        <v>30</v>
      </c>
      <c r="M269" s="111" t="s">
        <v>30</v>
      </c>
      <c r="N269" s="111" t="s">
        <v>98</v>
      </c>
      <c r="O269" s="110"/>
      <c r="P269" s="110"/>
      <c r="Q269" s="146"/>
    </row>
    <row r="270">
      <c r="A270" s="134" t="s">
        <v>151</v>
      </c>
      <c r="B270" s="134" t="s">
        <v>151</v>
      </c>
      <c r="C270" s="11" t="s">
        <v>74</v>
      </c>
      <c r="D270" s="83" t="s">
        <v>192</v>
      </c>
      <c r="E270" s="90">
        <v>42552.0</v>
      </c>
      <c r="F270" s="13" t="str">
        <f t="shared" si="28"/>
        <v>Jul-2016</v>
      </c>
      <c r="G270" s="13" t="s">
        <v>25</v>
      </c>
      <c r="H270" s="13" t="s">
        <v>35</v>
      </c>
      <c r="I270" s="48" t="s">
        <v>193</v>
      </c>
      <c r="J270" s="16" t="s">
        <v>23</v>
      </c>
      <c r="K270" s="16" t="s">
        <v>9</v>
      </c>
      <c r="L270" s="16" t="s">
        <v>24</v>
      </c>
      <c r="M270" s="17"/>
      <c r="N270" s="17" t="s">
        <v>99</v>
      </c>
      <c r="O270" s="17"/>
      <c r="P270" s="17"/>
      <c r="Q270" s="49"/>
    </row>
    <row r="271">
      <c r="A271" s="10"/>
      <c r="B271" s="134" t="s">
        <v>151</v>
      </c>
      <c r="C271" s="11" t="s">
        <v>74</v>
      </c>
      <c r="D271" s="83" t="s">
        <v>192</v>
      </c>
      <c r="E271" s="90">
        <v>42552.0</v>
      </c>
      <c r="F271" s="13" t="str">
        <f t="shared" si="28"/>
        <v>Jul-2016</v>
      </c>
      <c r="G271" s="17" t="s">
        <v>32</v>
      </c>
      <c r="H271" s="13" t="s">
        <v>35</v>
      </c>
      <c r="I271" s="48" t="s">
        <v>193</v>
      </c>
      <c r="J271" s="16" t="s">
        <v>23</v>
      </c>
      <c r="K271" s="16" t="s">
        <v>9</v>
      </c>
      <c r="L271" s="16" t="s">
        <v>30</v>
      </c>
      <c r="M271" s="17"/>
      <c r="N271" s="17" t="s">
        <v>106</v>
      </c>
      <c r="O271" s="13"/>
      <c r="P271" s="13"/>
      <c r="Q271" s="57"/>
    </row>
    <row r="272">
      <c r="A272" s="10"/>
      <c r="B272" s="134" t="s">
        <v>151</v>
      </c>
      <c r="C272" s="11" t="s">
        <v>74</v>
      </c>
      <c r="D272" s="83" t="s">
        <v>192</v>
      </c>
      <c r="E272" s="90">
        <v>42552.0</v>
      </c>
      <c r="F272" s="21" t="str">
        <f t="shared" si="28"/>
        <v>Jul-2016</v>
      </c>
      <c r="G272" s="21" t="s">
        <v>20</v>
      </c>
      <c r="H272" s="21" t="s">
        <v>35</v>
      </c>
      <c r="I272" s="126" t="s">
        <v>194</v>
      </c>
      <c r="J272" s="119" t="s">
        <v>23</v>
      </c>
      <c r="K272" s="119" t="s">
        <v>9</v>
      </c>
      <c r="L272" s="119" t="s">
        <v>24</v>
      </c>
      <c r="M272" s="91" t="s">
        <v>24</v>
      </c>
      <c r="N272" s="91" t="s">
        <v>98</v>
      </c>
      <c r="O272" s="21"/>
      <c r="P272" s="21"/>
      <c r="Q272" s="147"/>
    </row>
    <row r="273">
      <c r="A273" s="90">
        <v>42552.0</v>
      </c>
      <c r="B273" s="134" t="s">
        <v>151</v>
      </c>
      <c r="C273" s="11" t="s">
        <v>74</v>
      </c>
      <c r="D273" s="83" t="s">
        <v>192</v>
      </c>
      <c r="E273" s="90">
        <v>42552.0</v>
      </c>
      <c r="F273" s="21" t="str">
        <f t="shared" si="28"/>
        <v>Jul-2016</v>
      </c>
      <c r="G273" s="21" t="s">
        <v>25</v>
      </c>
      <c r="H273" s="21" t="s">
        <v>35</v>
      </c>
      <c r="I273" s="126" t="s">
        <v>194</v>
      </c>
      <c r="J273" s="119" t="s">
        <v>23</v>
      </c>
      <c r="K273" s="119" t="s">
        <v>9</v>
      </c>
      <c r="L273" s="119" t="s">
        <v>24</v>
      </c>
      <c r="M273" s="91"/>
      <c r="N273" s="91" t="s">
        <v>29</v>
      </c>
      <c r="O273" s="21"/>
      <c r="P273" s="21"/>
      <c r="Q273" s="147"/>
    </row>
    <row r="274">
      <c r="A274" s="11" t="s">
        <v>74</v>
      </c>
      <c r="B274" s="134" t="s">
        <v>151</v>
      </c>
      <c r="C274" s="11" t="s">
        <v>74</v>
      </c>
      <c r="D274" s="83" t="s">
        <v>192</v>
      </c>
      <c r="E274" s="90">
        <v>42552.0</v>
      </c>
      <c r="F274" s="13" t="str">
        <f t="shared" si="28"/>
        <v>Jul-2016</v>
      </c>
      <c r="G274" s="13" t="s">
        <v>20</v>
      </c>
      <c r="H274" s="13" t="s">
        <v>35</v>
      </c>
      <c r="I274" s="48" t="s">
        <v>195</v>
      </c>
      <c r="J274" s="16" t="s">
        <v>23</v>
      </c>
      <c r="K274" s="16" t="s">
        <v>9</v>
      </c>
      <c r="L274" s="16" t="s">
        <v>30</v>
      </c>
      <c r="M274" s="17" t="s">
        <v>30</v>
      </c>
      <c r="N274" s="17" t="s">
        <v>37</v>
      </c>
      <c r="O274" s="13"/>
      <c r="P274" s="13"/>
      <c r="Q274" s="57"/>
    </row>
    <row r="275">
      <c r="A275" s="31"/>
      <c r="B275" s="134" t="s">
        <v>151</v>
      </c>
      <c r="C275" s="11" t="s">
        <v>74</v>
      </c>
      <c r="D275" s="83" t="s">
        <v>192</v>
      </c>
      <c r="E275" s="90">
        <v>42552.0</v>
      </c>
      <c r="F275" s="13" t="str">
        <f t="shared" si="28"/>
        <v>Jul-2016</v>
      </c>
      <c r="G275" s="13" t="s">
        <v>25</v>
      </c>
      <c r="H275" s="13" t="s">
        <v>35</v>
      </c>
      <c r="I275" s="48" t="s">
        <v>195</v>
      </c>
      <c r="J275" s="16" t="s">
        <v>23</v>
      </c>
      <c r="K275" s="16" t="s">
        <v>9</v>
      </c>
      <c r="L275" s="16" t="s">
        <v>30</v>
      </c>
      <c r="M275" s="17"/>
      <c r="N275" s="17" t="s">
        <v>37</v>
      </c>
      <c r="O275" s="17"/>
      <c r="P275" s="17"/>
      <c r="Q275" s="49"/>
    </row>
    <row r="276">
      <c r="A276" s="31"/>
      <c r="B276" s="134" t="s">
        <v>151</v>
      </c>
      <c r="C276" s="11" t="s">
        <v>74</v>
      </c>
      <c r="D276" s="83" t="s">
        <v>192</v>
      </c>
      <c r="E276" s="90">
        <v>42552.0</v>
      </c>
      <c r="F276" s="21" t="str">
        <f t="shared" si="28"/>
        <v>Jul-2016</v>
      </c>
      <c r="G276" s="21" t="s">
        <v>20</v>
      </c>
      <c r="H276" s="21" t="s">
        <v>35</v>
      </c>
      <c r="I276" s="126" t="s">
        <v>172</v>
      </c>
      <c r="J276" s="119" t="s">
        <v>48</v>
      </c>
      <c r="K276" s="119" t="s">
        <v>9</v>
      </c>
      <c r="L276" s="119" t="s">
        <v>24</v>
      </c>
      <c r="M276" s="91" t="s">
        <v>24</v>
      </c>
      <c r="N276" s="91" t="s">
        <v>98</v>
      </c>
      <c r="O276" s="21"/>
      <c r="P276" s="21"/>
      <c r="Q276" s="147"/>
    </row>
    <row r="277">
      <c r="A277" s="33"/>
      <c r="B277" s="134" t="s">
        <v>151</v>
      </c>
      <c r="C277" s="11" t="s">
        <v>74</v>
      </c>
      <c r="D277" s="83" t="s">
        <v>192</v>
      </c>
      <c r="E277" s="90">
        <v>42552.0</v>
      </c>
      <c r="F277" s="51" t="str">
        <f t="shared" si="28"/>
        <v>Jul-2016</v>
      </c>
      <c r="G277" s="51" t="s">
        <v>25</v>
      </c>
      <c r="H277" s="51" t="s">
        <v>35</v>
      </c>
      <c r="I277" s="130" t="s">
        <v>172</v>
      </c>
      <c r="J277" s="114" t="s">
        <v>48</v>
      </c>
      <c r="K277" s="114" t="s">
        <v>9</v>
      </c>
      <c r="L277" s="114" t="s">
        <v>24</v>
      </c>
      <c r="M277" s="129"/>
      <c r="N277" s="129" t="s">
        <v>106</v>
      </c>
      <c r="O277" s="129"/>
      <c r="P277" s="129"/>
      <c r="Q277" s="150"/>
    </row>
    <row r="278">
      <c r="A278" s="107"/>
      <c r="B278" s="95"/>
      <c r="C278" s="95"/>
      <c r="D278" s="95"/>
      <c r="E278" s="95"/>
      <c r="I278" s="23"/>
    </row>
    <row r="279">
      <c r="A279" s="133" t="s">
        <v>196</v>
      </c>
      <c r="B279" s="134" t="s">
        <v>18</v>
      </c>
      <c r="C279" s="134" t="s">
        <v>84</v>
      </c>
      <c r="D279" s="133" t="s">
        <v>196</v>
      </c>
      <c r="E279" s="151">
        <v>42553.0</v>
      </c>
      <c r="F279" s="110" t="str">
        <f t="shared" ref="F279:F293" si="29">TEXT(E279, "mmm") &amp; "-" &amp; TEXT(E279, "yyyy") </f>
        <v>Jul-2016</v>
      </c>
      <c r="G279" s="110" t="s">
        <v>20</v>
      </c>
      <c r="H279" s="110" t="s">
        <v>35</v>
      </c>
      <c r="I279" s="79" t="s">
        <v>197</v>
      </c>
      <c r="J279" s="47" t="s">
        <v>97</v>
      </c>
      <c r="K279" s="47" t="s">
        <v>9</v>
      </c>
      <c r="L279" s="47" t="s">
        <v>30</v>
      </c>
      <c r="M279" s="111" t="s">
        <v>30</v>
      </c>
      <c r="N279" s="111" t="s">
        <v>98</v>
      </c>
      <c r="O279" s="152"/>
      <c r="P279" s="152"/>
      <c r="Q279" s="153"/>
    </row>
    <row r="280">
      <c r="A280" s="134" t="s">
        <v>18</v>
      </c>
      <c r="B280" s="134" t="s">
        <v>18</v>
      </c>
      <c r="C280" s="134" t="s">
        <v>84</v>
      </c>
      <c r="D280" s="133" t="s">
        <v>196</v>
      </c>
      <c r="E280" s="154">
        <v>42553.0</v>
      </c>
      <c r="F280" s="13" t="str">
        <f t="shared" si="29"/>
        <v>Jul-2016</v>
      </c>
      <c r="G280" s="13" t="s">
        <v>25</v>
      </c>
      <c r="H280" s="13" t="s">
        <v>35</v>
      </c>
      <c r="I280" s="48" t="s">
        <v>197</v>
      </c>
      <c r="J280" s="16" t="s">
        <v>97</v>
      </c>
      <c r="K280" s="16" t="s">
        <v>9</v>
      </c>
      <c r="L280" s="16" t="s">
        <v>24</v>
      </c>
      <c r="M280" s="16"/>
      <c r="N280" s="16" t="s">
        <v>37</v>
      </c>
      <c r="O280" s="101"/>
      <c r="P280" s="101"/>
      <c r="Q280" s="102"/>
    </row>
    <row r="281">
      <c r="A281" s="134" t="s">
        <v>198</v>
      </c>
      <c r="B281" s="134" t="s">
        <v>18</v>
      </c>
      <c r="C281" s="134" t="s">
        <v>84</v>
      </c>
      <c r="D281" s="133" t="s">
        <v>196</v>
      </c>
      <c r="E281" s="154">
        <v>42553.0</v>
      </c>
      <c r="F281" s="13" t="str">
        <f t="shared" si="29"/>
        <v>Jul-2016</v>
      </c>
      <c r="G281" s="17" t="s">
        <v>32</v>
      </c>
      <c r="H281" s="13" t="s">
        <v>35</v>
      </c>
      <c r="I281" s="48" t="s">
        <v>197</v>
      </c>
      <c r="J281" s="16" t="s">
        <v>97</v>
      </c>
      <c r="K281" s="16" t="s">
        <v>9</v>
      </c>
      <c r="L281" s="16" t="s">
        <v>30</v>
      </c>
      <c r="M281" s="16"/>
      <c r="N281" s="16" t="s">
        <v>106</v>
      </c>
      <c r="O281" s="101"/>
      <c r="P281" s="101"/>
      <c r="Q281" s="102"/>
    </row>
    <row r="282">
      <c r="A282" s="155">
        <v>42553.0</v>
      </c>
      <c r="B282" s="134" t="s">
        <v>18</v>
      </c>
      <c r="C282" s="134" t="s">
        <v>84</v>
      </c>
      <c r="D282" s="133" t="s">
        <v>196</v>
      </c>
      <c r="E282" s="154">
        <v>42553.0</v>
      </c>
      <c r="F282" s="21" t="str">
        <f t="shared" si="29"/>
        <v>Jul-2016</v>
      </c>
      <c r="G282" s="21" t="s">
        <v>20</v>
      </c>
      <c r="H282" s="21" t="s">
        <v>35</v>
      </c>
      <c r="I282" s="80" t="s">
        <v>81</v>
      </c>
      <c r="J282" s="25" t="s">
        <v>9</v>
      </c>
      <c r="K282" s="25" t="s">
        <v>9</v>
      </c>
      <c r="L282" s="25" t="s">
        <v>24</v>
      </c>
      <c r="M282" s="91" t="s">
        <v>24</v>
      </c>
      <c r="N282" s="91" t="s">
        <v>98</v>
      </c>
      <c r="Q282" s="99"/>
    </row>
    <row r="283">
      <c r="A283" s="134" t="s">
        <v>84</v>
      </c>
      <c r="B283" s="134" t="s">
        <v>18</v>
      </c>
      <c r="C283" s="134" t="s">
        <v>84</v>
      </c>
      <c r="D283" s="133" t="s">
        <v>196</v>
      </c>
      <c r="E283" s="154">
        <v>42553.0</v>
      </c>
      <c r="F283" s="21" t="str">
        <f t="shared" si="29"/>
        <v>Jul-2016</v>
      </c>
      <c r="G283" s="21" t="s">
        <v>25</v>
      </c>
      <c r="H283" s="21" t="s">
        <v>35</v>
      </c>
      <c r="I283" s="80" t="s">
        <v>81</v>
      </c>
      <c r="J283" s="25" t="s">
        <v>9</v>
      </c>
      <c r="K283" s="25" t="s">
        <v>9</v>
      </c>
      <c r="L283" s="25" t="s">
        <v>24</v>
      </c>
      <c r="M283" s="25"/>
      <c r="N283" s="25" t="s">
        <v>106</v>
      </c>
      <c r="Q283" s="99"/>
    </row>
    <row r="284">
      <c r="A284" s="140"/>
      <c r="B284" s="134" t="s">
        <v>18</v>
      </c>
      <c r="C284" s="134" t="s">
        <v>84</v>
      </c>
      <c r="D284" s="133" t="s">
        <v>196</v>
      </c>
      <c r="E284" s="154">
        <v>42553.0</v>
      </c>
      <c r="F284" s="13" t="str">
        <f t="shared" si="29"/>
        <v>Jul-2016</v>
      </c>
      <c r="G284" s="13" t="s">
        <v>20</v>
      </c>
      <c r="H284" s="13" t="s">
        <v>35</v>
      </c>
      <c r="I284" s="48" t="s">
        <v>164</v>
      </c>
      <c r="J284" s="16" t="s">
        <v>9</v>
      </c>
      <c r="K284" s="16" t="s">
        <v>9</v>
      </c>
      <c r="L284" s="16" t="s">
        <v>30</v>
      </c>
      <c r="M284" s="16" t="s">
        <v>30</v>
      </c>
      <c r="N284" s="16" t="s">
        <v>29</v>
      </c>
      <c r="O284" s="101"/>
      <c r="P284" s="101"/>
      <c r="Q284" s="102"/>
    </row>
    <row r="285">
      <c r="A285" s="140"/>
      <c r="B285" s="134" t="s">
        <v>18</v>
      </c>
      <c r="C285" s="134" t="s">
        <v>84</v>
      </c>
      <c r="D285" s="133" t="s">
        <v>196</v>
      </c>
      <c r="E285" s="154">
        <v>42553.0</v>
      </c>
      <c r="F285" s="13" t="str">
        <f t="shared" si="29"/>
        <v>Jul-2016</v>
      </c>
      <c r="G285" s="13" t="s">
        <v>25</v>
      </c>
      <c r="H285" s="13" t="s">
        <v>35</v>
      </c>
      <c r="I285" s="48" t="s">
        <v>164</v>
      </c>
      <c r="J285" s="16" t="s">
        <v>9</v>
      </c>
      <c r="K285" s="16" t="s">
        <v>9</v>
      </c>
      <c r="L285" s="16" t="s">
        <v>30</v>
      </c>
      <c r="M285" s="16"/>
      <c r="N285" s="16" t="s">
        <v>106</v>
      </c>
      <c r="O285" s="101"/>
      <c r="P285" s="101"/>
      <c r="Q285" s="102"/>
    </row>
    <row r="286">
      <c r="A286" s="140"/>
      <c r="B286" s="134" t="s">
        <v>18</v>
      </c>
      <c r="C286" s="134" t="s">
        <v>84</v>
      </c>
      <c r="D286" s="133" t="s">
        <v>196</v>
      </c>
      <c r="E286" s="154">
        <v>42553.0</v>
      </c>
      <c r="F286" s="21" t="str">
        <f t="shared" si="29"/>
        <v>Jul-2016</v>
      </c>
      <c r="G286" s="21" t="s">
        <v>20</v>
      </c>
      <c r="H286" s="21" t="s">
        <v>35</v>
      </c>
      <c r="I286" s="80" t="s">
        <v>101</v>
      </c>
      <c r="J286" s="25" t="s">
        <v>102</v>
      </c>
      <c r="K286" s="25" t="s">
        <v>9</v>
      </c>
      <c r="L286" s="25" t="s">
        <v>24</v>
      </c>
      <c r="M286" s="91" t="s">
        <v>24</v>
      </c>
      <c r="N286" s="91" t="s">
        <v>98</v>
      </c>
      <c r="Q286" s="99"/>
    </row>
    <row r="287">
      <c r="A287" s="140"/>
      <c r="B287" s="134" t="s">
        <v>18</v>
      </c>
      <c r="C287" s="134" t="s">
        <v>84</v>
      </c>
      <c r="D287" s="133" t="s">
        <v>196</v>
      </c>
      <c r="E287" s="154">
        <v>42553.0</v>
      </c>
      <c r="F287" s="21" t="str">
        <f t="shared" si="29"/>
        <v>Jul-2016</v>
      </c>
      <c r="G287" s="21" t="s">
        <v>25</v>
      </c>
      <c r="H287" s="21" t="s">
        <v>35</v>
      </c>
      <c r="I287" s="80" t="s">
        <v>101</v>
      </c>
      <c r="J287" s="25" t="s">
        <v>102</v>
      </c>
      <c r="K287" s="25" t="s">
        <v>9</v>
      </c>
      <c r="L287" s="25" t="s">
        <v>24</v>
      </c>
      <c r="M287" s="25"/>
      <c r="N287" s="25" t="s">
        <v>29</v>
      </c>
      <c r="Q287" s="99"/>
    </row>
    <row r="288">
      <c r="A288" s="140"/>
      <c r="B288" s="134" t="s">
        <v>18</v>
      </c>
      <c r="C288" s="134" t="s">
        <v>84</v>
      </c>
      <c r="D288" s="133" t="s">
        <v>196</v>
      </c>
      <c r="E288" s="154">
        <v>42553.0</v>
      </c>
      <c r="F288" s="13" t="str">
        <f t="shared" si="29"/>
        <v>Jul-2016</v>
      </c>
      <c r="G288" s="13" t="s">
        <v>20</v>
      </c>
      <c r="H288" s="17" t="s">
        <v>129</v>
      </c>
      <c r="I288" s="48" t="s">
        <v>199</v>
      </c>
      <c r="J288" s="16" t="s">
        <v>27</v>
      </c>
      <c r="K288" s="16" t="s">
        <v>9</v>
      </c>
      <c r="L288" s="16" t="s">
        <v>24</v>
      </c>
      <c r="M288" s="16" t="s">
        <v>24</v>
      </c>
      <c r="N288" s="16" t="s">
        <v>29</v>
      </c>
      <c r="O288" s="101"/>
      <c r="P288" s="101"/>
      <c r="Q288" s="102"/>
    </row>
    <row r="289">
      <c r="A289" s="140"/>
      <c r="B289" s="134" t="s">
        <v>18</v>
      </c>
      <c r="C289" s="134" t="s">
        <v>84</v>
      </c>
      <c r="D289" s="133" t="s">
        <v>196</v>
      </c>
      <c r="E289" s="154">
        <v>42553.0</v>
      </c>
      <c r="F289" s="13" t="str">
        <f t="shared" si="29"/>
        <v>Jul-2016</v>
      </c>
      <c r="G289" s="13" t="s">
        <v>25</v>
      </c>
      <c r="H289" s="17" t="s">
        <v>129</v>
      </c>
      <c r="I289" s="48" t="s">
        <v>199</v>
      </c>
      <c r="J289" s="16" t="s">
        <v>27</v>
      </c>
      <c r="K289" s="16" t="s">
        <v>9</v>
      </c>
      <c r="L289" s="16" t="s">
        <v>24</v>
      </c>
      <c r="M289" s="17"/>
      <c r="N289" s="17" t="s">
        <v>98</v>
      </c>
      <c r="O289" s="101"/>
      <c r="P289" s="101"/>
      <c r="Q289" s="102"/>
    </row>
    <row r="290">
      <c r="A290" s="140"/>
      <c r="B290" s="134" t="s">
        <v>18</v>
      </c>
      <c r="C290" s="134" t="s">
        <v>84</v>
      </c>
      <c r="D290" s="133" t="s">
        <v>196</v>
      </c>
      <c r="E290" s="154">
        <v>42553.0</v>
      </c>
      <c r="F290" s="21" t="str">
        <f t="shared" si="29"/>
        <v>Jul-2016</v>
      </c>
      <c r="G290" s="21" t="s">
        <v>20</v>
      </c>
      <c r="H290" s="91" t="s">
        <v>129</v>
      </c>
      <c r="I290" s="80" t="s">
        <v>200</v>
      </c>
      <c r="J290" s="25" t="s">
        <v>64</v>
      </c>
      <c r="K290" s="25" t="s">
        <v>9</v>
      </c>
      <c r="L290" s="25" t="s">
        <v>30</v>
      </c>
      <c r="M290" s="25" t="s">
        <v>30</v>
      </c>
      <c r="N290" s="25" t="s">
        <v>69</v>
      </c>
      <c r="Q290" s="99"/>
    </row>
    <row r="291">
      <c r="A291" s="140"/>
      <c r="B291" s="134" t="s">
        <v>18</v>
      </c>
      <c r="C291" s="134" t="s">
        <v>84</v>
      </c>
      <c r="D291" s="133" t="s">
        <v>196</v>
      </c>
      <c r="E291" s="154">
        <v>42553.0</v>
      </c>
      <c r="F291" s="21" t="str">
        <f t="shared" si="29"/>
        <v>Jul-2016</v>
      </c>
      <c r="G291" s="21" t="s">
        <v>25</v>
      </c>
      <c r="H291" s="91" t="s">
        <v>129</v>
      </c>
      <c r="I291" s="80" t="s">
        <v>200</v>
      </c>
      <c r="J291" s="25" t="s">
        <v>44</v>
      </c>
      <c r="K291" s="25" t="s">
        <v>9</v>
      </c>
      <c r="L291" s="25" t="s">
        <v>30</v>
      </c>
      <c r="M291" s="25"/>
      <c r="N291" s="25" t="s">
        <v>29</v>
      </c>
      <c r="Q291" s="99"/>
    </row>
    <row r="292">
      <c r="A292" s="140"/>
      <c r="B292" s="134" t="s">
        <v>18</v>
      </c>
      <c r="C292" s="134" t="s">
        <v>84</v>
      </c>
      <c r="D292" s="133" t="s">
        <v>196</v>
      </c>
      <c r="E292" s="154">
        <v>42553.0</v>
      </c>
      <c r="F292" s="13" t="str">
        <f t="shared" si="29"/>
        <v>Jul-2016</v>
      </c>
      <c r="G292" s="13" t="s">
        <v>20</v>
      </c>
      <c r="H292" s="17" t="s">
        <v>129</v>
      </c>
      <c r="I292" s="48" t="s">
        <v>201</v>
      </c>
      <c r="J292" s="16" t="s">
        <v>27</v>
      </c>
      <c r="K292" s="16" t="s">
        <v>9</v>
      </c>
      <c r="L292" s="16" t="s">
        <v>24</v>
      </c>
      <c r="M292" s="16" t="s">
        <v>24</v>
      </c>
      <c r="N292" s="16" t="s">
        <v>29</v>
      </c>
      <c r="O292" s="101"/>
      <c r="P292" s="101"/>
      <c r="Q292" s="102"/>
    </row>
    <row r="293">
      <c r="A293" s="141"/>
      <c r="B293" s="134" t="s">
        <v>18</v>
      </c>
      <c r="C293" s="134" t="s">
        <v>84</v>
      </c>
      <c r="D293" s="133" t="s">
        <v>196</v>
      </c>
      <c r="E293" s="156">
        <v>42553.0</v>
      </c>
      <c r="F293" s="35" t="str">
        <f t="shared" si="29"/>
        <v>Jul-2016</v>
      </c>
      <c r="G293" s="35" t="s">
        <v>25</v>
      </c>
      <c r="H293" s="93" t="s">
        <v>129</v>
      </c>
      <c r="I293" s="122" t="s">
        <v>201</v>
      </c>
      <c r="J293" s="38" t="s">
        <v>27</v>
      </c>
      <c r="K293" s="38" t="s">
        <v>9</v>
      </c>
      <c r="L293" s="38" t="s">
        <v>24</v>
      </c>
      <c r="M293" s="93"/>
      <c r="N293" s="93" t="s">
        <v>98</v>
      </c>
      <c r="O293" s="105"/>
      <c r="P293" s="105"/>
      <c r="Q293" s="106"/>
    </row>
    <row r="294">
      <c r="A294" s="107"/>
      <c r="B294" s="95"/>
      <c r="C294" s="95"/>
      <c r="D294" s="95"/>
      <c r="E294" s="95"/>
      <c r="I294" s="23"/>
    </row>
    <row r="295">
      <c r="A295" s="133" t="s">
        <v>202</v>
      </c>
      <c r="B295" s="134" t="s">
        <v>203</v>
      </c>
      <c r="C295" s="134" t="s">
        <v>74</v>
      </c>
      <c r="D295" s="133" t="s">
        <v>202</v>
      </c>
      <c r="E295" s="151">
        <v>42554.0</v>
      </c>
      <c r="F295" s="110" t="str">
        <f t="shared" ref="F295:F303" si="30">TEXT(E295, "mmm") &amp; "-" &amp; TEXT(E295, "yyyy") </f>
        <v>Jul-2016</v>
      </c>
      <c r="G295" s="110" t="s">
        <v>20</v>
      </c>
      <c r="H295" s="110" t="s">
        <v>35</v>
      </c>
      <c r="I295" s="79" t="s">
        <v>142</v>
      </c>
      <c r="J295" s="47" t="s">
        <v>44</v>
      </c>
      <c r="K295" s="47" t="s">
        <v>9</v>
      </c>
      <c r="L295" s="47" t="s">
        <v>24</v>
      </c>
      <c r="M295" s="47" t="s">
        <v>24</v>
      </c>
      <c r="N295" s="47" t="s">
        <v>98</v>
      </c>
      <c r="O295" s="152"/>
      <c r="P295" s="152"/>
      <c r="Q295" s="153"/>
    </row>
    <row r="296">
      <c r="A296" s="134" t="s">
        <v>203</v>
      </c>
      <c r="B296" s="134" t="s">
        <v>203</v>
      </c>
      <c r="C296" s="134" t="s">
        <v>74</v>
      </c>
      <c r="D296" s="133" t="s">
        <v>202</v>
      </c>
      <c r="E296" s="137">
        <v>42554.0</v>
      </c>
      <c r="F296" s="13" t="str">
        <f t="shared" si="30"/>
        <v>Jul-2016</v>
      </c>
      <c r="G296" s="13" t="s">
        <v>25</v>
      </c>
      <c r="H296" s="13" t="s">
        <v>35</v>
      </c>
      <c r="I296" s="48" t="s">
        <v>142</v>
      </c>
      <c r="J296" s="16" t="s">
        <v>44</v>
      </c>
      <c r="K296" s="16" t="s">
        <v>9</v>
      </c>
      <c r="L296" s="16" t="s">
        <v>24</v>
      </c>
      <c r="M296" s="16"/>
      <c r="N296" s="16" t="s">
        <v>106</v>
      </c>
      <c r="O296" s="101"/>
      <c r="P296" s="101"/>
      <c r="Q296" s="102"/>
    </row>
    <row r="297">
      <c r="A297" s="134" t="s">
        <v>204</v>
      </c>
      <c r="B297" s="134" t="s">
        <v>203</v>
      </c>
      <c r="C297" s="134" t="s">
        <v>74</v>
      </c>
      <c r="D297" s="133" t="s">
        <v>202</v>
      </c>
      <c r="E297" s="154">
        <v>42554.0</v>
      </c>
      <c r="F297" s="21" t="str">
        <f t="shared" si="30"/>
        <v>Jul-2016</v>
      </c>
      <c r="G297" s="21" t="s">
        <v>20</v>
      </c>
      <c r="H297" s="21" t="s">
        <v>35</v>
      </c>
      <c r="I297" s="80" t="s">
        <v>205</v>
      </c>
      <c r="J297" s="25" t="s">
        <v>27</v>
      </c>
      <c r="K297" s="25" t="s">
        <v>9</v>
      </c>
      <c r="L297" s="25" t="s">
        <v>30</v>
      </c>
      <c r="M297" s="25" t="s">
        <v>30</v>
      </c>
      <c r="N297" s="25" t="s">
        <v>29</v>
      </c>
      <c r="Q297" s="99"/>
    </row>
    <row r="298">
      <c r="A298" s="155">
        <v>42554.0</v>
      </c>
      <c r="B298" s="134" t="s">
        <v>203</v>
      </c>
      <c r="C298" s="134" t="s">
        <v>74</v>
      </c>
      <c r="D298" s="133" t="s">
        <v>202</v>
      </c>
      <c r="E298" s="137">
        <v>42554.0</v>
      </c>
      <c r="F298" s="21" t="str">
        <f t="shared" si="30"/>
        <v>Jul-2016</v>
      </c>
      <c r="G298" s="21" t="s">
        <v>25</v>
      </c>
      <c r="H298" s="21" t="s">
        <v>35</v>
      </c>
      <c r="I298" s="80" t="s">
        <v>205</v>
      </c>
      <c r="J298" s="25" t="s">
        <v>27</v>
      </c>
      <c r="K298" s="25" t="s">
        <v>9</v>
      </c>
      <c r="L298" s="25" t="s">
        <v>30</v>
      </c>
      <c r="M298" s="25"/>
      <c r="N298" s="25" t="s">
        <v>106</v>
      </c>
      <c r="Q298" s="99"/>
    </row>
    <row r="299">
      <c r="A299" s="134" t="s">
        <v>74</v>
      </c>
      <c r="B299" s="134" t="s">
        <v>203</v>
      </c>
      <c r="C299" s="134" t="s">
        <v>74</v>
      </c>
      <c r="D299" s="133" t="s">
        <v>202</v>
      </c>
      <c r="E299" s="154">
        <v>42554.0</v>
      </c>
      <c r="F299" s="13" t="str">
        <f t="shared" si="30"/>
        <v>Jul-2016</v>
      </c>
      <c r="G299" s="13" t="s">
        <v>20</v>
      </c>
      <c r="H299" s="13" t="s">
        <v>35</v>
      </c>
      <c r="I299" s="48" t="s">
        <v>100</v>
      </c>
      <c r="J299" s="16" t="s">
        <v>9</v>
      </c>
      <c r="K299" s="16" t="s">
        <v>9</v>
      </c>
      <c r="L299" s="16" t="s">
        <v>30</v>
      </c>
      <c r="M299" s="16" t="s">
        <v>30</v>
      </c>
      <c r="N299" s="16" t="s">
        <v>98</v>
      </c>
      <c r="O299" s="101"/>
      <c r="P299" s="101"/>
      <c r="Q299" s="102"/>
    </row>
    <row r="300">
      <c r="A300" s="140"/>
      <c r="B300" s="134" t="s">
        <v>203</v>
      </c>
      <c r="C300" s="134" t="s">
        <v>74</v>
      </c>
      <c r="D300" s="133" t="s">
        <v>202</v>
      </c>
      <c r="E300" s="137">
        <v>42554.0</v>
      </c>
      <c r="F300" s="13" t="str">
        <f t="shared" si="30"/>
        <v>Jul-2016</v>
      </c>
      <c r="G300" s="13" t="s">
        <v>25</v>
      </c>
      <c r="H300" s="13" t="s">
        <v>35</v>
      </c>
      <c r="I300" s="48" t="s">
        <v>100</v>
      </c>
      <c r="J300" s="16" t="s">
        <v>9</v>
      </c>
      <c r="K300" s="16" t="s">
        <v>9</v>
      </c>
      <c r="L300" s="16" t="s">
        <v>30</v>
      </c>
      <c r="M300" s="16"/>
      <c r="N300" s="16" t="s">
        <v>69</v>
      </c>
      <c r="O300" s="101"/>
      <c r="P300" s="101"/>
      <c r="Q300" s="102"/>
    </row>
    <row r="301">
      <c r="A301" s="140"/>
      <c r="B301" s="134" t="s">
        <v>203</v>
      </c>
      <c r="C301" s="134" t="s">
        <v>74</v>
      </c>
      <c r="D301" s="133" t="s">
        <v>202</v>
      </c>
      <c r="E301" s="154">
        <v>42554.0</v>
      </c>
      <c r="F301" s="21" t="str">
        <f t="shared" si="30"/>
        <v>Jul-2016</v>
      </c>
      <c r="G301" s="21" t="s">
        <v>20</v>
      </c>
      <c r="H301" s="21" t="s">
        <v>35</v>
      </c>
      <c r="I301" s="80" t="s">
        <v>181</v>
      </c>
      <c r="J301" s="25" t="s">
        <v>9</v>
      </c>
      <c r="K301" s="25" t="s">
        <v>9</v>
      </c>
      <c r="L301" s="25" t="s">
        <v>24</v>
      </c>
      <c r="M301" s="25" t="s">
        <v>24</v>
      </c>
      <c r="N301" s="25" t="s">
        <v>98</v>
      </c>
      <c r="Q301" s="99"/>
    </row>
    <row r="302">
      <c r="A302" s="140"/>
      <c r="B302" s="134" t="s">
        <v>203</v>
      </c>
      <c r="C302" s="134" t="s">
        <v>74</v>
      </c>
      <c r="D302" s="133" t="s">
        <v>202</v>
      </c>
      <c r="E302" s="137">
        <v>42554.0</v>
      </c>
      <c r="F302" s="21" t="str">
        <f t="shared" si="30"/>
        <v>Jul-2016</v>
      </c>
      <c r="G302" s="21" t="s">
        <v>25</v>
      </c>
      <c r="H302" s="21" t="s">
        <v>35</v>
      </c>
      <c r="I302" s="80" t="s">
        <v>181</v>
      </c>
      <c r="J302" s="25" t="s">
        <v>27</v>
      </c>
      <c r="K302" s="25" t="s">
        <v>9</v>
      </c>
      <c r="L302" s="25" t="s">
        <v>30</v>
      </c>
      <c r="M302" s="25"/>
      <c r="N302" s="25" t="s">
        <v>106</v>
      </c>
      <c r="Q302" s="99"/>
    </row>
    <row r="303">
      <c r="A303" s="141"/>
      <c r="B303" s="134" t="s">
        <v>203</v>
      </c>
      <c r="C303" s="134" t="s">
        <v>74</v>
      </c>
      <c r="D303" s="133" t="s">
        <v>202</v>
      </c>
      <c r="E303" s="156">
        <v>42554.0</v>
      </c>
      <c r="F303" s="51" t="str">
        <f t="shared" si="30"/>
        <v>Jul-2016</v>
      </c>
      <c r="G303" s="129" t="s">
        <v>32</v>
      </c>
      <c r="H303" s="51" t="s">
        <v>35</v>
      </c>
      <c r="I303" s="113" t="s">
        <v>181</v>
      </c>
      <c r="J303" s="55" t="s">
        <v>27</v>
      </c>
      <c r="K303" s="55" t="s">
        <v>9</v>
      </c>
      <c r="L303" s="55" t="s">
        <v>24</v>
      </c>
      <c r="M303" s="55"/>
      <c r="N303" s="55" t="s">
        <v>69</v>
      </c>
      <c r="O303" s="143"/>
      <c r="P303" s="143"/>
      <c r="Q303" s="144"/>
    </row>
    <row r="304">
      <c r="A304" s="107"/>
      <c r="B304" s="95"/>
      <c r="C304" s="95"/>
      <c r="D304" s="95"/>
      <c r="E304" s="95"/>
      <c r="H304" s="25"/>
      <c r="I304" s="80"/>
    </row>
    <row r="305">
      <c r="A305" s="68" t="s">
        <v>206</v>
      </c>
      <c r="B305" s="10" t="s">
        <v>18</v>
      </c>
      <c r="C305" s="108" t="s">
        <v>74</v>
      </c>
      <c r="D305" s="68" t="s">
        <v>206</v>
      </c>
      <c r="E305" s="123">
        <v>42558.0</v>
      </c>
      <c r="F305" s="110" t="str">
        <f t="shared" ref="F305:F313" si="31">TEXT(E305, "mmm") &amp; "-" &amp; TEXT(E305, "yyyy") </f>
        <v>Jul-2016</v>
      </c>
      <c r="G305" s="110" t="s">
        <v>20</v>
      </c>
      <c r="H305" s="111" t="s">
        <v>35</v>
      </c>
      <c r="I305" s="79" t="s">
        <v>133</v>
      </c>
      <c r="J305" s="47" t="s">
        <v>86</v>
      </c>
      <c r="K305" s="47" t="s">
        <v>9</v>
      </c>
      <c r="L305" s="47" t="s">
        <v>24</v>
      </c>
      <c r="M305" s="47" t="s">
        <v>24</v>
      </c>
      <c r="N305" s="47" t="s">
        <v>98</v>
      </c>
      <c r="O305" s="111"/>
      <c r="P305" s="111"/>
      <c r="Q305" s="112"/>
      <c r="R305" s="47" t="s">
        <v>134</v>
      </c>
    </row>
    <row r="306">
      <c r="A306" s="10" t="s">
        <v>18</v>
      </c>
      <c r="B306" s="10" t="s">
        <v>18</v>
      </c>
      <c r="C306" s="108" t="s">
        <v>74</v>
      </c>
      <c r="D306" s="68" t="s">
        <v>206</v>
      </c>
      <c r="E306" s="123">
        <v>42558.0</v>
      </c>
      <c r="F306" s="13" t="str">
        <f t="shared" si="31"/>
        <v>Jul-2016</v>
      </c>
      <c r="G306" s="13" t="s">
        <v>25</v>
      </c>
      <c r="H306" s="17" t="s">
        <v>35</v>
      </c>
      <c r="I306" s="48" t="s">
        <v>133</v>
      </c>
      <c r="J306" s="16" t="s">
        <v>86</v>
      </c>
      <c r="K306" s="16" t="s">
        <v>9</v>
      </c>
      <c r="L306" s="16" t="s">
        <v>24</v>
      </c>
      <c r="M306" s="16"/>
      <c r="N306" s="16" t="s">
        <v>106</v>
      </c>
      <c r="O306" s="17"/>
      <c r="P306" s="17"/>
      <c r="Q306" s="49"/>
      <c r="R306" s="16" t="s">
        <v>134</v>
      </c>
    </row>
    <row r="307">
      <c r="A307" s="10" t="s">
        <v>26</v>
      </c>
      <c r="B307" s="10" t="s">
        <v>18</v>
      </c>
      <c r="C307" s="108" t="s">
        <v>74</v>
      </c>
      <c r="D307" s="68" t="s">
        <v>206</v>
      </c>
      <c r="E307" s="123">
        <v>42558.0</v>
      </c>
      <c r="F307" s="22" t="str">
        <f t="shared" si="31"/>
        <v>Jul-2016</v>
      </c>
      <c r="G307" s="22" t="s">
        <v>20</v>
      </c>
      <c r="H307" s="26" t="s">
        <v>35</v>
      </c>
      <c r="I307" s="80" t="s">
        <v>122</v>
      </c>
      <c r="J307" s="25" t="s">
        <v>44</v>
      </c>
      <c r="K307" s="25" t="s">
        <v>9</v>
      </c>
      <c r="L307" s="25" t="s">
        <v>24</v>
      </c>
      <c r="M307" s="25" t="s">
        <v>24</v>
      </c>
      <c r="N307" s="25" t="s">
        <v>29</v>
      </c>
      <c r="O307" s="32"/>
      <c r="P307" s="32"/>
      <c r="Q307" s="27"/>
    </row>
    <row r="308">
      <c r="A308" s="123"/>
      <c r="B308" s="10" t="s">
        <v>18</v>
      </c>
      <c r="C308" s="108" t="s">
        <v>74</v>
      </c>
      <c r="D308" s="68" t="s">
        <v>206</v>
      </c>
      <c r="E308" s="123">
        <v>42558.0</v>
      </c>
      <c r="F308" s="22" t="str">
        <f t="shared" si="31"/>
        <v>Jul-2016</v>
      </c>
      <c r="G308" s="26" t="s">
        <v>25</v>
      </c>
      <c r="H308" s="26" t="s">
        <v>35</v>
      </c>
      <c r="I308" s="80" t="s">
        <v>122</v>
      </c>
      <c r="J308" s="25" t="s">
        <v>44</v>
      </c>
      <c r="K308" s="25" t="s">
        <v>9</v>
      </c>
      <c r="L308" s="25" t="s">
        <v>30</v>
      </c>
      <c r="M308" s="25"/>
      <c r="N308" s="25" t="s">
        <v>106</v>
      </c>
      <c r="O308" s="32"/>
      <c r="P308" s="32"/>
      <c r="Q308" s="27"/>
    </row>
    <row r="309">
      <c r="A309" s="123">
        <v>42558.0</v>
      </c>
      <c r="B309" s="10" t="s">
        <v>18</v>
      </c>
      <c r="C309" s="108" t="s">
        <v>74</v>
      </c>
      <c r="D309" s="68" t="s">
        <v>206</v>
      </c>
      <c r="E309" s="123">
        <v>42558.0</v>
      </c>
      <c r="F309" s="22" t="str">
        <f t="shared" si="31"/>
        <v>Jul-2016</v>
      </c>
      <c r="G309" s="26" t="s">
        <v>32</v>
      </c>
      <c r="H309" s="26" t="s">
        <v>35</v>
      </c>
      <c r="I309" s="80" t="s">
        <v>122</v>
      </c>
      <c r="J309" s="25" t="s">
        <v>44</v>
      </c>
      <c r="K309" s="25" t="s">
        <v>9</v>
      </c>
      <c r="L309" s="25" t="s">
        <v>24</v>
      </c>
      <c r="M309" s="25"/>
      <c r="N309" s="25" t="s">
        <v>98</v>
      </c>
      <c r="O309" s="32"/>
      <c r="P309" s="32"/>
      <c r="Q309" s="27"/>
    </row>
    <row r="310">
      <c r="A310" s="108" t="s">
        <v>74</v>
      </c>
      <c r="B310" s="10" t="s">
        <v>18</v>
      </c>
      <c r="C310" s="108" t="s">
        <v>74</v>
      </c>
      <c r="D310" s="68" t="s">
        <v>206</v>
      </c>
      <c r="E310" s="123">
        <v>42558.0</v>
      </c>
      <c r="F310" s="13" t="str">
        <f t="shared" si="31"/>
        <v>Jul-2016</v>
      </c>
      <c r="G310" s="13" t="s">
        <v>20</v>
      </c>
      <c r="H310" s="17" t="s">
        <v>129</v>
      </c>
      <c r="I310" s="48" t="s">
        <v>207</v>
      </c>
      <c r="J310" s="16" t="s">
        <v>27</v>
      </c>
      <c r="K310" s="16" t="s">
        <v>9</v>
      </c>
      <c r="L310" s="16" t="s">
        <v>30</v>
      </c>
      <c r="M310" s="16" t="s">
        <v>30</v>
      </c>
      <c r="N310" s="16" t="s">
        <v>29</v>
      </c>
      <c r="O310" s="19"/>
      <c r="P310" s="19"/>
      <c r="Q310" s="18"/>
    </row>
    <row r="311">
      <c r="A311" s="108"/>
      <c r="B311" s="10" t="s">
        <v>18</v>
      </c>
      <c r="C311" s="108" t="s">
        <v>74</v>
      </c>
      <c r="D311" s="68" t="s">
        <v>206</v>
      </c>
      <c r="E311" s="123">
        <v>42558.0</v>
      </c>
      <c r="F311" s="13" t="str">
        <f t="shared" si="31"/>
        <v>Jul-2016</v>
      </c>
      <c r="G311" s="13" t="s">
        <v>25</v>
      </c>
      <c r="H311" s="17" t="s">
        <v>129</v>
      </c>
      <c r="I311" s="48" t="s">
        <v>207</v>
      </c>
      <c r="J311" s="16" t="s">
        <v>27</v>
      </c>
      <c r="K311" s="16" t="s">
        <v>9</v>
      </c>
      <c r="L311" s="16" t="s">
        <v>30</v>
      </c>
      <c r="M311" s="16"/>
      <c r="N311" s="16" t="s">
        <v>37</v>
      </c>
      <c r="O311" s="19"/>
      <c r="P311" s="19"/>
      <c r="Q311" s="18"/>
    </row>
    <row r="312">
      <c r="A312" s="123"/>
      <c r="B312" s="10" t="s">
        <v>18</v>
      </c>
      <c r="C312" s="108" t="s">
        <v>74</v>
      </c>
      <c r="D312" s="68" t="s">
        <v>206</v>
      </c>
      <c r="E312" s="123">
        <v>42558.0</v>
      </c>
      <c r="F312" s="21" t="str">
        <f t="shared" si="31"/>
        <v>Jul-2016</v>
      </c>
      <c r="G312" s="21" t="s">
        <v>20</v>
      </c>
      <c r="H312" s="25" t="s">
        <v>129</v>
      </c>
      <c r="I312" s="126" t="s">
        <v>208</v>
      </c>
      <c r="J312" s="119" t="s">
        <v>9</v>
      </c>
      <c r="K312" s="119" t="s">
        <v>9</v>
      </c>
      <c r="L312" s="119" t="s">
        <v>24</v>
      </c>
      <c r="M312" s="119" t="s">
        <v>24</v>
      </c>
      <c r="N312" s="119" t="s">
        <v>98</v>
      </c>
      <c r="O312" s="127"/>
      <c r="P312" s="127"/>
      <c r="Q312" s="128"/>
    </row>
    <row r="313">
      <c r="A313" s="125"/>
      <c r="B313" s="10" t="s">
        <v>18</v>
      </c>
      <c r="C313" s="108" t="s">
        <v>74</v>
      </c>
      <c r="D313" s="68" t="s">
        <v>206</v>
      </c>
      <c r="E313" s="123">
        <v>42558.0</v>
      </c>
      <c r="F313" s="51" t="str">
        <f t="shared" si="31"/>
        <v>Jul-2016</v>
      </c>
      <c r="G313" s="129" t="s">
        <v>25</v>
      </c>
      <c r="H313" s="55" t="s">
        <v>129</v>
      </c>
      <c r="I313" s="130" t="s">
        <v>208</v>
      </c>
      <c r="J313" s="114" t="s">
        <v>9</v>
      </c>
      <c r="K313" s="114" t="s">
        <v>27</v>
      </c>
      <c r="L313" s="114" t="s">
        <v>24</v>
      </c>
      <c r="M313" s="114"/>
      <c r="N313" s="114" t="s">
        <v>106</v>
      </c>
      <c r="O313" s="131"/>
      <c r="P313" s="131"/>
      <c r="Q313" s="132"/>
    </row>
    <row r="314">
      <c r="A314" s="107"/>
      <c r="B314" s="95"/>
      <c r="C314" s="95"/>
      <c r="D314" s="95"/>
      <c r="E314" s="95"/>
      <c r="I314" s="23"/>
    </row>
    <row r="315">
      <c r="A315" s="83" t="s">
        <v>209</v>
      </c>
      <c r="B315" s="134" t="s">
        <v>151</v>
      </c>
      <c r="C315" s="11" t="s">
        <v>74</v>
      </c>
      <c r="D315" s="83" t="s">
        <v>209</v>
      </c>
      <c r="E315" s="90">
        <v>42559.0</v>
      </c>
      <c r="F315" s="110" t="str">
        <f t="shared" ref="F315:F318" si="32">TEXT(E315, "mmm") &amp; "-" &amp; TEXT(E315, "yyyy") </f>
        <v>Jul-2016</v>
      </c>
      <c r="G315" s="110" t="s">
        <v>20</v>
      </c>
      <c r="H315" s="110" t="s">
        <v>35</v>
      </c>
      <c r="I315" s="79" t="s">
        <v>148</v>
      </c>
      <c r="J315" s="47" t="s">
        <v>27</v>
      </c>
      <c r="K315" s="47" t="s">
        <v>9</v>
      </c>
      <c r="L315" s="47" t="s">
        <v>24</v>
      </c>
      <c r="M315" s="111" t="s">
        <v>24</v>
      </c>
      <c r="N315" s="111" t="s">
        <v>29</v>
      </c>
      <c r="O315" s="110"/>
      <c r="P315" s="110"/>
      <c r="Q315" s="146"/>
    </row>
    <row r="316">
      <c r="A316" s="134" t="s">
        <v>151</v>
      </c>
      <c r="B316" s="134" t="s">
        <v>151</v>
      </c>
      <c r="C316" s="11" t="s">
        <v>74</v>
      </c>
      <c r="D316" s="83" t="s">
        <v>209</v>
      </c>
      <c r="E316" s="90">
        <v>42559.0</v>
      </c>
      <c r="F316" s="13" t="str">
        <f t="shared" si="32"/>
        <v>Jul-2016</v>
      </c>
      <c r="G316" s="13" t="s">
        <v>25</v>
      </c>
      <c r="H316" s="13" t="s">
        <v>35</v>
      </c>
      <c r="I316" s="48" t="s">
        <v>148</v>
      </c>
      <c r="J316" s="16" t="s">
        <v>27</v>
      </c>
      <c r="K316" s="16" t="s">
        <v>9</v>
      </c>
      <c r="L316" s="16" t="s">
        <v>24</v>
      </c>
      <c r="M316" s="17"/>
      <c r="N316" s="17" t="s">
        <v>98</v>
      </c>
      <c r="O316" s="17"/>
      <c r="P316" s="17"/>
      <c r="Q316" s="49"/>
    </row>
    <row r="317">
      <c r="A317" s="11" t="s">
        <v>74</v>
      </c>
      <c r="B317" s="134" t="s">
        <v>151</v>
      </c>
      <c r="C317" s="11" t="s">
        <v>74</v>
      </c>
      <c r="D317" s="83" t="s">
        <v>209</v>
      </c>
      <c r="E317" s="90">
        <v>42559.0</v>
      </c>
      <c r="F317" s="21" t="str">
        <f t="shared" si="32"/>
        <v>Jul-2016</v>
      </c>
      <c r="G317" s="91" t="s">
        <v>20</v>
      </c>
      <c r="H317" s="21" t="s">
        <v>35</v>
      </c>
      <c r="I317" s="126" t="s">
        <v>135</v>
      </c>
      <c r="J317" s="119" t="s">
        <v>86</v>
      </c>
      <c r="K317" s="119" t="s">
        <v>9</v>
      </c>
      <c r="L317" s="119" t="s">
        <v>24</v>
      </c>
      <c r="M317" s="91" t="s">
        <v>24</v>
      </c>
      <c r="N317" s="91" t="s">
        <v>98</v>
      </c>
      <c r="O317" s="21"/>
      <c r="P317" s="21"/>
      <c r="Q317" s="147"/>
    </row>
    <row r="318">
      <c r="A318" s="157">
        <v>42559.0</v>
      </c>
      <c r="B318" s="134" t="s">
        <v>151</v>
      </c>
      <c r="C318" s="11" t="s">
        <v>74</v>
      </c>
      <c r="D318" s="83" t="s">
        <v>209</v>
      </c>
      <c r="E318" s="157">
        <v>42559.0</v>
      </c>
      <c r="F318" s="51" t="str">
        <f t="shared" si="32"/>
        <v>Jul-2016</v>
      </c>
      <c r="G318" s="51" t="s">
        <v>25</v>
      </c>
      <c r="H318" s="51" t="s">
        <v>35</v>
      </c>
      <c r="I318" s="130" t="s">
        <v>135</v>
      </c>
      <c r="J318" s="114" t="s">
        <v>86</v>
      </c>
      <c r="K318" s="114" t="s">
        <v>9</v>
      </c>
      <c r="L318" s="114" t="s">
        <v>24</v>
      </c>
      <c r="M318" s="129"/>
      <c r="N318" s="129" t="s">
        <v>99</v>
      </c>
      <c r="O318" s="51"/>
      <c r="P318" s="51"/>
      <c r="Q318" s="158"/>
    </row>
    <row r="319">
      <c r="A319" s="107"/>
      <c r="B319" s="95"/>
      <c r="C319" s="95"/>
      <c r="D319" s="95"/>
      <c r="E319" s="95"/>
      <c r="I319" s="23"/>
    </row>
    <row r="320">
      <c r="A320" s="133" t="s">
        <v>210</v>
      </c>
      <c r="B320" s="134" t="s">
        <v>18</v>
      </c>
      <c r="C320" s="134" t="s">
        <v>84</v>
      </c>
      <c r="D320" s="133" t="s">
        <v>210</v>
      </c>
      <c r="E320" s="151">
        <v>42560.0</v>
      </c>
      <c r="F320" s="110" t="str">
        <f t="shared" ref="F320:F335" si="33">TEXT(E320, "mmm") &amp; "-" &amp; TEXT(E320, "yyyy") </f>
        <v>Jul-2016</v>
      </c>
      <c r="G320" s="111" t="s">
        <v>20</v>
      </c>
      <c r="H320" s="47" t="s">
        <v>21</v>
      </c>
      <c r="I320" s="79" t="s">
        <v>211</v>
      </c>
      <c r="J320" s="47" t="s">
        <v>71</v>
      </c>
      <c r="K320" s="47" t="s">
        <v>9</v>
      </c>
      <c r="L320" s="47" t="s">
        <v>24</v>
      </c>
      <c r="M320" s="47" t="s">
        <v>24</v>
      </c>
      <c r="N320" s="47" t="s">
        <v>37</v>
      </c>
      <c r="O320" s="152"/>
      <c r="P320" s="152"/>
      <c r="Q320" s="153"/>
    </row>
    <row r="321">
      <c r="A321" s="134" t="s">
        <v>18</v>
      </c>
      <c r="B321" s="134" t="s">
        <v>18</v>
      </c>
      <c r="C321" s="134" t="s">
        <v>84</v>
      </c>
      <c r="D321" s="133" t="s">
        <v>210</v>
      </c>
      <c r="E321" s="154">
        <v>42560.0</v>
      </c>
      <c r="F321" s="13" t="str">
        <f t="shared" si="33"/>
        <v>Jul-2016</v>
      </c>
      <c r="G321" s="17" t="s">
        <v>25</v>
      </c>
      <c r="H321" s="16" t="s">
        <v>21</v>
      </c>
      <c r="I321" s="48" t="s">
        <v>211</v>
      </c>
      <c r="J321" s="16" t="s">
        <v>71</v>
      </c>
      <c r="K321" s="16" t="s">
        <v>9</v>
      </c>
      <c r="L321" s="16" t="s">
        <v>24</v>
      </c>
      <c r="M321" s="16"/>
      <c r="N321" s="16" t="s">
        <v>106</v>
      </c>
      <c r="O321" s="101"/>
      <c r="P321" s="101"/>
      <c r="Q321" s="102"/>
    </row>
    <row r="322">
      <c r="A322" s="10" t="s">
        <v>26</v>
      </c>
      <c r="B322" s="134" t="s">
        <v>18</v>
      </c>
      <c r="C322" s="134" t="s">
        <v>84</v>
      </c>
      <c r="D322" s="133" t="s">
        <v>210</v>
      </c>
      <c r="E322" s="154">
        <v>42560.0</v>
      </c>
      <c r="F322" s="21" t="str">
        <f t="shared" si="33"/>
        <v>Jul-2016</v>
      </c>
      <c r="G322" s="91" t="s">
        <v>20</v>
      </c>
      <c r="H322" s="25" t="s">
        <v>21</v>
      </c>
      <c r="I322" s="80" t="s">
        <v>212</v>
      </c>
      <c r="J322" s="25" t="s">
        <v>71</v>
      </c>
      <c r="K322" s="119" t="s">
        <v>9</v>
      </c>
      <c r="L322" s="25" t="s">
        <v>24</v>
      </c>
      <c r="M322" s="25" t="s">
        <v>24</v>
      </c>
      <c r="N322" s="25" t="s">
        <v>37</v>
      </c>
      <c r="Q322" s="99"/>
    </row>
    <row r="323">
      <c r="A323" s="155">
        <v>42560.0</v>
      </c>
      <c r="B323" s="134" t="s">
        <v>18</v>
      </c>
      <c r="C323" s="134" t="s">
        <v>84</v>
      </c>
      <c r="D323" s="133" t="s">
        <v>210</v>
      </c>
      <c r="E323" s="154">
        <v>42560.0</v>
      </c>
      <c r="F323" s="21" t="str">
        <f t="shared" si="33"/>
        <v>Jul-2016</v>
      </c>
      <c r="G323" s="26" t="s">
        <v>25</v>
      </c>
      <c r="H323" s="25" t="s">
        <v>21</v>
      </c>
      <c r="I323" s="80" t="s">
        <v>212</v>
      </c>
      <c r="J323" s="25" t="s">
        <v>71</v>
      </c>
      <c r="K323" s="119" t="s">
        <v>9</v>
      </c>
      <c r="L323" s="25" t="s">
        <v>24</v>
      </c>
      <c r="M323" s="25"/>
      <c r="N323" s="25" t="s">
        <v>106</v>
      </c>
      <c r="Q323" s="99"/>
    </row>
    <row r="324">
      <c r="A324" s="134" t="s">
        <v>84</v>
      </c>
      <c r="B324" s="134" t="s">
        <v>18</v>
      </c>
      <c r="C324" s="134" t="s">
        <v>84</v>
      </c>
      <c r="D324" s="133" t="s">
        <v>210</v>
      </c>
      <c r="E324" s="154">
        <v>42560.0</v>
      </c>
      <c r="F324" s="13" t="str">
        <f t="shared" si="33"/>
        <v>Jul-2016</v>
      </c>
      <c r="G324" s="17" t="s">
        <v>20</v>
      </c>
      <c r="H324" s="16" t="s">
        <v>35</v>
      </c>
      <c r="I324" s="48" t="s">
        <v>47</v>
      </c>
      <c r="J324" s="16" t="s">
        <v>48</v>
      </c>
      <c r="K324" s="16" t="s">
        <v>9</v>
      </c>
      <c r="L324" s="16" t="s">
        <v>24</v>
      </c>
      <c r="M324" s="16" t="s">
        <v>24</v>
      </c>
      <c r="N324" s="16" t="s">
        <v>98</v>
      </c>
      <c r="O324" s="101"/>
      <c r="P324" s="101"/>
      <c r="Q324" s="102"/>
    </row>
    <row r="325">
      <c r="A325" s="140"/>
      <c r="B325" s="134" t="s">
        <v>18</v>
      </c>
      <c r="C325" s="134" t="s">
        <v>84</v>
      </c>
      <c r="D325" s="133" t="s">
        <v>210</v>
      </c>
      <c r="E325" s="154">
        <v>42560.0</v>
      </c>
      <c r="F325" s="13" t="str">
        <f t="shared" si="33"/>
        <v>Jul-2016</v>
      </c>
      <c r="G325" s="17" t="s">
        <v>25</v>
      </c>
      <c r="H325" s="16" t="s">
        <v>35</v>
      </c>
      <c r="I325" s="48" t="s">
        <v>47</v>
      </c>
      <c r="J325" s="16" t="s">
        <v>48</v>
      </c>
      <c r="K325" s="16" t="s">
        <v>9</v>
      </c>
      <c r="L325" s="16" t="s">
        <v>24</v>
      </c>
      <c r="M325" s="16"/>
      <c r="N325" s="16" t="s">
        <v>29</v>
      </c>
      <c r="O325" s="101"/>
      <c r="P325" s="101"/>
      <c r="Q325" s="102"/>
    </row>
    <row r="326">
      <c r="A326" s="140"/>
      <c r="B326" s="134" t="s">
        <v>18</v>
      </c>
      <c r="C326" s="134" t="s">
        <v>84</v>
      </c>
      <c r="D326" s="133" t="s">
        <v>210</v>
      </c>
      <c r="E326" s="154">
        <v>42560.0</v>
      </c>
      <c r="F326" s="21" t="str">
        <f t="shared" si="33"/>
        <v>Jul-2016</v>
      </c>
      <c r="G326" s="91" t="s">
        <v>20</v>
      </c>
      <c r="H326" s="25" t="s">
        <v>35</v>
      </c>
      <c r="I326" s="80" t="s">
        <v>213</v>
      </c>
      <c r="J326" s="25" t="s">
        <v>9</v>
      </c>
      <c r="K326" s="119" t="s">
        <v>9</v>
      </c>
      <c r="L326" s="25" t="s">
        <v>24</v>
      </c>
      <c r="M326" s="25" t="s">
        <v>24</v>
      </c>
      <c r="N326" s="25" t="s">
        <v>98</v>
      </c>
      <c r="Q326" s="99"/>
    </row>
    <row r="327">
      <c r="A327" s="140"/>
      <c r="B327" s="134" t="s">
        <v>18</v>
      </c>
      <c r="C327" s="134" t="s">
        <v>84</v>
      </c>
      <c r="D327" s="133" t="s">
        <v>210</v>
      </c>
      <c r="E327" s="154">
        <v>42560.0</v>
      </c>
      <c r="F327" s="21" t="str">
        <f t="shared" si="33"/>
        <v>Jul-2016</v>
      </c>
      <c r="G327" s="26" t="s">
        <v>25</v>
      </c>
      <c r="H327" s="25" t="s">
        <v>35</v>
      </c>
      <c r="I327" s="80" t="s">
        <v>213</v>
      </c>
      <c r="J327" s="25" t="s">
        <v>9</v>
      </c>
      <c r="K327" s="119" t="s">
        <v>9</v>
      </c>
      <c r="L327" s="25" t="s">
        <v>30</v>
      </c>
      <c r="M327" s="25"/>
      <c r="N327" s="25" t="s">
        <v>106</v>
      </c>
      <c r="Q327" s="99"/>
    </row>
    <row r="328">
      <c r="A328" s="140"/>
      <c r="B328" s="134" t="s">
        <v>18</v>
      </c>
      <c r="C328" s="134" t="s">
        <v>84</v>
      </c>
      <c r="D328" s="133" t="s">
        <v>210</v>
      </c>
      <c r="E328" s="154">
        <v>42560.0</v>
      </c>
      <c r="F328" s="21" t="str">
        <f t="shared" si="33"/>
        <v>Jul-2016</v>
      </c>
      <c r="G328" s="26" t="s">
        <v>32</v>
      </c>
      <c r="H328" s="25" t="s">
        <v>35</v>
      </c>
      <c r="I328" s="80" t="s">
        <v>213</v>
      </c>
      <c r="J328" s="25" t="s">
        <v>9</v>
      </c>
      <c r="K328" s="119" t="s">
        <v>9</v>
      </c>
      <c r="L328" s="25" t="s">
        <v>24</v>
      </c>
      <c r="M328" s="25"/>
      <c r="N328" s="25" t="s">
        <v>29</v>
      </c>
      <c r="Q328" s="99"/>
    </row>
    <row r="329">
      <c r="A329" s="140"/>
      <c r="B329" s="134" t="s">
        <v>18</v>
      </c>
      <c r="C329" s="134" t="s">
        <v>84</v>
      </c>
      <c r="D329" s="133" t="s">
        <v>210</v>
      </c>
      <c r="E329" s="154">
        <v>42560.0</v>
      </c>
      <c r="F329" s="13" t="str">
        <f t="shared" si="33"/>
        <v>Jul-2016</v>
      </c>
      <c r="G329" s="17" t="s">
        <v>20</v>
      </c>
      <c r="H329" s="16" t="s">
        <v>129</v>
      </c>
      <c r="I329" s="48" t="s">
        <v>93</v>
      </c>
      <c r="J329" s="16" t="s">
        <v>23</v>
      </c>
      <c r="K329" s="16" t="s">
        <v>9</v>
      </c>
      <c r="L329" s="16" t="s">
        <v>24</v>
      </c>
      <c r="M329" s="16" t="s">
        <v>24</v>
      </c>
      <c r="N329" s="16" t="s">
        <v>98</v>
      </c>
      <c r="O329" s="101"/>
      <c r="P329" s="101"/>
      <c r="Q329" s="102"/>
    </row>
    <row r="330">
      <c r="A330" s="140"/>
      <c r="B330" s="134" t="s">
        <v>18</v>
      </c>
      <c r="C330" s="134" t="s">
        <v>84</v>
      </c>
      <c r="D330" s="133" t="s">
        <v>210</v>
      </c>
      <c r="E330" s="154">
        <v>42560.0</v>
      </c>
      <c r="F330" s="13" t="str">
        <f t="shared" si="33"/>
        <v>Jul-2016</v>
      </c>
      <c r="G330" s="17" t="s">
        <v>25</v>
      </c>
      <c r="H330" s="16" t="s">
        <v>129</v>
      </c>
      <c r="I330" s="48" t="s">
        <v>93</v>
      </c>
      <c r="J330" s="16" t="s">
        <v>23</v>
      </c>
      <c r="K330" s="16" t="s">
        <v>9</v>
      </c>
      <c r="L330" s="16" t="s">
        <v>24</v>
      </c>
      <c r="M330" s="16"/>
      <c r="N330" s="16" t="s">
        <v>106</v>
      </c>
      <c r="O330" s="101"/>
      <c r="P330" s="101"/>
      <c r="Q330" s="102"/>
    </row>
    <row r="331">
      <c r="A331" s="140"/>
      <c r="B331" s="134" t="s">
        <v>18</v>
      </c>
      <c r="C331" s="134" t="s">
        <v>84</v>
      </c>
      <c r="D331" s="133" t="s">
        <v>210</v>
      </c>
      <c r="E331" s="154">
        <v>42560.0</v>
      </c>
      <c r="F331" s="21" t="str">
        <f t="shared" si="33"/>
        <v>Jul-2016</v>
      </c>
      <c r="G331" s="91" t="s">
        <v>20</v>
      </c>
      <c r="H331" s="25" t="s">
        <v>129</v>
      </c>
      <c r="I331" s="80" t="s">
        <v>214</v>
      </c>
      <c r="J331" s="25" t="s">
        <v>27</v>
      </c>
      <c r="K331" s="119" t="s">
        <v>9</v>
      </c>
      <c r="L331" s="25" t="s">
        <v>30</v>
      </c>
      <c r="M331" s="25" t="s">
        <v>30</v>
      </c>
      <c r="N331" s="25" t="s">
        <v>29</v>
      </c>
      <c r="Q331" s="99"/>
    </row>
    <row r="332">
      <c r="A332" s="140"/>
      <c r="B332" s="134" t="s">
        <v>18</v>
      </c>
      <c r="C332" s="134" t="s">
        <v>84</v>
      </c>
      <c r="D332" s="133" t="s">
        <v>210</v>
      </c>
      <c r="E332" s="154">
        <v>42560.0</v>
      </c>
      <c r="F332" s="21" t="str">
        <f t="shared" si="33"/>
        <v>Jul-2016</v>
      </c>
      <c r="G332" s="26" t="s">
        <v>25</v>
      </c>
      <c r="H332" s="25" t="s">
        <v>129</v>
      </c>
      <c r="I332" s="80" t="s">
        <v>214</v>
      </c>
      <c r="J332" s="25" t="s">
        <v>27</v>
      </c>
      <c r="K332" s="119" t="s">
        <v>9</v>
      </c>
      <c r="L332" s="25" t="s">
        <v>30</v>
      </c>
      <c r="M332" s="25"/>
      <c r="N332" s="25" t="s">
        <v>69</v>
      </c>
      <c r="Q332" s="99"/>
    </row>
    <row r="333">
      <c r="A333" s="140"/>
      <c r="B333" s="134" t="s">
        <v>18</v>
      </c>
      <c r="C333" s="134" t="s">
        <v>84</v>
      </c>
      <c r="D333" s="133" t="s">
        <v>210</v>
      </c>
      <c r="E333" s="154">
        <v>42560.0</v>
      </c>
      <c r="F333" s="13" t="str">
        <f t="shared" si="33"/>
        <v>Jul-2016</v>
      </c>
      <c r="G333" s="17" t="s">
        <v>20</v>
      </c>
      <c r="H333" s="16" t="s">
        <v>129</v>
      </c>
      <c r="I333" s="48" t="s">
        <v>133</v>
      </c>
      <c r="J333" s="16" t="s">
        <v>23</v>
      </c>
      <c r="K333" s="16" t="s">
        <v>9</v>
      </c>
      <c r="L333" s="16" t="s">
        <v>30</v>
      </c>
      <c r="M333" s="16" t="s">
        <v>24</v>
      </c>
      <c r="N333" s="16" t="s">
        <v>98</v>
      </c>
      <c r="O333" s="101"/>
      <c r="P333" s="101"/>
      <c r="Q333" s="102"/>
    </row>
    <row r="334">
      <c r="A334" s="140"/>
      <c r="B334" s="134" t="s">
        <v>18</v>
      </c>
      <c r="C334" s="134" t="s">
        <v>84</v>
      </c>
      <c r="D334" s="133" t="s">
        <v>210</v>
      </c>
      <c r="E334" s="154">
        <v>42560.0</v>
      </c>
      <c r="F334" s="13" t="str">
        <f t="shared" si="33"/>
        <v>Jul-2016</v>
      </c>
      <c r="G334" s="17" t="s">
        <v>25</v>
      </c>
      <c r="H334" s="16" t="s">
        <v>129</v>
      </c>
      <c r="I334" s="48" t="s">
        <v>133</v>
      </c>
      <c r="J334" s="16" t="s">
        <v>23</v>
      </c>
      <c r="K334" s="16" t="s">
        <v>9</v>
      </c>
      <c r="L334" s="16" t="s">
        <v>24</v>
      </c>
      <c r="M334" s="16"/>
      <c r="N334" s="16" t="s">
        <v>98</v>
      </c>
      <c r="O334" s="101"/>
      <c r="P334" s="101"/>
      <c r="Q334" s="102"/>
    </row>
    <row r="335">
      <c r="A335" s="141"/>
      <c r="B335" s="134" t="s">
        <v>18</v>
      </c>
      <c r="C335" s="134" t="s">
        <v>84</v>
      </c>
      <c r="D335" s="133" t="s">
        <v>210</v>
      </c>
      <c r="E335" s="156">
        <v>42560.0</v>
      </c>
      <c r="F335" s="35" t="str">
        <f t="shared" si="33"/>
        <v>Jul-2016</v>
      </c>
      <c r="G335" s="93" t="s">
        <v>32</v>
      </c>
      <c r="H335" s="38" t="s">
        <v>129</v>
      </c>
      <c r="I335" s="122" t="s">
        <v>133</v>
      </c>
      <c r="J335" s="38" t="s">
        <v>23</v>
      </c>
      <c r="K335" s="38" t="s">
        <v>9</v>
      </c>
      <c r="L335" s="38" t="s">
        <v>24</v>
      </c>
      <c r="M335" s="38"/>
      <c r="N335" s="38" t="s">
        <v>106</v>
      </c>
      <c r="O335" s="105"/>
      <c r="P335" s="105"/>
      <c r="Q335" s="106"/>
    </row>
    <row r="336">
      <c r="A336" s="107"/>
      <c r="B336" s="95"/>
      <c r="C336" s="95"/>
      <c r="D336" s="95"/>
      <c r="E336" s="95"/>
      <c r="H336" s="25"/>
      <c r="I336" s="23"/>
    </row>
    <row r="337">
      <c r="A337" s="68" t="s">
        <v>215</v>
      </c>
      <c r="B337" s="10" t="s">
        <v>18</v>
      </c>
      <c r="C337" s="159" t="s">
        <v>74</v>
      </c>
      <c r="D337" s="68" t="s">
        <v>215</v>
      </c>
      <c r="E337" s="123">
        <v>42578.0</v>
      </c>
      <c r="F337" s="110" t="str">
        <f t="shared" ref="F337:F354" si="34">TEXT(E337, "mmm") &amp; "-" &amp; TEXT(E337, "yyyy") </f>
        <v>Jul-2016</v>
      </c>
      <c r="G337" s="110" t="s">
        <v>20</v>
      </c>
      <c r="H337" s="111" t="s">
        <v>35</v>
      </c>
      <c r="I337" s="79" t="s">
        <v>111</v>
      </c>
      <c r="J337" s="47" t="s">
        <v>216</v>
      </c>
      <c r="K337" s="47" t="s">
        <v>9</v>
      </c>
      <c r="L337" s="47" t="s">
        <v>24</v>
      </c>
      <c r="M337" s="47" t="s">
        <v>24</v>
      </c>
      <c r="N337" s="47" t="s">
        <v>98</v>
      </c>
      <c r="O337" s="111"/>
      <c r="P337" s="111"/>
      <c r="Q337" s="112"/>
    </row>
    <row r="338">
      <c r="A338" s="10" t="s">
        <v>18</v>
      </c>
      <c r="B338" s="10" t="s">
        <v>18</v>
      </c>
      <c r="C338" s="159" t="s">
        <v>74</v>
      </c>
      <c r="D338" s="68" t="s">
        <v>215</v>
      </c>
      <c r="E338" s="123">
        <v>42578.0</v>
      </c>
      <c r="F338" s="13" t="str">
        <f t="shared" si="34"/>
        <v>Jul-2016</v>
      </c>
      <c r="G338" s="13" t="s">
        <v>25</v>
      </c>
      <c r="H338" s="17" t="s">
        <v>35</v>
      </c>
      <c r="I338" s="48" t="s">
        <v>111</v>
      </c>
      <c r="J338" s="16" t="s">
        <v>216</v>
      </c>
      <c r="K338" s="16" t="s">
        <v>9</v>
      </c>
      <c r="L338" s="16" t="s">
        <v>24</v>
      </c>
      <c r="M338" s="16"/>
      <c r="N338" s="16" t="s">
        <v>37</v>
      </c>
      <c r="O338" s="17"/>
      <c r="P338" s="17"/>
      <c r="Q338" s="49"/>
    </row>
    <row r="339">
      <c r="A339" s="10" t="s">
        <v>26</v>
      </c>
      <c r="B339" s="10" t="s">
        <v>18</v>
      </c>
      <c r="C339" s="159" t="s">
        <v>74</v>
      </c>
      <c r="D339" s="68" t="s">
        <v>215</v>
      </c>
      <c r="E339" s="123">
        <v>42578.0</v>
      </c>
      <c r="F339" s="22" t="str">
        <f t="shared" si="34"/>
        <v>Jul-2016</v>
      </c>
      <c r="G339" s="22" t="s">
        <v>20</v>
      </c>
      <c r="H339" s="26" t="s">
        <v>35</v>
      </c>
      <c r="I339" s="80" t="s">
        <v>217</v>
      </c>
      <c r="J339" s="25" t="s">
        <v>9</v>
      </c>
      <c r="K339" s="25" t="s">
        <v>9</v>
      </c>
      <c r="L339" s="25" t="s">
        <v>30</v>
      </c>
      <c r="M339" s="25" t="s">
        <v>30</v>
      </c>
      <c r="N339" s="25" t="s">
        <v>37</v>
      </c>
      <c r="O339" s="32"/>
      <c r="P339" s="32"/>
      <c r="Q339" s="27"/>
    </row>
    <row r="340">
      <c r="A340" s="123"/>
      <c r="B340" s="10" t="s">
        <v>18</v>
      </c>
      <c r="C340" s="159" t="s">
        <v>74</v>
      </c>
      <c r="D340" s="68" t="s">
        <v>215</v>
      </c>
      <c r="E340" s="123">
        <v>42578.0</v>
      </c>
      <c r="F340" s="22" t="str">
        <f t="shared" si="34"/>
        <v>Jul-2016</v>
      </c>
      <c r="G340" s="26" t="s">
        <v>25</v>
      </c>
      <c r="H340" s="26" t="s">
        <v>35</v>
      </c>
      <c r="I340" s="80" t="s">
        <v>217</v>
      </c>
      <c r="J340" s="25" t="s">
        <v>9</v>
      </c>
      <c r="K340" s="25" t="s">
        <v>9</v>
      </c>
      <c r="L340" s="25" t="s">
        <v>24</v>
      </c>
      <c r="M340" s="25"/>
      <c r="N340" s="25" t="s">
        <v>98</v>
      </c>
      <c r="O340" s="32"/>
      <c r="P340" s="32"/>
      <c r="Q340" s="27"/>
    </row>
    <row r="341">
      <c r="A341" s="123">
        <v>42578.0</v>
      </c>
      <c r="B341" s="10" t="s">
        <v>18</v>
      </c>
      <c r="C341" s="159" t="s">
        <v>74</v>
      </c>
      <c r="D341" s="68" t="s">
        <v>215</v>
      </c>
      <c r="E341" s="123">
        <v>42578.0</v>
      </c>
      <c r="F341" s="22" t="str">
        <f t="shared" si="34"/>
        <v>Jul-2016</v>
      </c>
      <c r="G341" s="26" t="s">
        <v>32</v>
      </c>
      <c r="H341" s="26" t="s">
        <v>35</v>
      </c>
      <c r="I341" s="80" t="s">
        <v>217</v>
      </c>
      <c r="J341" s="25" t="s">
        <v>9</v>
      </c>
      <c r="K341" s="25" t="s">
        <v>9</v>
      </c>
      <c r="L341" s="25" t="s">
        <v>30</v>
      </c>
      <c r="M341" s="25"/>
      <c r="N341" s="25" t="s">
        <v>106</v>
      </c>
      <c r="O341" s="32"/>
      <c r="P341" s="32"/>
      <c r="Q341" s="27"/>
    </row>
    <row r="342">
      <c r="A342" s="159" t="s">
        <v>74</v>
      </c>
      <c r="B342" s="10" t="s">
        <v>18</v>
      </c>
      <c r="C342" s="159" t="s">
        <v>74</v>
      </c>
      <c r="D342" s="68" t="s">
        <v>215</v>
      </c>
      <c r="E342" s="123">
        <v>42578.0</v>
      </c>
      <c r="F342" s="13" t="str">
        <f t="shared" si="34"/>
        <v>Jul-2016</v>
      </c>
      <c r="G342" s="13" t="s">
        <v>20</v>
      </c>
      <c r="H342" s="17" t="s">
        <v>35</v>
      </c>
      <c r="I342" s="48" t="s">
        <v>218</v>
      </c>
      <c r="J342" s="16" t="s">
        <v>86</v>
      </c>
      <c r="K342" s="16" t="s">
        <v>9</v>
      </c>
      <c r="L342" s="16" t="s">
        <v>24</v>
      </c>
      <c r="M342" s="16" t="s">
        <v>24</v>
      </c>
      <c r="N342" s="16" t="s">
        <v>98</v>
      </c>
      <c r="O342" s="19"/>
      <c r="P342" s="19"/>
      <c r="Q342" s="18"/>
    </row>
    <row r="343">
      <c r="A343" s="108"/>
      <c r="B343" s="10" t="s">
        <v>18</v>
      </c>
      <c r="C343" s="159" t="s">
        <v>74</v>
      </c>
      <c r="D343" s="68" t="s">
        <v>215</v>
      </c>
      <c r="E343" s="123">
        <v>42578.0</v>
      </c>
      <c r="F343" s="13" t="str">
        <f t="shared" si="34"/>
        <v>Jul-2016</v>
      </c>
      <c r="G343" s="13" t="s">
        <v>25</v>
      </c>
      <c r="H343" s="17" t="s">
        <v>35</v>
      </c>
      <c r="I343" s="48" t="s">
        <v>218</v>
      </c>
      <c r="J343" s="16" t="s">
        <v>86</v>
      </c>
      <c r="K343" s="16" t="s">
        <v>9</v>
      </c>
      <c r="L343" s="16" t="s">
        <v>24</v>
      </c>
      <c r="M343" s="16"/>
      <c r="N343" s="16" t="s">
        <v>29</v>
      </c>
      <c r="O343" s="19"/>
      <c r="P343" s="19"/>
      <c r="Q343" s="18"/>
    </row>
    <row r="344">
      <c r="A344" s="108"/>
      <c r="B344" s="10" t="s">
        <v>18</v>
      </c>
      <c r="C344" s="159" t="s">
        <v>74</v>
      </c>
      <c r="D344" s="68" t="s">
        <v>215</v>
      </c>
      <c r="E344" s="123">
        <v>42578.0</v>
      </c>
      <c r="F344" s="21" t="str">
        <f t="shared" si="34"/>
        <v>Jul-2016</v>
      </c>
      <c r="G344" s="22" t="s">
        <v>20</v>
      </c>
      <c r="H344" s="25" t="s">
        <v>129</v>
      </c>
      <c r="I344" s="126" t="s">
        <v>122</v>
      </c>
      <c r="J344" s="119" t="s">
        <v>44</v>
      </c>
      <c r="K344" s="119" t="s">
        <v>9</v>
      </c>
      <c r="L344" s="119" t="s">
        <v>30</v>
      </c>
      <c r="M344" s="119" t="s">
        <v>30</v>
      </c>
      <c r="N344" s="119" t="s">
        <v>98</v>
      </c>
      <c r="O344" s="127"/>
      <c r="P344" s="127"/>
      <c r="Q344" s="128"/>
    </row>
    <row r="345">
      <c r="A345" s="108"/>
      <c r="B345" s="10" t="s">
        <v>18</v>
      </c>
      <c r="C345" s="159" t="s">
        <v>74</v>
      </c>
      <c r="D345" s="68" t="s">
        <v>215</v>
      </c>
      <c r="E345" s="123">
        <v>42578.0</v>
      </c>
      <c r="F345" s="21" t="str">
        <f t="shared" si="34"/>
        <v>Jul-2016</v>
      </c>
      <c r="G345" s="26" t="s">
        <v>25</v>
      </c>
      <c r="H345" s="25" t="s">
        <v>129</v>
      </c>
      <c r="I345" s="126" t="s">
        <v>122</v>
      </c>
      <c r="J345" s="119" t="s">
        <v>44</v>
      </c>
      <c r="K345" s="119" t="s">
        <v>9</v>
      </c>
      <c r="L345" s="119" t="s">
        <v>24</v>
      </c>
      <c r="M345" s="119"/>
      <c r="N345" s="119" t="s">
        <v>98</v>
      </c>
      <c r="O345" s="127"/>
      <c r="P345" s="127"/>
      <c r="Q345" s="128"/>
    </row>
    <row r="346">
      <c r="A346" s="123"/>
      <c r="B346" s="10" t="s">
        <v>18</v>
      </c>
      <c r="C346" s="159" t="s">
        <v>74</v>
      </c>
      <c r="D346" s="68" t="s">
        <v>215</v>
      </c>
      <c r="E346" s="123">
        <v>42578.0</v>
      </c>
      <c r="F346" s="21" t="str">
        <f t="shared" si="34"/>
        <v>Jul-2016</v>
      </c>
      <c r="G346" s="26" t="s">
        <v>32</v>
      </c>
      <c r="H346" s="25" t="s">
        <v>129</v>
      </c>
      <c r="I346" s="126" t="s">
        <v>122</v>
      </c>
      <c r="J346" s="119" t="s">
        <v>44</v>
      </c>
      <c r="K346" s="25" t="s">
        <v>9</v>
      </c>
      <c r="L346" s="119" t="s">
        <v>30</v>
      </c>
      <c r="M346" s="119"/>
      <c r="N346" s="119" t="s">
        <v>69</v>
      </c>
      <c r="O346" s="127"/>
      <c r="P346" s="127"/>
      <c r="Q346" s="128"/>
    </row>
    <row r="347">
      <c r="A347" s="123"/>
      <c r="B347" s="10" t="s">
        <v>18</v>
      </c>
      <c r="C347" s="159" t="s">
        <v>74</v>
      </c>
      <c r="D347" s="68" t="s">
        <v>215</v>
      </c>
      <c r="E347" s="123">
        <v>42578.0</v>
      </c>
      <c r="F347" s="13" t="str">
        <f t="shared" si="34"/>
        <v>Jul-2016</v>
      </c>
      <c r="G347" s="13" t="s">
        <v>20</v>
      </c>
      <c r="H347" s="17" t="s">
        <v>129</v>
      </c>
      <c r="I347" s="48" t="s">
        <v>219</v>
      </c>
      <c r="J347" s="16" t="s">
        <v>97</v>
      </c>
      <c r="K347" s="16" t="s">
        <v>9</v>
      </c>
      <c r="L347" s="16" t="s">
        <v>30</v>
      </c>
      <c r="M347" s="16" t="s">
        <v>30</v>
      </c>
      <c r="N347" s="16" t="s">
        <v>98</v>
      </c>
      <c r="O347" s="19"/>
      <c r="P347" s="19"/>
      <c r="Q347" s="18"/>
    </row>
    <row r="348">
      <c r="A348" s="123"/>
      <c r="B348" s="10" t="s">
        <v>18</v>
      </c>
      <c r="C348" s="159" t="s">
        <v>74</v>
      </c>
      <c r="D348" s="68" t="s">
        <v>215</v>
      </c>
      <c r="E348" s="123">
        <v>42578.0</v>
      </c>
      <c r="F348" s="13" t="str">
        <f t="shared" si="34"/>
        <v>Jul-2016</v>
      </c>
      <c r="G348" s="13" t="s">
        <v>25</v>
      </c>
      <c r="H348" s="17" t="s">
        <v>129</v>
      </c>
      <c r="I348" s="48" t="s">
        <v>219</v>
      </c>
      <c r="J348" s="16" t="s">
        <v>97</v>
      </c>
      <c r="K348" s="16" t="s">
        <v>9</v>
      </c>
      <c r="L348" s="16" t="s">
        <v>30</v>
      </c>
      <c r="M348" s="16"/>
      <c r="N348" s="16" t="s">
        <v>29</v>
      </c>
      <c r="O348" s="19"/>
      <c r="P348" s="19"/>
      <c r="Q348" s="18"/>
    </row>
    <row r="349">
      <c r="A349" s="123"/>
      <c r="B349" s="10" t="s">
        <v>18</v>
      </c>
      <c r="C349" s="159" t="s">
        <v>74</v>
      </c>
      <c r="D349" s="68" t="s">
        <v>215</v>
      </c>
      <c r="E349" s="123">
        <v>42578.0</v>
      </c>
      <c r="F349" s="21" t="str">
        <f t="shared" si="34"/>
        <v>Jul-2016</v>
      </c>
      <c r="G349" s="22" t="s">
        <v>20</v>
      </c>
      <c r="H349" s="25" t="s">
        <v>129</v>
      </c>
      <c r="I349" s="126" t="s">
        <v>220</v>
      </c>
      <c r="J349" s="119" t="s">
        <v>182</v>
      </c>
      <c r="K349" s="25" t="s">
        <v>9</v>
      </c>
      <c r="L349" s="119" t="s">
        <v>30</v>
      </c>
      <c r="M349" s="119" t="s">
        <v>30</v>
      </c>
      <c r="N349" s="119" t="s">
        <v>98</v>
      </c>
      <c r="O349" s="127"/>
      <c r="P349" s="127"/>
      <c r="Q349" s="128"/>
    </row>
    <row r="350">
      <c r="A350" s="123"/>
      <c r="B350" s="10" t="s">
        <v>18</v>
      </c>
      <c r="C350" s="159" t="s">
        <v>74</v>
      </c>
      <c r="D350" s="68" t="s">
        <v>215</v>
      </c>
      <c r="E350" s="123">
        <v>42578.0</v>
      </c>
      <c r="F350" s="21" t="str">
        <f t="shared" si="34"/>
        <v>Jul-2016</v>
      </c>
      <c r="G350" s="26" t="s">
        <v>25</v>
      </c>
      <c r="H350" s="25" t="s">
        <v>129</v>
      </c>
      <c r="I350" s="126" t="s">
        <v>220</v>
      </c>
      <c r="J350" s="119" t="s">
        <v>182</v>
      </c>
      <c r="K350" s="25" t="s">
        <v>9</v>
      </c>
      <c r="L350" s="119" t="s">
        <v>24</v>
      </c>
      <c r="M350" s="119"/>
      <c r="N350" s="119" t="s">
        <v>37</v>
      </c>
      <c r="O350" s="127"/>
      <c r="P350" s="127"/>
      <c r="Q350" s="128"/>
    </row>
    <row r="351">
      <c r="A351" s="123"/>
      <c r="B351" s="10" t="s">
        <v>18</v>
      </c>
      <c r="C351" s="159" t="s">
        <v>74</v>
      </c>
      <c r="D351" s="68" t="s">
        <v>215</v>
      </c>
      <c r="E351" s="123">
        <v>42578.0</v>
      </c>
      <c r="F351" s="21" t="str">
        <f t="shared" si="34"/>
        <v>Jul-2016</v>
      </c>
      <c r="G351" s="26" t="s">
        <v>32</v>
      </c>
      <c r="H351" s="25" t="s">
        <v>129</v>
      </c>
      <c r="I351" s="126" t="s">
        <v>220</v>
      </c>
      <c r="J351" s="119" t="s">
        <v>182</v>
      </c>
      <c r="K351" s="25" t="s">
        <v>9</v>
      </c>
      <c r="L351" s="119" t="s">
        <v>30</v>
      </c>
      <c r="M351" s="119"/>
      <c r="N351" s="119" t="s">
        <v>106</v>
      </c>
      <c r="O351" s="127"/>
      <c r="P351" s="127"/>
      <c r="Q351" s="128"/>
    </row>
    <row r="352">
      <c r="A352" s="123"/>
      <c r="B352" s="10" t="s">
        <v>18</v>
      </c>
      <c r="C352" s="159" t="s">
        <v>74</v>
      </c>
      <c r="D352" s="68" t="s">
        <v>215</v>
      </c>
      <c r="E352" s="123">
        <v>42578.0</v>
      </c>
      <c r="F352" s="13" t="str">
        <f t="shared" si="34"/>
        <v>Jul-2016</v>
      </c>
      <c r="G352" s="17" t="s">
        <v>146</v>
      </c>
      <c r="H352" s="16" t="s">
        <v>147</v>
      </c>
      <c r="I352" s="48" t="s">
        <v>221</v>
      </c>
      <c r="J352" s="16" t="s">
        <v>23</v>
      </c>
      <c r="K352" s="16" t="s">
        <v>9</v>
      </c>
      <c r="L352" s="16" t="s">
        <v>24</v>
      </c>
      <c r="M352" s="16" t="s">
        <v>24</v>
      </c>
      <c r="N352" s="16" t="s">
        <v>98</v>
      </c>
      <c r="O352" s="19"/>
      <c r="P352" s="19"/>
      <c r="Q352" s="18"/>
    </row>
    <row r="353">
      <c r="A353" s="123"/>
      <c r="B353" s="10" t="s">
        <v>18</v>
      </c>
      <c r="C353" s="159" t="s">
        <v>74</v>
      </c>
      <c r="D353" s="68" t="s">
        <v>215</v>
      </c>
      <c r="E353" s="123">
        <v>42578.0</v>
      </c>
      <c r="F353" s="13" t="str">
        <f t="shared" si="34"/>
        <v>Jul-2016</v>
      </c>
      <c r="G353" s="17" t="s">
        <v>149</v>
      </c>
      <c r="H353" s="16" t="s">
        <v>147</v>
      </c>
      <c r="I353" s="48" t="s">
        <v>221</v>
      </c>
      <c r="J353" s="16" t="s">
        <v>23</v>
      </c>
      <c r="K353" s="16" t="s">
        <v>9</v>
      </c>
      <c r="L353" s="16" t="s">
        <v>24</v>
      </c>
      <c r="M353" s="16"/>
      <c r="N353" s="16" t="s">
        <v>29</v>
      </c>
      <c r="O353" s="19"/>
      <c r="P353" s="19"/>
      <c r="Q353" s="18"/>
    </row>
    <row r="354">
      <c r="A354" s="125"/>
      <c r="B354" s="10" t="s">
        <v>18</v>
      </c>
      <c r="C354" s="159" t="s">
        <v>74</v>
      </c>
      <c r="D354" s="68" t="s">
        <v>215</v>
      </c>
      <c r="E354" s="123">
        <v>42578.0</v>
      </c>
      <c r="F354" s="35" t="str">
        <f t="shared" si="34"/>
        <v>Jul-2016</v>
      </c>
      <c r="G354" s="93" t="s">
        <v>222</v>
      </c>
      <c r="H354" s="38" t="s">
        <v>147</v>
      </c>
      <c r="I354" s="122" t="s">
        <v>221</v>
      </c>
      <c r="J354" s="38" t="s">
        <v>23</v>
      </c>
      <c r="K354" s="16" t="s">
        <v>27</v>
      </c>
      <c r="L354" s="38" t="s">
        <v>24</v>
      </c>
      <c r="M354" s="38"/>
      <c r="N354" s="38" t="s">
        <v>29</v>
      </c>
      <c r="O354" s="39"/>
      <c r="P354" s="39"/>
      <c r="Q354" s="40"/>
    </row>
    <row r="355">
      <c r="A355" s="107"/>
      <c r="B355" s="95"/>
      <c r="C355" s="95"/>
      <c r="D355" s="95"/>
      <c r="E355" s="95"/>
      <c r="I355" s="23"/>
    </row>
    <row r="356">
      <c r="A356" s="83" t="s">
        <v>223</v>
      </c>
      <c r="B356" s="10" t="s">
        <v>73</v>
      </c>
      <c r="C356" s="160" t="s">
        <v>74</v>
      </c>
      <c r="D356" s="83" t="s">
        <v>223</v>
      </c>
      <c r="E356" s="90">
        <v>42579.0</v>
      </c>
      <c r="F356" s="110" t="str">
        <f t="shared" ref="F356:F367" si="35">TEXT(E356, "mmm") &amp; "-" &amp; TEXT(E356, "yyyy") </f>
        <v>Jul-2016</v>
      </c>
      <c r="G356" s="110" t="s">
        <v>20</v>
      </c>
      <c r="H356" s="110" t="s">
        <v>35</v>
      </c>
      <c r="I356" s="79" t="s">
        <v>171</v>
      </c>
      <c r="J356" s="47" t="s">
        <v>9</v>
      </c>
      <c r="K356" s="47" t="s">
        <v>9</v>
      </c>
      <c r="L356" s="47" t="s">
        <v>30</v>
      </c>
      <c r="M356" s="111" t="s">
        <v>30</v>
      </c>
      <c r="N356" s="111" t="s">
        <v>37</v>
      </c>
      <c r="O356" s="110"/>
      <c r="P356" s="110"/>
      <c r="Q356" s="146"/>
    </row>
    <row r="357">
      <c r="A357" s="10" t="s">
        <v>73</v>
      </c>
      <c r="B357" s="10" t="s">
        <v>73</v>
      </c>
      <c r="C357" s="160" t="s">
        <v>74</v>
      </c>
      <c r="D357" s="83" t="s">
        <v>223</v>
      </c>
      <c r="E357" s="90">
        <v>42579.0</v>
      </c>
      <c r="F357" s="13" t="str">
        <f t="shared" si="35"/>
        <v>Jul-2016</v>
      </c>
      <c r="G357" s="13" t="s">
        <v>25</v>
      </c>
      <c r="H357" s="13" t="s">
        <v>35</v>
      </c>
      <c r="I357" s="48" t="s">
        <v>171</v>
      </c>
      <c r="J357" s="16" t="s">
        <v>9</v>
      </c>
      <c r="K357" s="16" t="s">
        <v>9</v>
      </c>
      <c r="L357" s="16" t="s">
        <v>30</v>
      </c>
      <c r="M357" s="17"/>
      <c r="N357" s="17" t="s">
        <v>98</v>
      </c>
      <c r="O357" s="17"/>
      <c r="P357" s="17"/>
      <c r="Q357" s="49"/>
    </row>
    <row r="358">
      <c r="A358" s="10" t="s">
        <v>76</v>
      </c>
      <c r="B358" s="10" t="s">
        <v>73</v>
      </c>
      <c r="C358" s="160" t="s">
        <v>74</v>
      </c>
      <c r="D358" s="83" t="s">
        <v>223</v>
      </c>
      <c r="E358" s="90">
        <v>42579.0</v>
      </c>
      <c r="F358" s="21" t="str">
        <f t="shared" si="35"/>
        <v>Jul-2016</v>
      </c>
      <c r="G358" s="21" t="s">
        <v>20</v>
      </c>
      <c r="H358" s="21" t="s">
        <v>35</v>
      </c>
      <c r="I358" s="126" t="s">
        <v>92</v>
      </c>
      <c r="J358" s="119" t="s">
        <v>27</v>
      </c>
      <c r="K358" s="119" t="s">
        <v>9</v>
      </c>
      <c r="L358" s="119" t="s">
        <v>24</v>
      </c>
      <c r="M358" s="91" t="s">
        <v>24</v>
      </c>
      <c r="N358" s="91" t="s">
        <v>37</v>
      </c>
      <c r="O358" s="21"/>
      <c r="P358" s="21"/>
      <c r="Q358" s="147"/>
    </row>
    <row r="359">
      <c r="A359" s="90">
        <v>42579.0</v>
      </c>
      <c r="B359" s="10" t="s">
        <v>73</v>
      </c>
      <c r="C359" s="160" t="s">
        <v>74</v>
      </c>
      <c r="D359" s="83" t="s">
        <v>223</v>
      </c>
      <c r="E359" s="90">
        <v>42579.0</v>
      </c>
      <c r="F359" s="21" t="str">
        <f t="shared" si="35"/>
        <v>Jul-2016</v>
      </c>
      <c r="G359" s="21" t="s">
        <v>25</v>
      </c>
      <c r="H359" s="21" t="s">
        <v>35</v>
      </c>
      <c r="I359" s="126" t="s">
        <v>92</v>
      </c>
      <c r="J359" s="119" t="s">
        <v>27</v>
      </c>
      <c r="K359" s="119" t="s">
        <v>9</v>
      </c>
      <c r="L359" s="119" t="s">
        <v>24</v>
      </c>
      <c r="M359" s="91"/>
      <c r="N359" s="91" t="s">
        <v>29</v>
      </c>
      <c r="O359" s="21"/>
      <c r="P359" s="21"/>
      <c r="Q359" s="147"/>
    </row>
    <row r="360">
      <c r="A360" s="160" t="s">
        <v>74</v>
      </c>
      <c r="B360" s="10" t="s">
        <v>73</v>
      </c>
      <c r="C360" s="160" t="s">
        <v>74</v>
      </c>
      <c r="D360" s="83" t="s">
        <v>223</v>
      </c>
      <c r="E360" s="90">
        <v>42579.0</v>
      </c>
      <c r="F360" s="13" t="str">
        <f t="shared" si="35"/>
        <v>Jul-2016</v>
      </c>
      <c r="G360" s="13" t="s">
        <v>20</v>
      </c>
      <c r="H360" s="13" t="s">
        <v>35</v>
      </c>
      <c r="I360" s="48" t="s">
        <v>224</v>
      </c>
      <c r="J360" s="16" t="s">
        <v>27</v>
      </c>
      <c r="K360" s="16" t="s">
        <v>9</v>
      </c>
      <c r="L360" s="16" t="s">
        <v>24</v>
      </c>
      <c r="M360" s="17" t="s">
        <v>30</v>
      </c>
      <c r="N360" s="17" t="s">
        <v>37</v>
      </c>
      <c r="O360" s="13"/>
      <c r="P360" s="13"/>
      <c r="Q360" s="57"/>
    </row>
    <row r="361">
      <c r="A361" s="31"/>
      <c r="B361" s="10" t="s">
        <v>73</v>
      </c>
      <c r="C361" s="160" t="s">
        <v>74</v>
      </c>
      <c r="D361" s="83" t="s">
        <v>223</v>
      </c>
      <c r="E361" s="90">
        <v>42579.0</v>
      </c>
      <c r="F361" s="13" t="str">
        <f t="shared" si="35"/>
        <v>Jul-2016</v>
      </c>
      <c r="G361" s="13" t="s">
        <v>25</v>
      </c>
      <c r="H361" s="13" t="s">
        <v>35</v>
      </c>
      <c r="I361" s="48" t="s">
        <v>224</v>
      </c>
      <c r="J361" s="16" t="s">
        <v>27</v>
      </c>
      <c r="K361" s="16" t="s">
        <v>9</v>
      </c>
      <c r="L361" s="16" t="s">
        <v>30</v>
      </c>
      <c r="M361" s="17"/>
      <c r="N361" s="17" t="s">
        <v>29</v>
      </c>
      <c r="O361" s="17"/>
      <c r="P361" s="17"/>
      <c r="Q361" s="49"/>
    </row>
    <row r="362">
      <c r="A362" s="31"/>
      <c r="B362" s="10" t="s">
        <v>73</v>
      </c>
      <c r="C362" s="160" t="s">
        <v>74</v>
      </c>
      <c r="D362" s="83" t="s">
        <v>223</v>
      </c>
      <c r="E362" s="90">
        <v>42579.0</v>
      </c>
      <c r="F362" s="13" t="str">
        <f t="shared" si="35"/>
        <v>Jul-2016</v>
      </c>
      <c r="G362" s="17" t="s">
        <v>32</v>
      </c>
      <c r="H362" s="13" t="s">
        <v>35</v>
      </c>
      <c r="I362" s="48" t="s">
        <v>224</v>
      </c>
      <c r="J362" s="16" t="s">
        <v>27</v>
      </c>
      <c r="K362" s="16" t="s">
        <v>9</v>
      </c>
      <c r="L362" s="16" t="s">
        <v>30</v>
      </c>
      <c r="M362" s="17"/>
      <c r="N362" s="17" t="s">
        <v>69</v>
      </c>
      <c r="O362" s="17"/>
      <c r="P362" s="17"/>
      <c r="Q362" s="49"/>
    </row>
    <row r="363">
      <c r="A363" s="31"/>
      <c r="B363" s="10" t="s">
        <v>73</v>
      </c>
      <c r="C363" s="160" t="s">
        <v>74</v>
      </c>
      <c r="D363" s="83" t="s">
        <v>223</v>
      </c>
      <c r="E363" s="90">
        <v>42579.0</v>
      </c>
      <c r="F363" s="21" t="str">
        <f t="shared" si="35"/>
        <v>Jul-2016</v>
      </c>
      <c r="G363" s="21" t="s">
        <v>20</v>
      </c>
      <c r="H363" s="21" t="s">
        <v>35</v>
      </c>
      <c r="I363" s="126" t="s">
        <v>191</v>
      </c>
      <c r="J363" s="119" t="s">
        <v>86</v>
      </c>
      <c r="K363" s="119" t="s">
        <v>9</v>
      </c>
      <c r="L363" s="119" t="s">
        <v>30</v>
      </c>
      <c r="M363" s="91" t="s">
        <v>30</v>
      </c>
      <c r="N363" s="91" t="s">
        <v>99</v>
      </c>
      <c r="O363" s="21"/>
      <c r="P363" s="21"/>
      <c r="Q363" s="147"/>
    </row>
    <row r="364">
      <c r="A364" s="31"/>
      <c r="B364" s="10" t="s">
        <v>73</v>
      </c>
      <c r="C364" s="160" t="s">
        <v>74</v>
      </c>
      <c r="D364" s="83" t="s">
        <v>223</v>
      </c>
      <c r="E364" s="90">
        <v>42579.0</v>
      </c>
      <c r="F364" s="21" t="str">
        <f t="shared" si="35"/>
        <v>Jul-2016</v>
      </c>
      <c r="G364" s="21" t="s">
        <v>25</v>
      </c>
      <c r="H364" s="21" t="s">
        <v>35</v>
      </c>
      <c r="I364" s="126" t="s">
        <v>191</v>
      </c>
      <c r="J364" s="119" t="s">
        <v>86</v>
      </c>
      <c r="K364" s="119" t="s">
        <v>9</v>
      </c>
      <c r="L364" s="119" t="s">
        <v>30</v>
      </c>
      <c r="M364" s="91"/>
      <c r="N364" s="91" t="s">
        <v>98</v>
      </c>
      <c r="O364" s="21"/>
      <c r="P364" s="21"/>
      <c r="Q364" s="147"/>
    </row>
    <row r="365">
      <c r="A365" s="31"/>
      <c r="B365" s="10" t="s">
        <v>73</v>
      </c>
      <c r="C365" s="160" t="s">
        <v>74</v>
      </c>
      <c r="D365" s="83" t="s">
        <v>223</v>
      </c>
      <c r="E365" s="90">
        <v>42579.0</v>
      </c>
      <c r="F365" s="13" t="str">
        <f t="shared" si="35"/>
        <v>Jul-2016</v>
      </c>
      <c r="G365" s="13" t="s">
        <v>20</v>
      </c>
      <c r="H365" s="13" t="s">
        <v>35</v>
      </c>
      <c r="I365" s="48" t="s">
        <v>114</v>
      </c>
      <c r="J365" s="16" t="s">
        <v>9</v>
      </c>
      <c r="K365" s="16" t="s">
        <v>9</v>
      </c>
      <c r="L365" s="16" t="s">
        <v>24</v>
      </c>
      <c r="M365" s="17" t="s">
        <v>24</v>
      </c>
      <c r="N365" s="17" t="s">
        <v>98</v>
      </c>
      <c r="O365" s="13"/>
      <c r="P365" s="13"/>
      <c r="Q365" s="57"/>
    </row>
    <row r="366">
      <c r="A366" s="31"/>
      <c r="B366" s="10" t="s">
        <v>73</v>
      </c>
      <c r="C366" s="160" t="s">
        <v>74</v>
      </c>
      <c r="D366" s="83" t="s">
        <v>223</v>
      </c>
      <c r="E366" s="90">
        <v>42579.0</v>
      </c>
      <c r="F366" s="13" t="str">
        <f t="shared" si="35"/>
        <v>Jul-2016</v>
      </c>
      <c r="G366" s="13" t="s">
        <v>25</v>
      </c>
      <c r="H366" s="13" t="s">
        <v>35</v>
      </c>
      <c r="I366" s="48" t="s">
        <v>114</v>
      </c>
      <c r="J366" s="16" t="s">
        <v>9</v>
      </c>
      <c r="K366" s="16" t="s">
        <v>9</v>
      </c>
      <c r="L366" s="16" t="s">
        <v>30</v>
      </c>
      <c r="M366" s="17"/>
      <c r="N366" s="17" t="s">
        <v>106</v>
      </c>
      <c r="O366" s="13"/>
      <c r="P366" s="13"/>
      <c r="Q366" s="57"/>
    </row>
    <row r="367">
      <c r="A367" s="148"/>
      <c r="B367" s="10" t="s">
        <v>73</v>
      </c>
      <c r="C367" s="160" t="s">
        <v>74</v>
      </c>
      <c r="D367" s="83" t="s">
        <v>223</v>
      </c>
      <c r="E367" s="90">
        <v>42579.0</v>
      </c>
      <c r="F367" s="51" t="str">
        <f t="shared" si="35"/>
        <v>Jul-2016</v>
      </c>
      <c r="G367" s="129" t="s">
        <v>32</v>
      </c>
      <c r="H367" s="51" t="s">
        <v>35</v>
      </c>
      <c r="I367" s="130" t="s">
        <v>114</v>
      </c>
      <c r="J367" s="114" t="s">
        <v>9</v>
      </c>
      <c r="K367" s="114" t="s">
        <v>9</v>
      </c>
      <c r="L367" s="114" t="s">
        <v>24</v>
      </c>
      <c r="M367" s="129"/>
      <c r="N367" s="129" t="s">
        <v>69</v>
      </c>
      <c r="O367" s="129"/>
      <c r="P367" s="129"/>
      <c r="Q367" s="150"/>
    </row>
    <row r="368">
      <c r="A368" s="107"/>
      <c r="B368" s="95"/>
      <c r="C368" s="95"/>
      <c r="D368" s="95"/>
      <c r="E368" s="95"/>
      <c r="I368" s="23"/>
    </row>
    <row r="369">
      <c r="A369" s="83" t="s">
        <v>225</v>
      </c>
      <c r="B369" s="134" t="s">
        <v>151</v>
      </c>
      <c r="C369" s="161" t="s">
        <v>74</v>
      </c>
      <c r="D369" s="83" t="s">
        <v>225</v>
      </c>
      <c r="E369" s="90">
        <v>42580.0</v>
      </c>
      <c r="F369" s="110" t="str">
        <f t="shared" ref="F369:F375" si="36">TEXT(E369, "mmm") &amp; "-" &amp; TEXT(E369, "yyyy") </f>
        <v>Jul-2016</v>
      </c>
      <c r="G369" s="110" t="s">
        <v>20</v>
      </c>
      <c r="H369" s="110" t="s">
        <v>35</v>
      </c>
      <c r="I369" s="79" t="s">
        <v>226</v>
      </c>
      <c r="J369" s="47" t="s">
        <v>216</v>
      </c>
      <c r="K369" s="47" t="s">
        <v>9</v>
      </c>
      <c r="L369" s="47" t="s">
        <v>24</v>
      </c>
      <c r="M369" s="111" t="s">
        <v>24</v>
      </c>
      <c r="N369" s="111" t="s">
        <v>98</v>
      </c>
      <c r="O369" s="110"/>
      <c r="P369" s="110"/>
      <c r="Q369" s="146"/>
    </row>
    <row r="370">
      <c r="A370" s="134" t="s">
        <v>151</v>
      </c>
      <c r="B370" s="134" t="s">
        <v>151</v>
      </c>
      <c r="C370" s="161" t="s">
        <v>74</v>
      </c>
      <c r="D370" s="83" t="s">
        <v>225</v>
      </c>
      <c r="E370" s="90">
        <v>42580.0</v>
      </c>
      <c r="F370" s="13" t="str">
        <f t="shared" si="36"/>
        <v>Jul-2016</v>
      </c>
      <c r="G370" s="13" t="s">
        <v>25</v>
      </c>
      <c r="H370" s="13" t="s">
        <v>35</v>
      </c>
      <c r="I370" s="48" t="s">
        <v>226</v>
      </c>
      <c r="J370" s="16" t="s">
        <v>216</v>
      </c>
      <c r="K370" s="16" t="s">
        <v>9</v>
      </c>
      <c r="L370" s="16" t="s">
        <v>24</v>
      </c>
      <c r="M370" s="17"/>
      <c r="N370" s="17" t="s">
        <v>106</v>
      </c>
      <c r="O370" s="17"/>
      <c r="P370" s="17"/>
      <c r="Q370" s="49"/>
    </row>
    <row r="371">
      <c r="A371" s="10"/>
      <c r="B371" s="134" t="s">
        <v>151</v>
      </c>
      <c r="C371" s="161" t="s">
        <v>74</v>
      </c>
      <c r="D371" s="83" t="s">
        <v>225</v>
      </c>
      <c r="E371" s="90">
        <v>42580.0</v>
      </c>
      <c r="F371" s="21" t="str">
        <f t="shared" si="36"/>
        <v>Jul-2016</v>
      </c>
      <c r="G371" s="21" t="s">
        <v>20</v>
      </c>
      <c r="H371" s="21" t="s">
        <v>35</v>
      </c>
      <c r="I371" s="126" t="s">
        <v>103</v>
      </c>
      <c r="J371" s="119" t="s">
        <v>182</v>
      </c>
      <c r="K371" s="119" t="s">
        <v>9</v>
      </c>
      <c r="L371" s="119" t="s">
        <v>30</v>
      </c>
      <c r="M371" s="91" t="s">
        <v>30</v>
      </c>
      <c r="N371" s="91" t="s">
        <v>98</v>
      </c>
      <c r="O371" s="21"/>
      <c r="P371" s="21"/>
      <c r="Q371" s="147"/>
    </row>
    <row r="372">
      <c r="A372" s="90">
        <v>42580.0</v>
      </c>
      <c r="B372" s="134" t="s">
        <v>151</v>
      </c>
      <c r="C372" s="161" t="s">
        <v>74</v>
      </c>
      <c r="D372" s="83" t="s">
        <v>225</v>
      </c>
      <c r="E372" s="90">
        <v>42580.0</v>
      </c>
      <c r="F372" s="21" t="str">
        <f t="shared" si="36"/>
        <v>Jul-2016</v>
      </c>
      <c r="G372" s="21" t="s">
        <v>25</v>
      </c>
      <c r="H372" s="21" t="s">
        <v>35</v>
      </c>
      <c r="I372" s="126" t="s">
        <v>103</v>
      </c>
      <c r="J372" s="119" t="s">
        <v>71</v>
      </c>
      <c r="K372" s="119" t="s">
        <v>9</v>
      </c>
      <c r="L372" s="119" t="s">
        <v>24</v>
      </c>
      <c r="M372" s="91"/>
      <c r="N372" s="91" t="s">
        <v>99</v>
      </c>
      <c r="O372" s="21"/>
      <c r="P372" s="21"/>
      <c r="Q372" s="147"/>
    </row>
    <row r="373">
      <c r="A373" s="161" t="s">
        <v>74</v>
      </c>
      <c r="B373" s="134" t="s">
        <v>151</v>
      </c>
      <c r="C373" s="161" t="s">
        <v>74</v>
      </c>
      <c r="D373" s="83" t="s">
        <v>225</v>
      </c>
      <c r="E373" s="90">
        <v>42580.0</v>
      </c>
      <c r="F373" s="21" t="str">
        <f t="shared" si="36"/>
        <v>Jul-2016</v>
      </c>
      <c r="G373" s="91" t="s">
        <v>32</v>
      </c>
      <c r="H373" s="21" t="s">
        <v>35</v>
      </c>
      <c r="I373" s="126" t="s">
        <v>103</v>
      </c>
      <c r="J373" s="119" t="s">
        <v>97</v>
      </c>
      <c r="K373" s="119" t="s">
        <v>9</v>
      </c>
      <c r="L373" s="119" t="s">
        <v>30</v>
      </c>
      <c r="M373" s="91"/>
      <c r="N373" s="91" t="s">
        <v>106</v>
      </c>
      <c r="O373" s="21"/>
      <c r="P373" s="21"/>
      <c r="Q373" s="147"/>
    </row>
    <row r="374">
      <c r="A374" s="31"/>
      <c r="B374" s="134" t="s">
        <v>151</v>
      </c>
      <c r="C374" s="161" t="s">
        <v>74</v>
      </c>
      <c r="D374" s="83" t="s">
        <v>225</v>
      </c>
      <c r="E374" s="90">
        <v>42580.0</v>
      </c>
      <c r="F374" s="13" t="str">
        <f t="shared" si="36"/>
        <v>Jul-2016</v>
      </c>
      <c r="G374" s="13" t="s">
        <v>20</v>
      </c>
      <c r="H374" s="13" t="s">
        <v>35</v>
      </c>
      <c r="I374" s="48" t="s">
        <v>142</v>
      </c>
      <c r="J374" s="16" t="s">
        <v>44</v>
      </c>
      <c r="K374" s="16" t="s">
        <v>9</v>
      </c>
      <c r="L374" s="16" t="s">
        <v>24</v>
      </c>
      <c r="M374" s="17" t="s">
        <v>24</v>
      </c>
      <c r="N374" s="17" t="s">
        <v>37</v>
      </c>
      <c r="O374" s="13"/>
      <c r="P374" s="13"/>
      <c r="Q374" s="57"/>
    </row>
    <row r="375">
      <c r="A375" s="33"/>
      <c r="B375" s="134" t="s">
        <v>151</v>
      </c>
      <c r="C375" s="161" t="s">
        <v>74</v>
      </c>
      <c r="D375" s="83" t="s">
        <v>225</v>
      </c>
      <c r="E375" s="157">
        <v>42580.0</v>
      </c>
      <c r="F375" s="35" t="str">
        <f t="shared" si="36"/>
        <v>Jul-2016</v>
      </c>
      <c r="G375" s="35" t="s">
        <v>25</v>
      </c>
      <c r="H375" s="35" t="s">
        <v>35</v>
      </c>
      <c r="I375" s="122" t="s">
        <v>142</v>
      </c>
      <c r="J375" s="38" t="s">
        <v>44</v>
      </c>
      <c r="K375" s="38" t="s">
        <v>9</v>
      </c>
      <c r="L375" s="38" t="s">
        <v>24</v>
      </c>
      <c r="M375" s="93"/>
      <c r="N375" s="93" t="s">
        <v>37</v>
      </c>
      <c r="O375" s="93"/>
      <c r="P375" s="93"/>
      <c r="Q375" s="66"/>
    </row>
    <row r="376">
      <c r="A376" s="107"/>
      <c r="B376" s="95"/>
      <c r="C376" s="95"/>
      <c r="D376" s="95"/>
      <c r="E376" s="95"/>
      <c r="I376" s="23"/>
    </row>
    <row r="377">
      <c r="A377" s="83" t="s">
        <v>227</v>
      </c>
      <c r="B377" s="134" t="s">
        <v>228</v>
      </c>
      <c r="C377" s="11" t="s">
        <v>84</v>
      </c>
      <c r="D377" s="83" t="s">
        <v>227</v>
      </c>
      <c r="E377" s="90">
        <v>42581.0</v>
      </c>
      <c r="F377" s="110" t="str">
        <f t="shared" ref="F377:F382" si="37">TEXT(E377, "mmm") &amp; "-" &amp; TEXT(E377, "yyyy") </f>
        <v>Jul-2016</v>
      </c>
      <c r="G377" s="110" t="s">
        <v>20</v>
      </c>
      <c r="H377" s="110" t="s">
        <v>35</v>
      </c>
      <c r="I377" s="79" t="s">
        <v>229</v>
      </c>
      <c r="J377" s="47" t="s">
        <v>71</v>
      </c>
      <c r="K377" s="47" t="s">
        <v>9</v>
      </c>
      <c r="L377" s="47" t="s">
        <v>24</v>
      </c>
      <c r="M377" s="111" t="s">
        <v>24</v>
      </c>
      <c r="N377" s="111" t="s">
        <v>98</v>
      </c>
      <c r="O377" s="110"/>
      <c r="P377" s="110"/>
      <c r="Q377" s="146"/>
    </row>
    <row r="378">
      <c r="A378" s="134" t="s">
        <v>228</v>
      </c>
      <c r="B378" s="134" t="s">
        <v>228</v>
      </c>
      <c r="C378" s="11" t="s">
        <v>84</v>
      </c>
      <c r="D378" s="83" t="s">
        <v>227</v>
      </c>
      <c r="E378" s="90">
        <v>42581.0</v>
      </c>
      <c r="F378" s="13" t="str">
        <f t="shared" si="37"/>
        <v>Jul-2016</v>
      </c>
      <c r="G378" s="13" t="s">
        <v>25</v>
      </c>
      <c r="H378" s="13" t="s">
        <v>35</v>
      </c>
      <c r="I378" s="48" t="s">
        <v>229</v>
      </c>
      <c r="J378" s="16" t="s">
        <v>71</v>
      </c>
      <c r="K378" s="16" t="s">
        <v>9</v>
      </c>
      <c r="L378" s="16" t="s">
        <v>24</v>
      </c>
      <c r="M378" s="17"/>
      <c r="N378" s="17" t="s">
        <v>106</v>
      </c>
      <c r="O378" s="17"/>
      <c r="P378" s="17"/>
      <c r="Q378" s="49"/>
    </row>
    <row r="379">
      <c r="A379" s="10"/>
      <c r="B379" s="134" t="s">
        <v>228</v>
      </c>
      <c r="C379" s="11" t="s">
        <v>84</v>
      </c>
      <c r="D379" s="83" t="s">
        <v>227</v>
      </c>
      <c r="E379" s="90">
        <v>42581.0</v>
      </c>
      <c r="F379" s="21" t="str">
        <f t="shared" si="37"/>
        <v>Jul-2016</v>
      </c>
      <c r="G379" s="21" t="s">
        <v>20</v>
      </c>
      <c r="H379" s="21" t="s">
        <v>35</v>
      </c>
      <c r="I379" s="126" t="s">
        <v>230</v>
      </c>
      <c r="J379" s="119" t="s">
        <v>86</v>
      </c>
      <c r="K379" s="119" t="s">
        <v>9</v>
      </c>
      <c r="L379" s="119" t="s">
        <v>30</v>
      </c>
      <c r="M379" s="91" t="s">
        <v>30</v>
      </c>
      <c r="N379" s="91" t="s">
        <v>29</v>
      </c>
      <c r="O379" s="21"/>
      <c r="P379" s="21"/>
      <c r="Q379" s="147"/>
    </row>
    <row r="380">
      <c r="A380" s="90">
        <v>42581.0</v>
      </c>
      <c r="B380" s="134" t="s">
        <v>228</v>
      </c>
      <c r="C380" s="11" t="s">
        <v>84</v>
      </c>
      <c r="D380" s="83" t="s">
        <v>227</v>
      </c>
      <c r="E380" s="90">
        <v>42581.0</v>
      </c>
      <c r="F380" s="21" t="str">
        <f t="shared" si="37"/>
        <v>Jul-2016</v>
      </c>
      <c r="G380" s="21" t="s">
        <v>25</v>
      </c>
      <c r="H380" s="21" t="s">
        <v>35</v>
      </c>
      <c r="I380" s="126" t="s">
        <v>230</v>
      </c>
      <c r="J380" s="119" t="s">
        <v>86</v>
      </c>
      <c r="K380" s="119" t="s">
        <v>9</v>
      </c>
      <c r="L380" s="119" t="s">
        <v>30</v>
      </c>
      <c r="M380" s="91"/>
      <c r="N380" s="91" t="s">
        <v>106</v>
      </c>
      <c r="O380" s="21"/>
      <c r="P380" s="21"/>
      <c r="Q380" s="147"/>
    </row>
    <row r="381">
      <c r="A381" s="11" t="s">
        <v>84</v>
      </c>
      <c r="B381" s="134" t="s">
        <v>228</v>
      </c>
      <c r="C381" s="11" t="s">
        <v>84</v>
      </c>
      <c r="D381" s="83" t="s">
        <v>227</v>
      </c>
      <c r="E381" s="90">
        <v>42581.0</v>
      </c>
      <c r="F381" s="13" t="str">
        <f t="shared" si="37"/>
        <v>Jul-2016</v>
      </c>
      <c r="G381" s="13" t="s">
        <v>20</v>
      </c>
      <c r="H381" s="13" t="s">
        <v>35</v>
      </c>
      <c r="I381" s="48" t="s">
        <v>231</v>
      </c>
      <c r="J381" s="16" t="s">
        <v>86</v>
      </c>
      <c r="K381" s="16" t="s">
        <v>9</v>
      </c>
      <c r="L381" s="16" t="s">
        <v>24</v>
      </c>
      <c r="M381" s="17" t="s">
        <v>24</v>
      </c>
      <c r="N381" s="17" t="s">
        <v>69</v>
      </c>
      <c r="O381" s="13"/>
      <c r="P381" s="13"/>
      <c r="Q381" s="57"/>
    </row>
    <row r="382">
      <c r="A382" s="33"/>
      <c r="B382" s="134" t="s">
        <v>228</v>
      </c>
      <c r="C382" s="11" t="s">
        <v>84</v>
      </c>
      <c r="D382" s="83" t="s">
        <v>227</v>
      </c>
      <c r="E382" s="90">
        <v>42581.0</v>
      </c>
      <c r="F382" s="35" t="str">
        <f t="shared" si="37"/>
        <v>Jul-2016</v>
      </c>
      <c r="G382" s="35" t="s">
        <v>25</v>
      </c>
      <c r="H382" s="35" t="s">
        <v>35</v>
      </c>
      <c r="I382" s="122" t="s">
        <v>231</v>
      </c>
      <c r="J382" s="38" t="s">
        <v>86</v>
      </c>
      <c r="K382" s="38" t="s">
        <v>9</v>
      </c>
      <c r="L382" s="38" t="s">
        <v>24</v>
      </c>
      <c r="M382" s="93"/>
      <c r="N382" s="93" t="s">
        <v>29</v>
      </c>
      <c r="O382" s="93"/>
      <c r="P382" s="93"/>
      <c r="Q382" s="66"/>
    </row>
    <row r="383">
      <c r="A383" s="107"/>
      <c r="B383" s="95"/>
      <c r="C383" s="95"/>
      <c r="D383" s="95"/>
      <c r="E383" s="95"/>
      <c r="I383" s="23"/>
    </row>
    <row r="384">
      <c r="A384" s="68" t="s">
        <v>215</v>
      </c>
      <c r="B384" s="10" t="s">
        <v>18</v>
      </c>
      <c r="C384" s="159" t="s">
        <v>74</v>
      </c>
      <c r="D384" s="68" t="s">
        <v>215</v>
      </c>
      <c r="E384" s="123">
        <v>42585.0</v>
      </c>
      <c r="F384" s="110" t="str">
        <f t="shared" ref="F384:F396" si="38">TEXT(E384, "mmm") &amp; "-" &amp; TEXT(E384, "yyyy") </f>
        <v>Aug-2016</v>
      </c>
      <c r="G384" s="110" t="s">
        <v>20</v>
      </c>
      <c r="H384" s="111" t="s">
        <v>35</v>
      </c>
      <c r="I384" s="79" t="s">
        <v>117</v>
      </c>
      <c r="J384" s="47" t="s">
        <v>44</v>
      </c>
      <c r="K384" s="47" t="s">
        <v>9</v>
      </c>
      <c r="L384" s="47" t="s">
        <v>24</v>
      </c>
      <c r="M384" s="47" t="s">
        <v>24</v>
      </c>
      <c r="N384" s="47" t="s">
        <v>69</v>
      </c>
      <c r="O384" s="111"/>
      <c r="P384" s="111"/>
      <c r="Q384" s="112"/>
    </row>
    <row r="385">
      <c r="A385" s="10" t="s">
        <v>18</v>
      </c>
      <c r="B385" s="10" t="s">
        <v>18</v>
      </c>
      <c r="C385" s="159" t="s">
        <v>74</v>
      </c>
      <c r="D385" s="68" t="s">
        <v>215</v>
      </c>
      <c r="E385" s="123">
        <v>42585.0</v>
      </c>
      <c r="F385" s="13" t="str">
        <f t="shared" si="38"/>
        <v>Aug-2016</v>
      </c>
      <c r="G385" s="13" t="s">
        <v>25</v>
      </c>
      <c r="H385" s="17" t="s">
        <v>35</v>
      </c>
      <c r="I385" s="48" t="s">
        <v>117</v>
      </c>
      <c r="J385" s="16" t="s">
        <v>44</v>
      </c>
      <c r="K385" s="16" t="s">
        <v>9</v>
      </c>
      <c r="L385" s="16" t="s">
        <v>24</v>
      </c>
      <c r="M385" s="16"/>
      <c r="N385" s="16" t="s">
        <v>106</v>
      </c>
      <c r="O385" s="17"/>
      <c r="P385" s="17"/>
      <c r="Q385" s="49"/>
    </row>
    <row r="386">
      <c r="A386" s="10" t="s">
        <v>26</v>
      </c>
      <c r="B386" s="10" t="s">
        <v>18</v>
      </c>
      <c r="C386" s="159" t="s">
        <v>74</v>
      </c>
      <c r="D386" s="68" t="s">
        <v>215</v>
      </c>
      <c r="E386" s="123">
        <v>42585.0</v>
      </c>
      <c r="F386" s="22" t="str">
        <f t="shared" si="38"/>
        <v>Aug-2016</v>
      </c>
      <c r="G386" s="22" t="s">
        <v>20</v>
      </c>
      <c r="H386" s="26" t="s">
        <v>35</v>
      </c>
      <c r="I386" s="80" t="s">
        <v>232</v>
      </c>
      <c r="J386" s="25" t="s">
        <v>27</v>
      </c>
      <c r="K386" s="25" t="s">
        <v>9</v>
      </c>
      <c r="L386" s="25" t="s">
        <v>24</v>
      </c>
      <c r="M386" s="25" t="s">
        <v>24</v>
      </c>
      <c r="N386" s="25" t="s">
        <v>29</v>
      </c>
      <c r="O386" s="32"/>
      <c r="P386" s="32"/>
      <c r="Q386" s="27"/>
    </row>
    <row r="387">
      <c r="A387" s="123">
        <v>42585.0</v>
      </c>
      <c r="B387" s="10" t="s">
        <v>18</v>
      </c>
      <c r="C387" s="159" t="s">
        <v>74</v>
      </c>
      <c r="D387" s="68" t="s">
        <v>215</v>
      </c>
      <c r="E387" s="123">
        <v>42585.0</v>
      </c>
      <c r="F387" s="22" t="str">
        <f t="shared" si="38"/>
        <v>Aug-2016</v>
      </c>
      <c r="G387" s="26" t="s">
        <v>25</v>
      </c>
      <c r="H387" s="26" t="s">
        <v>35</v>
      </c>
      <c r="I387" s="80" t="s">
        <v>232</v>
      </c>
      <c r="J387" s="25" t="s">
        <v>27</v>
      </c>
      <c r="K387" s="25" t="s">
        <v>9</v>
      </c>
      <c r="L387" s="25" t="s">
        <v>24</v>
      </c>
      <c r="M387" s="25"/>
      <c r="N387" s="25" t="s">
        <v>98</v>
      </c>
      <c r="O387" s="32"/>
      <c r="P387" s="32"/>
      <c r="Q387" s="27"/>
    </row>
    <row r="388">
      <c r="A388" s="159" t="s">
        <v>74</v>
      </c>
      <c r="B388" s="10" t="s">
        <v>18</v>
      </c>
      <c r="C388" s="159" t="s">
        <v>74</v>
      </c>
      <c r="D388" s="68" t="s">
        <v>215</v>
      </c>
      <c r="E388" s="123">
        <v>42585.0</v>
      </c>
      <c r="F388" s="13" t="str">
        <f t="shared" si="38"/>
        <v>Aug-2016</v>
      </c>
      <c r="G388" s="13" t="s">
        <v>20</v>
      </c>
      <c r="H388" s="16" t="s">
        <v>129</v>
      </c>
      <c r="I388" s="48" t="s">
        <v>233</v>
      </c>
      <c r="J388" s="16" t="s">
        <v>27</v>
      </c>
      <c r="K388" s="16" t="s">
        <v>9</v>
      </c>
      <c r="L388" s="16" t="s">
        <v>30</v>
      </c>
      <c r="M388" s="16" t="s">
        <v>30</v>
      </c>
      <c r="N388" s="16" t="s">
        <v>98</v>
      </c>
      <c r="O388" s="19"/>
      <c r="P388" s="19"/>
      <c r="Q388" s="18"/>
    </row>
    <row r="389">
      <c r="A389" s="108"/>
      <c r="B389" s="10" t="s">
        <v>18</v>
      </c>
      <c r="C389" s="159" t="s">
        <v>74</v>
      </c>
      <c r="D389" s="68" t="s">
        <v>215</v>
      </c>
      <c r="E389" s="123">
        <v>42585.0</v>
      </c>
      <c r="F389" s="13" t="str">
        <f t="shared" si="38"/>
        <v>Aug-2016</v>
      </c>
      <c r="G389" s="17" t="s">
        <v>25</v>
      </c>
      <c r="H389" s="16" t="s">
        <v>129</v>
      </c>
      <c r="I389" s="48" t="s">
        <v>233</v>
      </c>
      <c r="J389" s="16" t="s">
        <v>27</v>
      </c>
      <c r="K389" s="16" t="s">
        <v>9</v>
      </c>
      <c r="L389" s="16" t="s">
        <v>24</v>
      </c>
      <c r="M389" s="16"/>
      <c r="N389" s="16" t="s">
        <v>106</v>
      </c>
      <c r="O389" s="19"/>
      <c r="P389" s="19"/>
      <c r="Q389" s="18"/>
    </row>
    <row r="390">
      <c r="A390" s="123"/>
      <c r="B390" s="10" t="s">
        <v>18</v>
      </c>
      <c r="C390" s="159" t="s">
        <v>74</v>
      </c>
      <c r="D390" s="68" t="s">
        <v>215</v>
      </c>
      <c r="E390" s="123">
        <v>42585.0</v>
      </c>
      <c r="F390" s="13" t="str">
        <f t="shared" si="38"/>
        <v>Aug-2016</v>
      </c>
      <c r="G390" s="17" t="s">
        <v>32</v>
      </c>
      <c r="H390" s="16" t="s">
        <v>129</v>
      </c>
      <c r="I390" s="48" t="s">
        <v>233</v>
      </c>
      <c r="J390" s="16" t="s">
        <v>27</v>
      </c>
      <c r="K390" s="16" t="s">
        <v>9</v>
      </c>
      <c r="L390" s="16" t="s">
        <v>30</v>
      </c>
      <c r="M390" s="16"/>
      <c r="N390" s="16" t="s">
        <v>29</v>
      </c>
      <c r="O390" s="19"/>
      <c r="P390" s="19"/>
      <c r="Q390" s="18"/>
    </row>
    <row r="391">
      <c r="A391" s="123"/>
      <c r="B391" s="10" t="s">
        <v>18</v>
      </c>
      <c r="C391" s="159" t="s">
        <v>74</v>
      </c>
      <c r="D391" s="68" t="s">
        <v>215</v>
      </c>
      <c r="E391" s="123">
        <v>42585.0</v>
      </c>
      <c r="F391" s="21" t="str">
        <f t="shared" si="38"/>
        <v>Aug-2016</v>
      </c>
      <c r="G391" s="21" t="s">
        <v>20</v>
      </c>
      <c r="H391" s="91" t="s">
        <v>129</v>
      </c>
      <c r="I391" s="126" t="s">
        <v>234</v>
      </c>
      <c r="J391" s="119" t="s">
        <v>97</v>
      </c>
      <c r="K391" s="119" t="s">
        <v>9</v>
      </c>
      <c r="L391" s="119" t="s">
        <v>30</v>
      </c>
      <c r="M391" s="119" t="s">
        <v>30</v>
      </c>
      <c r="N391" s="119" t="s">
        <v>98</v>
      </c>
      <c r="O391" s="127"/>
      <c r="P391" s="127"/>
      <c r="Q391" s="128"/>
    </row>
    <row r="392">
      <c r="A392" s="123"/>
      <c r="B392" s="10" t="s">
        <v>18</v>
      </c>
      <c r="C392" s="159" t="s">
        <v>74</v>
      </c>
      <c r="D392" s="68" t="s">
        <v>215</v>
      </c>
      <c r="E392" s="123">
        <v>42585.0</v>
      </c>
      <c r="F392" s="21" t="str">
        <f t="shared" si="38"/>
        <v>Aug-2016</v>
      </c>
      <c r="G392" s="21" t="s">
        <v>25</v>
      </c>
      <c r="H392" s="91" t="s">
        <v>129</v>
      </c>
      <c r="I392" s="126" t="s">
        <v>234</v>
      </c>
      <c r="J392" s="119" t="s">
        <v>97</v>
      </c>
      <c r="K392" s="119" t="s">
        <v>9</v>
      </c>
      <c r="L392" s="119" t="s">
        <v>30</v>
      </c>
      <c r="M392" s="119"/>
      <c r="N392" s="119" t="s">
        <v>37</v>
      </c>
      <c r="O392" s="127"/>
      <c r="P392" s="127"/>
      <c r="Q392" s="128"/>
    </row>
    <row r="393">
      <c r="A393" s="123"/>
      <c r="B393" s="10" t="s">
        <v>18</v>
      </c>
      <c r="C393" s="159" t="s">
        <v>74</v>
      </c>
      <c r="D393" s="68" t="s">
        <v>215</v>
      </c>
      <c r="E393" s="123">
        <v>42585.0</v>
      </c>
      <c r="F393" s="13" t="str">
        <f t="shared" si="38"/>
        <v>Aug-2016</v>
      </c>
      <c r="G393" s="13" t="s">
        <v>20</v>
      </c>
      <c r="H393" s="16" t="s">
        <v>129</v>
      </c>
      <c r="I393" s="48" t="s">
        <v>114</v>
      </c>
      <c r="J393" s="16" t="s">
        <v>9</v>
      </c>
      <c r="K393" s="16" t="s">
        <v>9</v>
      </c>
      <c r="L393" s="16" t="s">
        <v>24</v>
      </c>
      <c r="M393" s="16" t="s">
        <v>24</v>
      </c>
      <c r="N393" s="16" t="s">
        <v>98</v>
      </c>
      <c r="O393" s="19"/>
      <c r="P393" s="19"/>
      <c r="Q393" s="18"/>
    </row>
    <row r="394">
      <c r="A394" s="123"/>
      <c r="B394" s="10" t="s">
        <v>18</v>
      </c>
      <c r="C394" s="159" t="s">
        <v>74</v>
      </c>
      <c r="D394" s="68" t="s">
        <v>215</v>
      </c>
      <c r="E394" s="123">
        <v>42585.0</v>
      </c>
      <c r="F394" s="13" t="str">
        <f t="shared" si="38"/>
        <v>Aug-2016</v>
      </c>
      <c r="G394" s="17" t="s">
        <v>25</v>
      </c>
      <c r="H394" s="16" t="s">
        <v>129</v>
      </c>
      <c r="I394" s="48" t="s">
        <v>114</v>
      </c>
      <c r="J394" s="16" t="s">
        <v>9</v>
      </c>
      <c r="K394" s="16" t="s">
        <v>9</v>
      </c>
      <c r="L394" s="16" t="s">
        <v>24</v>
      </c>
      <c r="M394" s="16"/>
      <c r="N394" s="16" t="s">
        <v>106</v>
      </c>
      <c r="O394" s="19"/>
      <c r="P394" s="19"/>
      <c r="Q394" s="18"/>
    </row>
    <row r="395">
      <c r="A395" s="123"/>
      <c r="B395" s="10" t="s">
        <v>18</v>
      </c>
      <c r="C395" s="159" t="s">
        <v>74</v>
      </c>
      <c r="D395" s="68" t="s">
        <v>215</v>
      </c>
      <c r="E395" s="123">
        <v>42585.0</v>
      </c>
      <c r="F395" s="21" t="str">
        <f t="shared" si="38"/>
        <v>Aug-2016</v>
      </c>
      <c r="G395" s="21" t="s">
        <v>20</v>
      </c>
      <c r="H395" s="119" t="s">
        <v>235</v>
      </c>
      <c r="I395" s="126" t="s">
        <v>236</v>
      </c>
      <c r="J395" s="119" t="s">
        <v>44</v>
      </c>
      <c r="K395" s="119" t="s">
        <v>9</v>
      </c>
      <c r="L395" s="119" t="s">
        <v>30</v>
      </c>
      <c r="M395" s="119" t="s">
        <v>30</v>
      </c>
      <c r="N395" s="119" t="s">
        <v>69</v>
      </c>
      <c r="O395" s="127"/>
      <c r="P395" s="127"/>
      <c r="Q395" s="128"/>
    </row>
    <row r="396">
      <c r="A396" s="125"/>
      <c r="B396" s="10" t="s">
        <v>18</v>
      </c>
      <c r="C396" s="159" t="s">
        <v>74</v>
      </c>
      <c r="D396" s="68" t="s">
        <v>215</v>
      </c>
      <c r="E396" s="125">
        <v>42585.0</v>
      </c>
      <c r="F396" s="51" t="str">
        <f t="shared" si="38"/>
        <v>Aug-2016</v>
      </c>
      <c r="G396" s="51" t="s">
        <v>25</v>
      </c>
      <c r="H396" s="114" t="s">
        <v>235</v>
      </c>
      <c r="I396" s="130" t="s">
        <v>236</v>
      </c>
      <c r="J396" s="114" t="s">
        <v>44</v>
      </c>
      <c r="K396" s="114" t="s">
        <v>9</v>
      </c>
      <c r="L396" s="114" t="s">
        <v>30</v>
      </c>
      <c r="M396" s="114"/>
      <c r="N396" s="114" t="s">
        <v>69</v>
      </c>
      <c r="O396" s="131"/>
      <c r="P396" s="131"/>
      <c r="Q396" s="132"/>
    </row>
    <row r="397">
      <c r="A397" s="107"/>
      <c r="B397" s="95"/>
      <c r="C397" s="95"/>
      <c r="D397" s="95"/>
      <c r="E397" s="95"/>
      <c r="I397" s="23"/>
    </row>
    <row r="398">
      <c r="A398" s="83" t="s">
        <v>237</v>
      </c>
      <c r="B398" s="10" t="s">
        <v>73</v>
      </c>
      <c r="C398" s="11" t="s">
        <v>74</v>
      </c>
      <c r="D398" s="83" t="s">
        <v>237</v>
      </c>
      <c r="E398" s="90">
        <v>42586.0</v>
      </c>
      <c r="F398" s="110" t="str">
        <f t="shared" ref="F398:F407" si="39">TEXT(E398, "mmm") &amp; "-" &amp; TEXT(E398, "yyyy") </f>
        <v>Aug-2016</v>
      </c>
      <c r="G398" s="110" t="s">
        <v>20</v>
      </c>
      <c r="H398" s="110" t="s">
        <v>35</v>
      </c>
      <c r="I398" s="79" t="s">
        <v>238</v>
      </c>
      <c r="J398" s="47" t="s">
        <v>216</v>
      </c>
      <c r="K398" s="47" t="s">
        <v>9</v>
      </c>
      <c r="L398" s="47" t="s">
        <v>30</v>
      </c>
      <c r="M398" s="111" t="s">
        <v>30</v>
      </c>
      <c r="N398" s="111" t="s">
        <v>98</v>
      </c>
      <c r="O398" s="110"/>
      <c r="P398" s="110"/>
      <c r="Q398" s="146"/>
    </row>
    <row r="399">
      <c r="A399" s="10" t="s">
        <v>73</v>
      </c>
      <c r="B399" s="10" t="s">
        <v>73</v>
      </c>
      <c r="C399" s="11" t="s">
        <v>74</v>
      </c>
      <c r="D399" s="83" t="s">
        <v>237</v>
      </c>
      <c r="E399" s="90">
        <v>42586.0</v>
      </c>
      <c r="F399" s="13" t="str">
        <f t="shared" si="39"/>
        <v>Aug-2016</v>
      </c>
      <c r="G399" s="13" t="s">
        <v>25</v>
      </c>
      <c r="H399" s="13" t="s">
        <v>35</v>
      </c>
      <c r="I399" s="48" t="s">
        <v>238</v>
      </c>
      <c r="J399" s="16" t="s">
        <v>216</v>
      </c>
      <c r="K399" s="16" t="s">
        <v>9</v>
      </c>
      <c r="L399" s="16" t="s">
        <v>30</v>
      </c>
      <c r="M399" s="17"/>
      <c r="N399" s="17" t="s">
        <v>37</v>
      </c>
      <c r="O399" s="17"/>
      <c r="P399" s="17"/>
      <c r="Q399" s="49"/>
    </row>
    <row r="400">
      <c r="A400" s="10" t="s">
        <v>76</v>
      </c>
      <c r="B400" s="10" t="s">
        <v>73</v>
      </c>
      <c r="C400" s="11" t="s">
        <v>74</v>
      </c>
      <c r="D400" s="83" t="s">
        <v>237</v>
      </c>
      <c r="E400" s="90">
        <v>42586.0</v>
      </c>
      <c r="F400" s="21" t="str">
        <f t="shared" si="39"/>
        <v>Aug-2016</v>
      </c>
      <c r="G400" s="21" t="s">
        <v>20</v>
      </c>
      <c r="H400" s="21" t="s">
        <v>35</v>
      </c>
      <c r="I400" s="126" t="s">
        <v>239</v>
      </c>
      <c r="J400" s="119" t="s">
        <v>27</v>
      </c>
      <c r="K400" s="119" t="s">
        <v>9</v>
      </c>
      <c r="L400" s="119" t="s">
        <v>24</v>
      </c>
      <c r="M400" s="91" t="s">
        <v>24</v>
      </c>
      <c r="N400" s="91" t="s">
        <v>69</v>
      </c>
      <c r="O400" s="21"/>
      <c r="P400" s="21"/>
      <c r="Q400" s="147"/>
    </row>
    <row r="401">
      <c r="A401" s="90">
        <v>42586.0</v>
      </c>
      <c r="B401" s="10" t="s">
        <v>73</v>
      </c>
      <c r="C401" s="11" t="s">
        <v>74</v>
      </c>
      <c r="D401" s="83" t="s">
        <v>237</v>
      </c>
      <c r="E401" s="90">
        <v>42586.0</v>
      </c>
      <c r="F401" s="21" t="str">
        <f t="shared" si="39"/>
        <v>Aug-2016</v>
      </c>
      <c r="G401" s="21" t="s">
        <v>25</v>
      </c>
      <c r="H401" s="21" t="s">
        <v>35</v>
      </c>
      <c r="I401" s="126" t="s">
        <v>239</v>
      </c>
      <c r="J401" s="119" t="s">
        <v>27</v>
      </c>
      <c r="K401" s="119" t="s">
        <v>9</v>
      </c>
      <c r="L401" s="119" t="s">
        <v>24</v>
      </c>
      <c r="M401" s="91"/>
      <c r="N401" s="91" t="s">
        <v>106</v>
      </c>
      <c r="O401" s="21"/>
      <c r="P401" s="21"/>
      <c r="Q401" s="147"/>
    </row>
    <row r="402">
      <c r="A402" s="11" t="s">
        <v>74</v>
      </c>
      <c r="B402" s="10" t="s">
        <v>73</v>
      </c>
      <c r="C402" s="11" t="s">
        <v>74</v>
      </c>
      <c r="D402" s="83" t="s">
        <v>237</v>
      </c>
      <c r="E402" s="90">
        <v>42586.0</v>
      </c>
      <c r="F402" s="13" t="str">
        <f t="shared" si="39"/>
        <v>Aug-2016</v>
      </c>
      <c r="G402" s="13" t="s">
        <v>20</v>
      </c>
      <c r="H402" s="13" t="s">
        <v>35</v>
      </c>
      <c r="I402" s="48" t="s">
        <v>171</v>
      </c>
      <c r="J402" s="16" t="s">
        <v>9</v>
      </c>
      <c r="K402" s="16" t="s">
        <v>9</v>
      </c>
      <c r="L402" s="16" t="s">
        <v>30</v>
      </c>
      <c r="M402" s="17" t="s">
        <v>30</v>
      </c>
      <c r="N402" s="17" t="s">
        <v>98</v>
      </c>
      <c r="O402" s="13"/>
      <c r="P402" s="13"/>
      <c r="Q402" s="57"/>
    </row>
    <row r="403">
      <c r="A403" s="31"/>
      <c r="B403" s="10" t="s">
        <v>73</v>
      </c>
      <c r="C403" s="11" t="s">
        <v>74</v>
      </c>
      <c r="D403" s="83" t="s">
        <v>237</v>
      </c>
      <c r="E403" s="90">
        <v>42586.0</v>
      </c>
      <c r="F403" s="13" t="str">
        <f t="shared" si="39"/>
        <v>Aug-2016</v>
      </c>
      <c r="G403" s="13" t="s">
        <v>25</v>
      </c>
      <c r="H403" s="13" t="s">
        <v>35</v>
      </c>
      <c r="I403" s="48" t="s">
        <v>171</v>
      </c>
      <c r="J403" s="16" t="s">
        <v>9</v>
      </c>
      <c r="K403" s="16" t="s">
        <v>9</v>
      </c>
      <c r="L403" s="16" t="s">
        <v>30</v>
      </c>
      <c r="M403" s="17"/>
      <c r="N403" s="17" t="s">
        <v>69</v>
      </c>
      <c r="O403" s="17"/>
      <c r="P403" s="17"/>
      <c r="Q403" s="49"/>
    </row>
    <row r="404">
      <c r="A404" s="31"/>
      <c r="B404" s="10" t="s">
        <v>73</v>
      </c>
      <c r="C404" s="11" t="s">
        <v>74</v>
      </c>
      <c r="D404" s="83" t="s">
        <v>237</v>
      </c>
      <c r="E404" s="90">
        <v>42586.0</v>
      </c>
      <c r="F404" s="21" t="str">
        <f t="shared" si="39"/>
        <v>Aug-2016</v>
      </c>
      <c r="G404" s="21" t="s">
        <v>20</v>
      </c>
      <c r="H404" s="21" t="s">
        <v>35</v>
      </c>
      <c r="I404" s="126" t="s">
        <v>114</v>
      </c>
      <c r="J404" s="119" t="s">
        <v>9</v>
      </c>
      <c r="K404" s="119" t="s">
        <v>9</v>
      </c>
      <c r="L404" s="119" t="s">
        <v>30</v>
      </c>
      <c r="M404" s="91" t="s">
        <v>30</v>
      </c>
      <c r="N404" s="91" t="s">
        <v>69</v>
      </c>
      <c r="O404" s="21"/>
      <c r="P404" s="21"/>
      <c r="Q404" s="147"/>
    </row>
    <row r="405">
      <c r="A405" s="31"/>
      <c r="B405" s="10" t="s">
        <v>73</v>
      </c>
      <c r="C405" s="11" t="s">
        <v>74</v>
      </c>
      <c r="D405" s="83" t="s">
        <v>237</v>
      </c>
      <c r="E405" s="90">
        <v>42586.0</v>
      </c>
      <c r="F405" s="21" t="str">
        <f t="shared" si="39"/>
        <v>Aug-2016</v>
      </c>
      <c r="G405" s="21" t="s">
        <v>25</v>
      </c>
      <c r="H405" s="21" t="s">
        <v>35</v>
      </c>
      <c r="I405" s="126" t="s">
        <v>114</v>
      </c>
      <c r="J405" s="119" t="s">
        <v>9</v>
      </c>
      <c r="K405" s="119" t="s">
        <v>9</v>
      </c>
      <c r="L405" s="119" t="s">
        <v>30</v>
      </c>
      <c r="M405" s="91"/>
      <c r="N405" s="91" t="s">
        <v>98</v>
      </c>
      <c r="O405" s="21"/>
      <c r="P405" s="21"/>
      <c r="Q405" s="147"/>
    </row>
    <row r="406">
      <c r="A406" s="31"/>
      <c r="B406" s="10" t="s">
        <v>73</v>
      </c>
      <c r="C406" s="11" t="s">
        <v>74</v>
      </c>
      <c r="D406" s="83" t="s">
        <v>237</v>
      </c>
      <c r="E406" s="90">
        <v>42586.0</v>
      </c>
      <c r="F406" s="13" t="str">
        <f t="shared" si="39"/>
        <v>Aug-2016</v>
      </c>
      <c r="G406" s="13" t="s">
        <v>20</v>
      </c>
      <c r="H406" s="13" t="s">
        <v>35</v>
      </c>
      <c r="I406" s="48" t="s">
        <v>101</v>
      </c>
      <c r="J406" s="16" t="s">
        <v>102</v>
      </c>
      <c r="K406" s="16" t="s">
        <v>9</v>
      </c>
      <c r="L406" s="16" t="s">
        <v>24</v>
      </c>
      <c r="M406" s="17" t="s">
        <v>24</v>
      </c>
      <c r="N406" s="17" t="s">
        <v>99</v>
      </c>
      <c r="O406" s="13"/>
      <c r="P406" s="13"/>
      <c r="Q406" s="57"/>
    </row>
    <row r="407">
      <c r="A407" s="33"/>
      <c r="B407" s="10" t="s">
        <v>73</v>
      </c>
      <c r="C407" s="11" t="s">
        <v>74</v>
      </c>
      <c r="D407" s="83" t="s">
        <v>237</v>
      </c>
      <c r="E407" s="90">
        <v>42586.0</v>
      </c>
      <c r="F407" s="35" t="str">
        <f t="shared" si="39"/>
        <v>Aug-2016</v>
      </c>
      <c r="G407" s="35" t="s">
        <v>25</v>
      </c>
      <c r="H407" s="35" t="s">
        <v>35</v>
      </c>
      <c r="I407" s="122" t="s">
        <v>101</v>
      </c>
      <c r="J407" s="38" t="s">
        <v>102</v>
      </c>
      <c r="K407" s="38" t="s">
        <v>9</v>
      </c>
      <c r="L407" s="38" t="s">
        <v>24</v>
      </c>
      <c r="M407" s="93"/>
      <c r="N407" s="93" t="s">
        <v>98</v>
      </c>
      <c r="O407" s="35"/>
      <c r="P407" s="35"/>
      <c r="Q407" s="162"/>
    </row>
    <row r="408">
      <c r="A408" s="107"/>
      <c r="B408" s="95"/>
      <c r="C408" s="95"/>
      <c r="D408" s="95"/>
      <c r="E408" s="95"/>
      <c r="I408" s="23"/>
    </row>
    <row r="409">
      <c r="A409" s="68" t="s">
        <v>240</v>
      </c>
      <c r="B409" s="10" t="s">
        <v>18</v>
      </c>
      <c r="C409" s="108" t="s">
        <v>74</v>
      </c>
      <c r="D409" s="68" t="s">
        <v>240</v>
      </c>
      <c r="E409" s="123">
        <v>42592.0</v>
      </c>
      <c r="F409" s="110" t="str">
        <f t="shared" ref="F409:F416" si="40">TEXT(E409, "mmm") &amp; "-" &amp; TEXT(E409, "yyyy") </f>
        <v>Aug-2016</v>
      </c>
      <c r="G409" s="110" t="s">
        <v>20</v>
      </c>
      <c r="H409" s="111" t="s">
        <v>35</v>
      </c>
      <c r="I409" s="79" t="s">
        <v>133</v>
      </c>
      <c r="J409" s="47" t="s">
        <v>23</v>
      </c>
      <c r="K409" s="47" t="s">
        <v>9</v>
      </c>
      <c r="L409" s="47" t="s">
        <v>24</v>
      </c>
      <c r="M409" s="47" t="s">
        <v>24</v>
      </c>
      <c r="N409" s="47" t="s">
        <v>98</v>
      </c>
      <c r="O409" s="111"/>
      <c r="P409" s="111"/>
      <c r="Q409" s="112"/>
    </row>
    <row r="410">
      <c r="A410" s="10" t="s">
        <v>18</v>
      </c>
      <c r="B410" s="10" t="s">
        <v>18</v>
      </c>
      <c r="C410" s="108" t="s">
        <v>74</v>
      </c>
      <c r="D410" s="68" t="s">
        <v>240</v>
      </c>
      <c r="E410" s="123">
        <v>42592.0</v>
      </c>
      <c r="F410" s="13" t="str">
        <f t="shared" si="40"/>
        <v>Aug-2016</v>
      </c>
      <c r="G410" s="13" t="s">
        <v>25</v>
      </c>
      <c r="H410" s="17" t="s">
        <v>35</v>
      </c>
      <c r="I410" s="48" t="s">
        <v>133</v>
      </c>
      <c r="J410" s="16" t="s">
        <v>23</v>
      </c>
      <c r="K410" s="16" t="s">
        <v>9</v>
      </c>
      <c r="L410" s="16" t="s">
        <v>24</v>
      </c>
      <c r="M410" s="16"/>
      <c r="N410" s="16" t="s">
        <v>29</v>
      </c>
      <c r="O410" s="17"/>
      <c r="P410" s="17"/>
      <c r="Q410" s="49"/>
    </row>
    <row r="411">
      <c r="A411" s="10" t="s">
        <v>26</v>
      </c>
      <c r="B411" s="10" t="s">
        <v>18</v>
      </c>
      <c r="C411" s="108" t="s">
        <v>74</v>
      </c>
      <c r="D411" s="68" t="s">
        <v>240</v>
      </c>
      <c r="E411" s="123">
        <v>42592.0</v>
      </c>
      <c r="F411" s="22" t="str">
        <f t="shared" si="40"/>
        <v>Aug-2016</v>
      </c>
      <c r="G411" s="22" t="s">
        <v>20</v>
      </c>
      <c r="H411" s="26" t="s">
        <v>35</v>
      </c>
      <c r="I411" s="80" t="s">
        <v>232</v>
      </c>
      <c r="J411" s="25" t="s">
        <v>27</v>
      </c>
      <c r="K411" s="25" t="s">
        <v>9</v>
      </c>
      <c r="L411" s="25" t="s">
        <v>24</v>
      </c>
      <c r="M411" s="25" t="s">
        <v>24</v>
      </c>
      <c r="N411" s="25" t="s">
        <v>29</v>
      </c>
      <c r="O411" s="32"/>
      <c r="P411" s="32"/>
      <c r="Q411" s="27"/>
    </row>
    <row r="412">
      <c r="A412" s="123">
        <v>42592.0</v>
      </c>
      <c r="B412" s="10" t="s">
        <v>18</v>
      </c>
      <c r="C412" s="108" t="s">
        <v>74</v>
      </c>
      <c r="D412" s="68" t="s">
        <v>240</v>
      </c>
      <c r="E412" s="123">
        <v>42592.0</v>
      </c>
      <c r="F412" s="22" t="str">
        <f t="shared" si="40"/>
        <v>Aug-2016</v>
      </c>
      <c r="G412" s="26" t="s">
        <v>25</v>
      </c>
      <c r="H412" s="26" t="s">
        <v>35</v>
      </c>
      <c r="I412" s="80" t="s">
        <v>232</v>
      </c>
      <c r="J412" s="25" t="s">
        <v>27</v>
      </c>
      <c r="K412" s="25" t="s">
        <v>9</v>
      </c>
      <c r="L412" s="25" t="s">
        <v>24</v>
      </c>
      <c r="M412" s="25"/>
      <c r="N412" s="25" t="s">
        <v>98</v>
      </c>
      <c r="O412" s="32"/>
      <c r="P412" s="32"/>
      <c r="Q412" s="27"/>
    </row>
    <row r="413">
      <c r="A413" s="108" t="s">
        <v>74</v>
      </c>
      <c r="B413" s="10" t="s">
        <v>18</v>
      </c>
      <c r="C413" s="108" t="s">
        <v>74</v>
      </c>
      <c r="D413" s="68" t="s">
        <v>240</v>
      </c>
      <c r="E413" s="123">
        <v>42592.0</v>
      </c>
      <c r="F413" s="13" t="str">
        <f t="shared" si="40"/>
        <v>Aug-2016</v>
      </c>
      <c r="G413" s="13" t="s">
        <v>20</v>
      </c>
      <c r="H413" s="17" t="s">
        <v>129</v>
      </c>
      <c r="I413" s="48" t="s">
        <v>186</v>
      </c>
      <c r="J413" s="16" t="s">
        <v>102</v>
      </c>
      <c r="K413" s="16" t="s">
        <v>9</v>
      </c>
      <c r="L413" s="16" t="s">
        <v>30</v>
      </c>
      <c r="M413" s="16" t="s">
        <v>30</v>
      </c>
      <c r="N413" s="16" t="s">
        <v>69</v>
      </c>
      <c r="O413" s="19"/>
      <c r="P413" s="19"/>
      <c r="Q413" s="18"/>
    </row>
    <row r="414">
      <c r="A414" s="108"/>
      <c r="B414" s="10" t="s">
        <v>18</v>
      </c>
      <c r="C414" s="108" t="s">
        <v>74</v>
      </c>
      <c r="D414" s="68" t="s">
        <v>240</v>
      </c>
      <c r="E414" s="123">
        <v>42592.0</v>
      </c>
      <c r="F414" s="13" t="str">
        <f t="shared" si="40"/>
        <v>Aug-2016</v>
      </c>
      <c r="G414" s="13" t="s">
        <v>25</v>
      </c>
      <c r="H414" s="17" t="s">
        <v>129</v>
      </c>
      <c r="I414" s="48" t="s">
        <v>186</v>
      </c>
      <c r="J414" s="16" t="s">
        <v>102</v>
      </c>
      <c r="K414" s="16" t="s">
        <v>9</v>
      </c>
      <c r="L414" s="16" t="s">
        <v>30</v>
      </c>
      <c r="M414" s="16"/>
      <c r="N414" s="16" t="s">
        <v>69</v>
      </c>
      <c r="O414" s="19"/>
      <c r="P414" s="19"/>
      <c r="Q414" s="18"/>
    </row>
    <row r="415">
      <c r="A415" s="123"/>
      <c r="B415" s="10" t="s">
        <v>18</v>
      </c>
      <c r="C415" s="108" t="s">
        <v>74</v>
      </c>
      <c r="D415" s="68" t="s">
        <v>240</v>
      </c>
      <c r="E415" s="123">
        <v>42592.0</v>
      </c>
      <c r="F415" s="21" t="str">
        <f t="shared" si="40"/>
        <v>Aug-2016</v>
      </c>
      <c r="G415" s="21" t="s">
        <v>20</v>
      </c>
      <c r="H415" s="25" t="s">
        <v>129</v>
      </c>
      <c r="I415" s="126" t="s">
        <v>241</v>
      </c>
      <c r="J415" s="119" t="s">
        <v>27</v>
      </c>
      <c r="K415" s="119" t="s">
        <v>9</v>
      </c>
      <c r="L415" s="119" t="s">
        <v>24</v>
      </c>
      <c r="M415" s="119" t="s">
        <v>24</v>
      </c>
      <c r="N415" s="119" t="s">
        <v>98</v>
      </c>
      <c r="O415" s="127"/>
      <c r="P415" s="127"/>
      <c r="Q415" s="128"/>
    </row>
    <row r="416">
      <c r="A416" s="125"/>
      <c r="B416" s="10" t="s">
        <v>18</v>
      </c>
      <c r="C416" s="108" t="s">
        <v>74</v>
      </c>
      <c r="D416" s="68" t="s">
        <v>240</v>
      </c>
      <c r="E416" s="123">
        <v>42592.0</v>
      </c>
      <c r="F416" s="51" t="str">
        <f t="shared" si="40"/>
        <v>Aug-2016</v>
      </c>
      <c r="G416" s="129" t="s">
        <v>25</v>
      </c>
      <c r="H416" s="55" t="s">
        <v>129</v>
      </c>
      <c r="I416" s="130" t="s">
        <v>241</v>
      </c>
      <c r="J416" s="114" t="s">
        <v>27</v>
      </c>
      <c r="K416" s="114" t="s">
        <v>9</v>
      </c>
      <c r="L416" s="114" t="s">
        <v>24</v>
      </c>
      <c r="M416" s="114"/>
      <c r="N416" s="114" t="s">
        <v>106</v>
      </c>
      <c r="O416" s="131"/>
      <c r="P416" s="131"/>
      <c r="Q416" s="132"/>
    </row>
    <row r="417">
      <c r="A417" s="107"/>
      <c r="B417" s="95"/>
      <c r="C417" s="95"/>
      <c r="D417" s="95"/>
      <c r="E417" s="95"/>
      <c r="I417" s="23"/>
    </row>
    <row r="418">
      <c r="A418" s="96" t="s">
        <v>242</v>
      </c>
      <c r="B418" s="10" t="s">
        <v>73</v>
      </c>
      <c r="C418" s="134" t="s">
        <v>74</v>
      </c>
      <c r="D418" s="96" t="s">
        <v>242</v>
      </c>
      <c r="E418" s="163">
        <v>42593.0</v>
      </c>
      <c r="F418" s="110" t="str">
        <f t="shared" ref="F418:F433" si="41">TEXT(E418, "mmm") &amp; "-" &amp; TEXT(E418, "yyyy") </f>
        <v>Aug-2016</v>
      </c>
      <c r="G418" s="47" t="s">
        <v>20</v>
      </c>
      <c r="H418" s="47" t="s">
        <v>35</v>
      </c>
      <c r="I418" s="79" t="s">
        <v>243</v>
      </c>
      <c r="J418" s="47" t="s">
        <v>48</v>
      </c>
      <c r="K418" s="47" t="s">
        <v>9</v>
      </c>
      <c r="L418" s="47" t="s">
        <v>30</v>
      </c>
      <c r="M418" s="47" t="s">
        <v>24</v>
      </c>
      <c r="N418" s="47" t="s">
        <v>98</v>
      </c>
      <c r="O418" s="152"/>
      <c r="P418" s="152"/>
      <c r="Q418" s="153"/>
    </row>
    <row r="419">
      <c r="A419" s="10" t="s">
        <v>73</v>
      </c>
      <c r="B419" s="10" t="s">
        <v>73</v>
      </c>
      <c r="C419" s="134" t="s">
        <v>74</v>
      </c>
      <c r="D419" s="96" t="s">
        <v>242</v>
      </c>
      <c r="E419" s="90">
        <v>42593.0</v>
      </c>
      <c r="F419" s="13" t="str">
        <f t="shared" si="41"/>
        <v>Aug-2016</v>
      </c>
      <c r="G419" s="16" t="s">
        <v>25</v>
      </c>
      <c r="H419" s="16" t="s">
        <v>35</v>
      </c>
      <c r="I419" s="48" t="s">
        <v>243</v>
      </c>
      <c r="J419" s="16" t="s">
        <v>48</v>
      </c>
      <c r="K419" s="16" t="s">
        <v>9</v>
      </c>
      <c r="L419" s="16" t="s">
        <v>24</v>
      </c>
      <c r="M419" s="16"/>
      <c r="N419" s="16" t="s">
        <v>99</v>
      </c>
      <c r="O419" s="101"/>
      <c r="P419" s="101"/>
      <c r="Q419" s="102"/>
    </row>
    <row r="420">
      <c r="A420" s="10" t="s">
        <v>76</v>
      </c>
      <c r="B420" s="10" t="s">
        <v>73</v>
      </c>
      <c r="C420" s="134" t="s">
        <v>74</v>
      </c>
      <c r="D420" s="96" t="s">
        <v>242</v>
      </c>
      <c r="E420" s="90">
        <v>42593.0</v>
      </c>
      <c r="F420" s="13" t="str">
        <f t="shared" si="41"/>
        <v>Aug-2016</v>
      </c>
      <c r="G420" s="16" t="s">
        <v>32</v>
      </c>
      <c r="H420" s="16" t="s">
        <v>35</v>
      </c>
      <c r="I420" s="48" t="s">
        <v>243</v>
      </c>
      <c r="J420" s="16" t="s">
        <v>48</v>
      </c>
      <c r="K420" s="16" t="s">
        <v>9</v>
      </c>
      <c r="L420" s="16" t="s">
        <v>24</v>
      </c>
      <c r="M420" s="16"/>
      <c r="N420" s="16" t="s">
        <v>106</v>
      </c>
      <c r="O420" s="101"/>
      <c r="P420" s="101"/>
      <c r="Q420" s="102"/>
    </row>
    <row r="421">
      <c r="A421" s="90">
        <v>42593.0</v>
      </c>
      <c r="B421" s="10" t="s">
        <v>73</v>
      </c>
      <c r="C421" s="134" t="s">
        <v>74</v>
      </c>
      <c r="D421" s="96" t="s">
        <v>242</v>
      </c>
      <c r="E421" s="90">
        <v>42593.0</v>
      </c>
      <c r="F421" s="21" t="str">
        <f t="shared" si="41"/>
        <v>Aug-2016</v>
      </c>
      <c r="G421" s="25" t="s">
        <v>20</v>
      </c>
      <c r="H421" s="25" t="s">
        <v>35</v>
      </c>
      <c r="I421" s="80" t="s">
        <v>244</v>
      </c>
      <c r="J421" s="25" t="s">
        <v>23</v>
      </c>
      <c r="K421" s="25" t="s">
        <v>9</v>
      </c>
      <c r="L421" s="25" t="s">
        <v>30</v>
      </c>
      <c r="M421" s="25" t="s">
        <v>30</v>
      </c>
      <c r="N421" s="25" t="s">
        <v>98</v>
      </c>
      <c r="Q421" s="99"/>
    </row>
    <row r="422">
      <c r="A422" s="134" t="s">
        <v>74</v>
      </c>
      <c r="B422" s="10" t="s">
        <v>73</v>
      </c>
      <c r="C422" s="134" t="s">
        <v>74</v>
      </c>
      <c r="D422" s="96" t="s">
        <v>242</v>
      </c>
      <c r="E422" s="90">
        <v>42593.0</v>
      </c>
      <c r="F422" s="21" t="str">
        <f t="shared" si="41"/>
        <v>Aug-2016</v>
      </c>
      <c r="G422" s="25" t="s">
        <v>25</v>
      </c>
      <c r="H422" s="25" t="s">
        <v>35</v>
      </c>
      <c r="I422" s="80" t="s">
        <v>244</v>
      </c>
      <c r="J422" s="25" t="s">
        <v>182</v>
      </c>
      <c r="K422" s="25" t="s">
        <v>9</v>
      </c>
      <c r="L422" s="25" t="s">
        <v>30</v>
      </c>
      <c r="M422" s="25"/>
      <c r="N422" s="25" t="s">
        <v>69</v>
      </c>
      <c r="Q422" s="99"/>
    </row>
    <row r="423">
      <c r="A423" s="140"/>
      <c r="B423" s="10" t="s">
        <v>73</v>
      </c>
      <c r="C423" s="134" t="s">
        <v>74</v>
      </c>
      <c r="D423" s="96" t="s">
        <v>242</v>
      </c>
      <c r="E423" s="90">
        <v>42593.0</v>
      </c>
      <c r="F423" s="13" t="str">
        <f t="shared" si="41"/>
        <v>Aug-2016</v>
      </c>
      <c r="G423" s="16" t="s">
        <v>20</v>
      </c>
      <c r="H423" s="16" t="s">
        <v>35</v>
      </c>
      <c r="I423" s="48" t="s">
        <v>100</v>
      </c>
      <c r="J423" s="16" t="s">
        <v>9</v>
      </c>
      <c r="K423" s="16" t="s">
        <v>9</v>
      </c>
      <c r="L423" s="16" t="s">
        <v>30</v>
      </c>
      <c r="M423" s="16" t="s">
        <v>30</v>
      </c>
      <c r="N423" s="16" t="s">
        <v>98</v>
      </c>
      <c r="O423" s="101"/>
      <c r="P423" s="101"/>
      <c r="Q423" s="102"/>
    </row>
    <row r="424">
      <c r="A424" s="140"/>
      <c r="B424" s="10" t="s">
        <v>73</v>
      </c>
      <c r="C424" s="134" t="s">
        <v>74</v>
      </c>
      <c r="D424" s="96" t="s">
        <v>242</v>
      </c>
      <c r="E424" s="90">
        <v>42593.0</v>
      </c>
      <c r="F424" s="13" t="str">
        <f t="shared" si="41"/>
        <v>Aug-2016</v>
      </c>
      <c r="G424" s="16" t="s">
        <v>25</v>
      </c>
      <c r="H424" s="16" t="s">
        <v>35</v>
      </c>
      <c r="I424" s="48" t="s">
        <v>100</v>
      </c>
      <c r="J424" s="16" t="s">
        <v>9</v>
      </c>
      <c r="K424" s="16" t="s">
        <v>9</v>
      </c>
      <c r="L424" s="16" t="s">
        <v>30</v>
      </c>
      <c r="M424" s="16"/>
      <c r="N424" s="16" t="s">
        <v>69</v>
      </c>
      <c r="O424" s="101"/>
      <c r="P424" s="101"/>
      <c r="Q424" s="102"/>
    </row>
    <row r="425">
      <c r="A425" s="140"/>
      <c r="B425" s="10" t="s">
        <v>73</v>
      </c>
      <c r="C425" s="134" t="s">
        <v>74</v>
      </c>
      <c r="D425" s="96" t="s">
        <v>242</v>
      </c>
      <c r="E425" s="90">
        <v>42593.0</v>
      </c>
      <c r="F425" s="21" t="str">
        <f t="shared" si="41"/>
        <v>Aug-2016</v>
      </c>
      <c r="G425" s="25" t="s">
        <v>20</v>
      </c>
      <c r="H425" s="25" t="s">
        <v>35</v>
      </c>
      <c r="I425" s="80" t="s">
        <v>245</v>
      </c>
      <c r="J425" s="25" t="s">
        <v>27</v>
      </c>
      <c r="K425" s="25" t="s">
        <v>9</v>
      </c>
      <c r="L425" s="25" t="s">
        <v>30</v>
      </c>
      <c r="M425" s="25" t="s">
        <v>30</v>
      </c>
      <c r="N425" s="25" t="s">
        <v>98</v>
      </c>
      <c r="O425" s="25">
        <v>9.0</v>
      </c>
      <c r="Q425" s="25" t="s">
        <v>246</v>
      </c>
      <c r="R425" s="25" t="s">
        <v>247</v>
      </c>
    </row>
    <row r="426">
      <c r="A426" s="140"/>
      <c r="B426" s="10" t="s">
        <v>73</v>
      </c>
      <c r="C426" s="134" t="s">
        <v>74</v>
      </c>
      <c r="D426" s="96" t="s">
        <v>242</v>
      </c>
      <c r="E426" s="90">
        <v>42593.0</v>
      </c>
      <c r="F426" s="21" t="str">
        <f t="shared" si="41"/>
        <v>Aug-2016</v>
      </c>
      <c r="G426" s="25" t="s">
        <v>25</v>
      </c>
      <c r="H426" s="25" t="s">
        <v>35</v>
      </c>
      <c r="I426" s="80" t="s">
        <v>245</v>
      </c>
      <c r="J426" s="25" t="s">
        <v>27</v>
      </c>
      <c r="K426" s="25" t="s">
        <v>9</v>
      </c>
      <c r="L426" s="25" t="s">
        <v>30</v>
      </c>
      <c r="M426" s="25"/>
      <c r="N426" s="25" t="s">
        <v>99</v>
      </c>
      <c r="O426" s="25">
        <v>9.0</v>
      </c>
      <c r="Q426" s="25" t="s">
        <v>246</v>
      </c>
      <c r="R426" s="25" t="s">
        <v>247</v>
      </c>
    </row>
    <row r="427">
      <c r="A427" s="140"/>
      <c r="B427" s="10" t="s">
        <v>73</v>
      </c>
      <c r="C427" s="134" t="s">
        <v>74</v>
      </c>
      <c r="D427" s="96" t="s">
        <v>242</v>
      </c>
      <c r="E427" s="90">
        <v>42593.0</v>
      </c>
      <c r="F427" s="13" t="str">
        <f t="shared" si="41"/>
        <v>Aug-2016</v>
      </c>
      <c r="G427" s="16" t="s">
        <v>20</v>
      </c>
      <c r="H427" s="16" t="s">
        <v>35</v>
      </c>
      <c r="I427" s="48" t="s">
        <v>248</v>
      </c>
      <c r="J427" s="16" t="s">
        <v>9</v>
      </c>
      <c r="K427" s="16" t="s">
        <v>9</v>
      </c>
      <c r="L427" s="16" t="s">
        <v>30</v>
      </c>
      <c r="M427" s="16" t="s">
        <v>30</v>
      </c>
      <c r="N427" s="16" t="s">
        <v>98</v>
      </c>
      <c r="O427" s="101"/>
      <c r="P427" s="101"/>
      <c r="Q427" s="102"/>
    </row>
    <row r="428">
      <c r="A428" s="140"/>
      <c r="B428" s="10" t="s">
        <v>73</v>
      </c>
      <c r="C428" s="134" t="s">
        <v>74</v>
      </c>
      <c r="D428" s="96" t="s">
        <v>242</v>
      </c>
      <c r="E428" s="90">
        <v>42593.0</v>
      </c>
      <c r="F428" s="13" t="str">
        <f t="shared" si="41"/>
        <v>Aug-2016</v>
      </c>
      <c r="G428" s="16" t="s">
        <v>25</v>
      </c>
      <c r="H428" s="16" t="s">
        <v>35</v>
      </c>
      <c r="I428" s="48" t="s">
        <v>248</v>
      </c>
      <c r="J428" s="16" t="s">
        <v>9</v>
      </c>
      <c r="K428" s="16" t="s">
        <v>9</v>
      </c>
      <c r="L428" s="16" t="s">
        <v>30</v>
      </c>
      <c r="M428" s="16"/>
      <c r="N428" s="16" t="s">
        <v>106</v>
      </c>
      <c r="O428" s="101"/>
      <c r="P428" s="101"/>
      <c r="Q428" s="102"/>
    </row>
    <row r="429">
      <c r="A429" s="140"/>
      <c r="B429" s="10" t="s">
        <v>73</v>
      </c>
      <c r="C429" s="134" t="s">
        <v>74</v>
      </c>
      <c r="D429" s="96" t="s">
        <v>242</v>
      </c>
      <c r="E429" s="90">
        <v>42593.0</v>
      </c>
      <c r="F429" s="21" t="str">
        <f t="shared" si="41"/>
        <v>Aug-2016</v>
      </c>
      <c r="G429" s="25" t="s">
        <v>20</v>
      </c>
      <c r="H429" s="25" t="s">
        <v>35</v>
      </c>
      <c r="I429" s="80" t="s">
        <v>249</v>
      </c>
      <c r="J429" s="25" t="s">
        <v>71</v>
      </c>
      <c r="K429" s="25" t="s">
        <v>9</v>
      </c>
      <c r="L429" s="25" t="s">
        <v>24</v>
      </c>
      <c r="M429" s="25" t="s">
        <v>30</v>
      </c>
      <c r="N429" s="25" t="s">
        <v>37</v>
      </c>
      <c r="O429" s="25">
        <v>10.0</v>
      </c>
      <c r="Q429" s="25" t="s">
        <v>246</v>
      </c>
    </row>
    <row r="430">
      <c r="A430" s="140"/>
      <c r="B430" s="10" t="s">
        <v>73</v>
      </c>
      <c r="C430" s="134" t="s">
        <v>74</v>
      </c>
      <c r="D430" s="96" t="s">
        <v>242</v>
      </c>
      <c r="E430" s="90">
        <v>42593.0</v>
      </c>
      <c r="F430" s="21" t="str">
        <f t="shared" si="41"/>
        <v>Aug-2016</v>
      </c>
      <c r="G430" s="25" t="s">
        <v>25</v>
      </c>
      <c r="H430" s="25" t="s">
        <v>35</v>
      </c>
      <c r="I430" s="80" t="s">
        <v>249</v>
      </c>
      <c r="J430" s="25" t="s">
        <v>71</v>
      </c>
      <c r="K430" s="25" t="s">
        <v>9</v>
      </c>
      <c r="L430" s="25" t="s">
        <v>30</v>
      </c>
      <c r="M430" s="25"/>
      <c r="N430" s="25" t="s">
        <v>69</v>
      </c>
      <c r="O430" s="25">
        <v>10.0</v>
      </c>
      <c r="Q430" s="25" t="s">
        <v>246</v>
      </c>
    </row>
    <row r="431">
      <c r="A431" s="140"/>
      <c r="B431" s="10" t="s">
        <v>73</v>
      </c>
      <c r="C431" s="134" t="s">
        <v>74</v>
      </c>
      <c r="D431" s="96" t="s">
        <v>242</v>
      </c>
      <c r="E431" s="90">
        <v>42593.0</v>
      </c>
      <c r="F431" s="21" t="str">
        <f t="shared" si="41"/>
        <v>Aug-2016</v>
      </c>
      <c r="G431" s="25" t="s">
        <v>32</v>
      </c>
      <c r="H431" s="25" t="s">
        <v>35</v>
      </c>
      <c r="I431" s="80" t="s">
        <v>249</v>
      </c>
      <c r="J431" s="25" t="s">
        <v>71</v>
      </c>
      <c r="K431" s="25" t="s">
        <v>9</v>
      </c>
      <c r="L431" s="25" t="s">
        <v>30</v>
      </c>
      <c r="M431" s="25"/>
      <c r="N431" s="25" t="s">
        <v>99</v>
      </c>
      <c r="O431" s="25">
        <v>10.0</v>
      </c>
      <c r="Q431" s="25" t="s">
        <v>246</v>
      </c>
    </row>
    <row r="432">
      <c r="A432" s="140"/>
      <c r="B432" s="10" t="s">
        <v>73</v>
      </c>
      <c r="C432" s="134" t="s">
        <v>74</v>
      </c>
      <c r="D432" s="96" t="s">
        <v>242</v>
      </c>
      <c r="E432" s="90">
        <v>42593.0</v>
      </c>
      <c r="F432" s="13" t="str">
        <f t="shared" si="41"/>
        <v>Aug-2016</v>
      </c>
      <c r="G432" s="16" t="s">
        <v>20</v>
      </c>
      <c r="H432" s="16" t="s">
        <v>250</v>
      </c>
      <c r="I432" s="48" t="s">
        <v>190</v>
      </c>
      <c r="J432" s="16" t="s">
        <v>9</v>
      </c>
      <c r="K432" s="16" t="s">
        <v>9</v>
      </c>
      <c r="L432" s="16" t="s">
        <v>24</v>
      </c>
      <c r="M432" s="16" t="s">
        <v>24</v>
      </c>
      <c r="N432" s="16" t="s">
        <v>98</v>
      </c>
      <c r="O432" s="101"/>
      <c r="P432" s="101"/>
      <c r="Q432" s="102"/>
    </row>
    <row r="433">
      <c r="A433" s="141"/>
      <c r="B433" s="10" t="s">
        <v>73</v>
      </c>
      <c r="C433" s="134" t="s">
        <v>74</v>
      </c>
      <c r="D433" s="96" t="s">
        <v>242</v>
      </c>
      <c r="E433" s="157">
        <v>42593.0</v>
      </c>
      <c r="F433" s="35" t="str">
        <f t="shared" si="41"/>
        <v>Aug-2016</v>
      </c>
      <c r="G433" s="38" t="s">
        <v>25</v>
      </c>
      <c r="H433" s="38" t="s">
        <v>250</v>
      </c>
      <c r="I433" s="122" t="s">
        <v>190</v>
      </c>
      <c r="J433" s="38" t="s">
        <v>9</v>
      </c>
      <c r="K433" s="38" t="s">
        <v>9</v>
      </c>
      <c r="L433" s="38" t="s">
        <v>24</v>
      </c>
      <c r="M433" s="38"/>
      <c r="N433" s="38" t="s">
        <v>37</v>
      </c>
      <c r="O433" s="105"/>
      <c r="P433" s="105"/>
      <c r="Q433" s="106"/>
    </row>
    <row r="434">
      <c r="A434" s="107"/>
      <c r="B434" s="95"/>
      <c r="C434" s="95"/>
      <c r="D434" s="95"/>
      <c r="E434" s="95"/>
      <c r="I434" s="23"/>
    </row>
    <row r="435">
      <c r="A435" s="133" t="s">
        <v>251</v>
      </c>
      <c r="B435" s="134" t="s">
        <v>228</v>
      </c>
      <c r="C435" s="134" t="s">
        <v>84</v>
      </c>
      <c r="D435" s="133" t="s">
        <v>251</v>
      </c>
      <c r="E435" s="164">
        <v>42595.0</v>
      </c>
      <c r="F435" s="70" t="str">
        <f t="shared" ref="F435:F446" si="42">TEXT(E435, "mmm") &amp; "-" &amp; TEXT(E435, "yyyy") </f>
        <v>Aug-2016</v>
      </c>
      <c r="G435" s="73" t="s">
        <v>20</v>
      </c>
      <c r="H435" s="73" t="s">
        <v>252</v>
      </c>
      <c r="I435" s="86" t="s">
        <v>253</v>
      </c>
      <c r="J435" s="73" t="s">
        <v>44</v>
      </c>
      <c r="K435" s="73" t="s">
        <v>9</v>
      </c>
      <c r="L435" s="73" t="s">
        <v>30</v>
      </c>
      <c r="M435" s="73" t="s">
        <v>30</v>
      </c>
      <c r="N435" s="73" t="s">
        <v>69</v>
      </c>
      <c r="O435" s="165"/>
      <c r="P435" s="165"/>
      <c r="Q435" s="166"/>
    </row>
    <row r="436">
      <c r="A436" s="134" t="s">
        <v>228</v>
      </c>
      <c r="B436" s="134" t="s">
        <v>228</v>
      </c>
      <c r="C436" s="134" t="s">
        <v>84</v>
      </c>
      <c r="D436" s="133" t="s">
        <v>251</v>
      </c>
      <c r="E436" s="167">
        <v>42595.0</v>
      </c>
      <c r="F436" s="21" t="str">
        <f t="shared" si="42"/>
        <v>Aug-2016</v>
      </c>
      <c r="G436" s="25" t="s">
        <v>25</v>
      </c>
      <c r="H436" s="25" t="s">
        <v>252</v>
      </c>
      <c r="I436" s="80" t="s">
        <v>253</v>
      </c>
      <c r="J436" s="25" t="s">
        <v>44</v>
      </c>
      <c r="K436" s="25" t="s">
        <v>9</v>
      </c>
      <c r="L436" s="25" t="s">
        <v>30</v>
      </c>
      <c r="M436" s="25"/>
      <c r="N436" s="25" t="s">
        <v>69</v>
      </c>
      <c r="Q436" s="99"/>
    </row>
    <row r="437">
      <c r="A437" s="134" t="s">
        <v>254</v>
      </c>
      <c r="B437" s="134" t="s">
        <v>228</v>
      </c>
      <c r="C437" s="134" t="s">
        <v>84</v>
      </c>
      <c r="D437" s="133" t="s">
        <v>251</v>
      </c>
      <c r="E437" s="167">
        <v>42595.0</v>
      </c>
      <c r="F437" s="13" t="str">
        <f t="shared" si="42"/>
        <v>Aug-2016</v>
      </c>
      <c r="G437" s="16" t="s">
        <v>20</v>
      </c>
      <c r="H437" s="16" t="s">
        <v>252</v>
      </c>
      <c r="I437" s="48" t="s">
        <v>255</v>
      </c>
      <c r="J437" s="16" t="s">
        <v>9</v>
      </c>
      <c r="K437" s="16" t="s">
        <v>9</v>
      </c>
      <c r="L437" s="16" t="s">
        <v>24</v>
      </c>
      <c r="M437" s="16" t="s">
        <v>24</v>
      </c>
      <c r="N437" s="16" t="s">
        <v>37</v>
      </c>
      <c r="O437" s="101"/>
      <c r="P437" s="101"/>
      <c r="Q437" s="102"/>
    </row>
    <row r="438">
      <c r="A438" s="168">
        <v>42595.0</v>
      </c>
      <c r="B438" s="134" t="s">
        <v>228</v>
      </c>
      <c r="C438" s="134" t="s">
        <v>84</v>
      </c>
      <c r="D438" s="133" t="s">
        <v>251</v>
      </c>
      <c r="E438" s="167">
        <v>42595.0</v>
      </c>
      <c r="F438" s="13" t="str">
        <f t="shared" si="42"/>
        <v>Aug-2016</v>
      </c>
      <c r="G438" s="16" t="s">
        <v>25</v>
      </c>
      <c r="H438" s="16" t="s">
        <v>252</v>
      </c>
      <c r="I438" s="48" t="s">
        <v>255</v>
      </c>
      <c r="J438" s="16" t="s">
        <v>9</v>
      </c>
      <c r="K438" s="16" t="s">
        <v>9</v>
      </c>
      <c r="L438" s="16" t="s">
        <v>24</v>
      </c>
      <c r="M438" s="16"/>
      <c r="N438" s="16" t="s">
        <v>106</v>
      </c>
      <c r="O438" s="101"/>
      <c r="P438" s="101"/>
      <c r="Q438" s="102"/>
    </row>
    <row r="439">
      <c r="A439" s="134" t="s">
        <v>84</v>
      </c>
      <c r="B439" s="134" t="s">
        <v>228</v>
      </c>
      <c r="C439" s="134" t="s">
        <v>84</v>
      </c>
      <c r="D439" s="133" t="s">
        <v>251</v>
      </c>
      <c r="E439" s="167">
        <v>42595.0</v>
      </c>
      <c r="F439" s="21" t="str">
        <f t="shared" si="42"/>
        <v>Aug-2016</v>
      </c>
      <c r="G439" s="25" t="s">
        <v>20</v>
      </c>
      <c r="H439" s="25" t="s">
        <v>252</v>
      </c>
      <c r="I439" s="80" t="s">
        <v>256</v>
      </c>
      <c r="J439" s="25" t="s">
        <v>86</v>
      </c>
      <c r="K439" s="25" t="s">
        <v>9</v>
      </c>
      <c r="L439" s="25" t="s">
        <v>30</v>
      </c>
      <c r="M439" s="25" t="s">
        <v>30</v>
      </c>
      <c r="N439" s="25" t="s">
        <v>98</v>
      </c>
      <c r="Q439" s="99"/>
    </row>
    <row r="440">
      <c r="A440" s="140"/>
      <c r="B440" s="134" t="s">
        <v>228</v>
      </c>
      <c r="C440" s="134" t="s">
        <v>84</v>
      </c>
      <c r="D440" s="133" t="s">
        <v>251</v>
      </c>
      <c r="E440" s="167">
        <v>42595.0</v>
      </c>
      <c r="F440" s="21" t="str">
        <f t="shared" si="42"/>
        <v>Aug-2016</v>
      </c>
      <c r="G440" s="25" t="s">
        <v>25</v>
      </c>
      <c r="H440" s="25" t="s">
        <v>252</v>
      </c>
      <c r="I440" s="80" t="s">
        <v>256</v>
      </c>
      <c r="J440" s="25" t="s">
        <v>86</v>
      </c>
      <c r="K440" s="25" t="s">
        <v>9</v>
      </c>
      <c r="L440" s="25" t="s">
        <v>30</v>
      </c>
      <c r="M440" s="25"/>
      <c r="N440" s="25" t="s">
        <v>69</v>
      </c>
      <c r="Q440" s="99"/>
    </row>
    <row r="441">
      <c r="A441" s="140"/>
      <c r="B441" s="134" t="s">
        <v>228</v>
      </c>
      <c r="C441" s="134" t="s">
        <v>84</v>
      </c>
      <c r="D441" s="133" t="s">
        <v>251</v>
      </c>
      <c r="E441" s="167">
        <v>42595.0</v>
      </c>
      <c r="F441" s="13" t="str">
        <f t="shared" si="42"/>
        <v>Aug-2016</v>
      </c>
      <c r="G441" s="16" t="s">
        <v>20</v>
      </c>
      <c r="H441" s="16" t="s">
        <v>252</v>
      </c>
      <c r="I441" s="48" t="s">
        <v>257</v>
      </c>
      <c r="J441" s="16" t="s">
        <v>71</v>
      </c>
      <c r="K441" s="16" t="s">
        <v>9</v>
      </c>
      <c r="L441" s="16" t="s">
        <v>24</v>
      </c>
      <c r="M441" s="16" t="s">
        <v>24</v>
      </c>
      <c r="N441" s="16" t="s">
        <v>99</v>
      </c>
      <c r="O441" s="101"/>
      <c r="P441" s="101"/>
      <c r="Q441" s="102"/>
    </row>
    <row r="442">
      <c r="A442" s="140"/>
      <c r="B442" s="134" t="s">
        <v>228</v>
      </c>
      <c r="C442" s="134" t="s">
        <v>84</v>
      </c>
      <c r="D442" s="133" t="s">
        <v>251</v>
      </c>
      <c r="E442" s="167">
        <v>42595.0</v>
      </c>
      <c r="F442" s="13" t="str">
        <f t="shared" si="42"/>
        <v>Aug-2016</v>
      </c>
      <c r="G442" s="16" t="s">
        <v>25</v>
      </c>
      <c r="H442" s="16" t="s">
        <v>252</v>
      </c>
      <c r="I442" s="48" t="s">
        <v>257</v>
      </c>
      <c r="J442" s="16" t="s">
        <v>71</v>
      </c>
      <c r="K442" s="16" t="s">
        <v>9</v>
      </c>
      <c r="L442" s="16" t="s">
        <v>24</v>
      </c>
      <c r="M442" s="16"/>
      <c r="N442" s="16" t="s">
        <v>69</v>
      </c>
      <c r="O442" s="101"/>
      <c r="P442" s="101"/>
      <c r="Q442" s="102"/>
    </row>
    <row r="443">
      <c r="A443" s="140"/>
      <c r="B443" s="134" t="s">
        <v>228</v>
      </c>
      <c r="C443" s="134" t="s">
        <v>84</v>
      </c>
      <c r="D443" s="133" t="s">
        <v>251</v>
      </c>
      <c r="E443" s="167">
        <v>42595.0</v>
      </c>
      <c r="F443" s="21" t="str">
        <f t="shared" si="42"/>
        <v>Aug-2016</v>
      </c>
      <c r="G443" s="25" t="s">
        <v>20</v>
      </c>
      <c r="H443" s="25" t="s">
        <v>252</v>
      </c>
      <c r="I443" s="80" t="s">
        <v>111</v>
      </c>
      <c r="J443" s="25" t="s">
        <v>216</v>
      </c>
      <c r="K443" s="25" t="s">
        <v>9</v>
      </c>
      <c r="L443" s="25" t="s">
        <v>24</v>
      </c>
      <c r="M443" s="25" t="s">
        <v>24</v>
      </c>
      <c r="N443" s="25" t="s">
        <v>98</v>
      </c>
      <c r="Q443" s="99"/>
    </row>
    <row r="444">
      <c r="A444" s="140"/>
      <c r="B444" s="134" t="s">
        <v>228</v>
      </c>
      <c r="C444" s="134" t="s">
        <v>84</v>
      </c>
      <c r="D444" s="133" t="s">
        <v>251</v>
      </c>
      <c r="E444" s="167">
        <v>42595.0</v>
      </c>
      <c r="F444" s="21" t="str">
        <f t="shared" si="42"/>
        <v>Aug-2016</v>
      </c>
      <c r="G444" s="25" t="s">
        <v>25</v>
      </c>
      <c r="H444" s="25" t="s">
        <v>252</v>
      </c>
      <c r="I444" s="80" t="s">
        <v>111</v>
      </c>
      <c r="J444" s="25" t="s">
        <v>216</v>
      </c>
      <c r="K444" s="25" t="s">
        <v>9</v>
      </c>
      <c r="L444" s="25" t="s">
        <v>24</v>
      </c>
      <c r="M444" s="25"/>
      <c r="N444" s="25" t="s">
        <v>99</v>
      </c>
      <c r="Q444" s="99"/>
    </row>
    <row r="445">
      <c r="A445" s="140"/>
      <c r="B445" s="134" t="s">
        <v>228</v>
      </c>
      <c r="C445" s="134" t="s">
        <v>84</v>
      </c>
      <c r="D445" s="133" t="s">
        <v>251</v>
      </c>
      <c r="E445" s="167">
        <v>42595.0</v>
      </c>
      <c r="F445" s="13" t="str">
        <f t="shared" si="42"/>
        <v>Aug-2016</v>
      </c>
      <c r="G445" s="16" t="s">
        <v>20</v>
      </c>
      <c r="H445" s="16" t="s">
        <v>252</v>
      </c>
      <c r="I445" s="48" t="s">
        <v>161</v>
      </c>
      <c r="J445" s="16" t="s">
        <v>86</v>
      </c>
      <c r="K445" s="16" t="s">
        <v>9</v>
      </c>
      <c r="L445" s="16" t="s">
        <v>30</v>
      </c>
      <c r="M445" s="16" t="s">
        <v>30</v>
      </c>
      <c r="N445" s="16" t="s">
        <v>98</v>
      </c>
      <c r="O445" s="101"/>
      <c r="P445" s="101"/>
      <c r="Q445" s="102"/>
    </row>
    <row r="446">
      <c r="A446" s="141"/>
      <c r="B446" s="134" t="s">
        <v>228</v>
      </c>
      <c r="C446" s="134" t="s">
        <v>84</v>
      </c>
      <c r="D446" s="133" t="s">
        <v>251</v>
      </c>
      <c r="E446" s="169">
        <v>42595.0</v>
      </c>
      <c r="F446" s="35" t="str">
        <f t="shared" si="42"/>
        <v>Aug-2016</v>
      </c>
      <c r="G446" s="38" t="s">
        <v>25</v>
      </c>
      <c r="H446" s="38" t="s">
        <v>252</v>
      </c>
      <c r="I446" s="122" t="s">
        <v>161</v>
      </c>
      <c r="J446" s="38" t="s">
        <v>86</v>
      </c>
      <c r="K446" s="38" t="s">
        <v>9</v>
      </c>
      <c r="L446" s="38" t="s">
        <v>30</v>
      </c>
      <c r="M446" s="38"/>
      <c r="N446" s="38" t="s">
        <v>69</v>
      </c>
      <c r="O446" s="105"/>
      <c r="P446" s="105"/>
      <c r="Q446" s="106"/>
    </row>
    <row r="447">
      <c r="A447" s="107"/>
      <c r="B447" s="95"/>
      <c r="C447" s="95"/>
      <c r="D447" s="95"/>
      <c r="E447" s="95"/>
      <c r="I447" s="23"/>
    </row>
    <row r="448">
      <c r="A448" s="133" t="s">
        <v>258</v>
      </c>
      <c r="B448" s="134" t="s">
        <v>228</v>
      </c>
      <c r="C448" s="134" t="s">
        <v>84</v>
      </c>
      <c r="D448" s="133" t="s">
        <v>258</v>
      </c>
      <c r="E448" s="168">
        <v>42596.0</v>
      </c>
      <c r="F448" s="70" t="str">
        <f t="shared" ref="F448:F451" si="43">TEXT(E448, "mmm") &amp; "-" &amp; TEXT(E448, "yyyy") </f>
        <v>Aug-2016</v>
      </c>
      <c r="G448" s="73" t="s">
        <v>20</v>
      </c>
      <c r="H448" s="73" t="s">
        <v>35</v>
      </c>
      <c r="I448" s="86" t="s">
        <v>259</v>
      </c>
      <c r="J448" s="73" t="s">
        <v>97</v>
      </c>
      <c r="K448" s="73" t="s">
        <v>9</v>
      </c>
      <c r="L448" s="73" t="s">
        <v>24</v>
      </c>
      <c r="M448" s="73" t="s">
        <v>24</v>
      </c>
      <c r="N448" s="73" t="s">
        <v>98</v>
      </c>
      <c r="O448" s="165"/>
      <c r="P448" s="165"/>
      <c r="Q448" s="166"/>
    </row>
    <row r="449">
      <c r="A449" s="134" t="s">
        <v>228</v>
      </c>
      <c r="B449" s="134" t="s">
        <v>228</v>
      </c>
      <c r="C449" s="134" t="s">
        <v>84</v>
      </c>
      <c r="D449" s="133" t="s">
        <v>258</v>
      </c>
      <c r="E449" s="168">
        <v>42596.0</v>
      </c>
      <c r="F449" s="21" t="str">
        <f t="shared" si="43"/>
        <v>Aug-2016</v>
      </c>
      <c r="G449" s="25" t="s">
        <v>25</v>
      </c>
      <c r="H449" s="25" t="s">
        <v>35</v>
      </c>
      <c r="I449" s="80" t="s">
        <v>259</v>
      </c>
      <c r="J449" s="25" t="s">
        <v>97</v>
      </c>
      <c r="K449" s="25" t="s">
        <v>9</v>
      </c>
      <c r="L449" s="25" t="s">
        <v>24</v>
      </c>
      <c r="M449" s="25"/>
      <c r="N449" s="25" t="s">
        <v>29</v>
      </c>
      <c r="Q449" s="99"/>
    </row>
    <row r="450">
      <c r="A450" s="134" t="s">
        <v>84</v>
      </c>
      <c r="B450" s="134" t="s">
        <v>228</v>
      </c>
      <c r="C450" s="134" t="s">
        <v>84</v>
      </c>
      <c r="D450" s="133" t="s">
        <v>258</v>
      </c>
      <c r="E450" s="168">
        <v>42596.0</v>
      </c>
      <c r="F450" s="13" t="str">
        <f t="shared" si="43"/>
        <v>Aug-2016</v>
      </c>
      <c r="G450" s="16" t="s">
        <v>20</v>
      </c>
      <c r="H450" s="16" t="s">
        <v>35</v>
      </c>
      <c r="I450" s="48" t="s">
        <v>260</v>
      </c>
      <c r="J450" s="16" t="s">
        <v>9</v>
      </c>
      <c r="K450" s="16" t="s">
        <v>9</v>
      </c>
      <c r="L450" s="16" t="s">
        <v>24</v>
      </c>
      <c r="M450" s="16" t="s">
        <v>24</v>
      </c>
      <c r="N450" s="16" t="s">
        <v>98</v>
      </c>
      <c r="O450" s="101"/>
      <c r="P450" s="101"/>
      <c r="Q450" s="102"/>
    </row>
    <row r="451">
      <c r="A451" s="170">
        <v>42596.0</v>
      </c>
      <c r="B451" s="134" t="s">
        <v>228</v>
      </c>
      <c r="C451" s="134" t="s">
        <v>84</v>
      </c>
      <c r="D451" s="133" t="s">
        <v>258</v>
      </c>
      <c r="E451" s="170">
        <v>42596.0</v>
      </c>
      <c r="F451" s="35" t="str">
        <f t="shared" si="43"/>
        <v>Aug-2016</v>
      </c>
      <c r="G451" s="38" t="s">
        <v>25</v>
      </c>
      <c r="H451" s="38" t="s">
        <v>35</v>
      </c>
      <c r="I451" s="122" t="s">
        <v>260</v>
      </c>
      <c r="J451" s="38" t="s">
        <v>9</v>
      </c>
      <c r="K451" s="38" t="s">
        <v>9</v>
      </c>
      <c r="L451" s="38" t="s">
        <v>24</v>
      </c>
      <c r="M451" s="38"/>
      <c r="N451" s="38" t="s">
        <v>98</v>
      </c>
      <c r="O451" s="105"/>
      <c r="P451" s="105"/>
      <c r="Q451" s="106"/>
    </row>
    <row r="452">
      <c r="A452" s="107"/>
      <c r="B452" s="95"/>
      <c r="C452" s="95"/>
      <c r="D452" s="95"/>
      <c r="E452" s="95"/>
      <c r="I452" s="23"/>
    </row>
    <row r="453">
      <c r="A453" s="68" t="s">
        <v>261</v>
      </c>
      <c r="B453" s="10" t="s">
        <v>18</v>
      </c>
      <c r="C453" s="171" t="s">
        <v>74</v>
      </c>
      <c r="D453" s="68" t="s">
        <v>261</v>
      </c>
      <c r="E453" s="123">
        <v>42599.0</v>
      </c>
      <c r="F453" s="110" t="str">
        <f t="shared" ref="F453:F462" si="44">TEXT(E453, "mmm") &amp; "-" &amp; TEXT(E453, "yyyy") </f>
        <v>Aug-2016</v>
      </c>
      <c r="G453" s="110" t="s">
        <v>20</v>
      </c>
      <c r="H453" s="111" t="s">
        <v>35</v>
      </c>
      <c r="I453" s="79" t="s">
        <v>135</v>
      </c>
      <c r="J453" s="47" t="s">
        <v>86</v>
      </c>
      <c r="K453" s="47" t="s">
        <v>9</v>
      </c>
      <c r="L453" s="47" t="s">
        <v>24</v>
      </c>
      <c r="M453" s="47" t="s">
        <v>24</v>
      </c>
      <c r="N453" s="47" t="s">
        <v>69</v>
      </c>
      <c r="O453" s="111"/>
      <c r="P453" s="111"/>
      <c r="Q453" s="112"/>
    </row>
    <row r="454">
      <c r="A454" s="10" t="s">
        <v>18</v>
      </c>
      <c r="B454" s="10" t="s">
        <v>18</v>
      </c>
      <c r="C454" s="171" t="s">
        <v>74</v>
      </c>
      <c r="D454" s="68" t="s">
        <v>261</v>
      </c>
      <c r="E454" s="123">
        <v>42599.0</v>
      </c>
      <c r="F454" s="13" t="str">
        <f t="shared" si="44"/>
        <v>Aug-2016</v>
      </c>
      <c r="G454" s="13" t="s">
        <v>25</v>
      </c>
      <c r="H454" s="17" t="s">
        <v>35</v>
      </c>
      <c r="I454" s="48" t="s">
        <v>135</v>
      </c>
      <c r="J454" s="16" t="s">
        <v>86</v>
      </c>
      <c r="K454" s="16" t="s">
        <v>9</v>
      </c>
      <c r="L454" s="16" t="s">
        <v>24</v>
      </c>
      <c r="M454" s="16"/>
      <c r="N454" s="16" t="s">
        <v>99</v>
      </c>
      <c r="O454" s="17"/>
      <c r="P454" s="17"/>
      <c r="Q454" s="49"/>
    </row>
    <row r="455">
      <c r="A455" s="10" t="s">
        <v>26</v>
      </c>
      <c r="B455" s="10" t="s">
        <v>18</v>
      </c>
      <c r="C455" s="171" t="s">
        <v>74</v>
      </c>
      <c r="D455" s="68" t="s">
        <v>261</v>
      </c>
      <c r="E455" s="123">
        <v>42599.0</v>
      </c>
      <c r="F455" s="22" t="str">
        <f t="shared" si="44"/>
        <v>Aug-2016</v>
      </c>
      <c r="G455" s="22" t="s">
        <v>20</v>
      </c>
      <c r="H455" s="26" t="s">
        <v>35</v>
      </c>
      <c r="I455" s="80" t="s">
        <v>217</v>
      </c>
      <c r="J455" s="25" t="s">
        <v>9</v>
      </c>
      <c r="K455" s="25" t="s">
        <v>9</v>
      </c>
      <c r="L455" s="25" t="s">
        <v>30</v>
      </c>
      <c r="M455" s="25" t="s">
        <v>30</v>
      </c>
      <c r="N455" s="25" t="s">
        <v>98</v>
      </c>
      <c r="O455" s="32"/>
      <c r="P455" s="32"/>
      <c r="Q455" s="27"/>
    </row>
    <row r="456">
      <c r="A456" s="123">
        <v>42599.0</v>
      </c>
      <c r="B456" s="10" t="s">
        <v>18</v>
      </c>
      <c r="C456" s="171" t="s">
        <v>74</v>
      </c>
      <c r="D456" s="68" t="s">
        <v>261</v>
      </c>
      <c r="E456" s="123">
        <v>42599.0</v>
      </c>
      <c r="F456" s="22" t="str">
        <f t="shared" si="44"/>
        <v>Aug-2016</v>
      </c>
      <c r="G456" s="26" t="s">
        <v>25</v>
      </c>
      <c r="H456" s="26" t="s">
        <v>35</v>
      </c>
      <c r="I456" s="80" t="s">
        <v>217</v>
      </c>
      <c r="J456" s="25" t="s">
        <v>9</v>
      </c>
      <c r="K456" s="25" t="s">
        <v>9</v>
      </c>
      <c r="L456" s="25" t="s">
        <v>30</v>
      </c>
      <c r="M456" s="25"/>
      <c r="N456" s="25" t="s">
        <v>106</v>
      </c>
      <c r="O456" s="32"/>
      <c r="P456" s="32"/>
      <c r="Q456" s="27"/>
    </row>
    <row r="457">
      <c r="A457" s="171" t="s">
        <v>74</v>
      </c>
      <c r="B457" s="10" t="s">
        <v>18</v>
      </c>
      <c r="C457" s="171" t="s">
        <v>74</v>
      </c>
      <c r="D457" s="68" t="s">
        <v>261</v>
      </c>
      <c r="E457" s="123">
        <v>42599.0</v>
      </c>
      <c r="F457" s="13" t="str">
        <f t="shared" si="44"/>
        <v>Aug-2016</v>
      </c>
      <c r="G457" s="13" t="s">
        <v>20</v>
      </c>
      <c r="H457" s="17" t="s">
        <v>35</v>
      </c>
      <c r="I457" s="48" t="s">
        <v>262</v>
      </c>
      <c r="J457" s="16" t="s">
        <v>44</v>
      </c>
      <c r="K457" s="16" t="s">
        <v>9</v>
      </c>
      <c r="L457" s="16" t="s">
        <v>24</v>
      </c>
      <c r="M457" s="16" t="s">
        <v>30</v>
      </c>
      <c r="N457" s="16" t="s">
        <v>98</v>
      </c>
      <c r="O457" s="101"/>
      <c r="P457" s="101"/>
      <c r="Q457" s="102"/>
    </row>
    <row r="458">
      <c r="A458" s="172"/>
      <c r="B458" s="10" t="s">
        <v>18</v>
      </c>
      <c r="C458" s="171" t="s">
        <v>74</v>
      </c>
      <c r="D458" s="68" t="s">
        <v>261</v>
      </c>
      <c r="E458" s="123">
        <v>42599.0</v>
      </c>
      <c r="F458" s="13" t="str">
        <f t="shared" si="44"/>
        <v>Aug-2016</v>
      </c>
      <c r="G458" s="17" t="s">
        <v>25</v>
      </c>
      <c r="H458" s="17" t="s">
        <v>35</v>
      </c>
      <c r="I458" s="48" t="s">
        <v>262</v>
      </c>
      <c r="J458" s="16" t="s">
        <v>44</v>
      </c>
      <c r="K458" s="16" t="s">
        <v>9</v>
      </c>
      <c r="L458" s="16" t="s">
        <v>30</v>
      </c>
      <c r="M458" s="16"/>
      <c r="N458" s="16" t="s">
        <v>98</v>
      </c>
      <c r="O458" s="101"/>
      <c r="P458" s="101"/>
      <c r="Q458" s="102"/>
    </row>
    <row r="459">
      <c r="A459" s="172"/>
      <c r="B459" s="10" t="s">
        <v>18</v>
      </c>
      <c r="C459" s="171" t="s">
        <v>74</v>
      </c>
      <c r="D459" s="68" t="s">
        <v>261</v>
      </c>
      <c r="E459" s="123">
        <v>42599.0</v>
      </c>
      <c r="F459" s="13" t="str">
        <f t="shared" si="44"/>
        <v>Aug-2016</v>
      </c>
      <c r="G459" s="16" t="s">
        <v>32</v>
      </c>
      <c r="H459" s="17" t="s">
        <v>35</v>
      </c>
      <c r="I459" s="48" t="s">
        <v>262</v>
      </c>
      <c r="J459" s="16" t="s">
        <v>44</v>
      </c>
      <c r="K459" s="16" t="s">
        <v>9</v>
      </c>
      <c r="L459" s="16" t="s">
        <v>30</v>
      </c>
      <c r="M459" s="16"/>
      <c r="N459" s="16" t="s">
        <v>69</v>
      </c>
      <c r="O459" s="101"/>
      <c r="P459" s="101"/>
      <c r="Q459" s="102"/>
    </row>
    <row r="460">
      <c r="A460" s="172"/>
      <c r="B460" s="10" t="s">
        <v>18</v>
      </c>
      <c r="C460" s="171" t="s">
        <v>74</v>
      </c>
      <c r="D460" s="68" t="s">
        <v>261</v>
      </c>
      <c r="E460" s="123">
        <v>42599.0</v>
      </c>
      <c r="F460" s="22" t="str">
        <f t="shared" si="44"/>
        <v>Aug-2016</v>
      </c>
      <c r="G460" s="22" t="s">
        <v>20</v>
      </c>
      <c r="H460" s="26" t="s">
        <v>35</v>
      </c>
      <c r="I460" s="80" t="s">
        <v>231</v>
      </c>
      <c r="J460" s="25" t="s">
        <v>86</v>
      </c>
      <c r="K460" s="25" t="s">
        <v>9</v>
      </c>
      <c r="L460" s="25" t="s">
        <v>24</v>
      </c>
      <c r="M460" s="25" t="s">
        <v>24</v>
      </c>
      <c r="N460" s="25" t="s">
        <v>69</v>
      </c>
      <c r="Q460" s="99"/>
    </row>
    <row r="461">
      <c r="A461" s="172"/>
      <c r="B461" s="10" t="s">
        <v>18</v>
      </c>
      <c r="C461" s="171" t="s">
        <v>74</v>
      </c>
      <c r="D461" s="68" t="s">
        <v>261</v>
      </c>
      <c r="E461" s="123">
        <v>42599.0</v>
      </c>
      <c r="F461" s="22" t="str">
        <f t="shared" si="44"/>
        <v>Aug-2016</v>
      </c>
      <c r="G461" s="26" t="s">
        <v>25</v>
      </c>
      <c r="H461" s="26" t="s">
        <v>35</v>
      </c>
      <c r="I461" s="80" t="s">
        <v>231</v>
      </c>
      <c r="J461" s="25" t="s">
        <v>86</v>
      </c>
      <c r="K461" s="25" t="s">
        <v>9</v>
      </c>
      <c r="L461" s="25" t="s">
        <v>30</v>
      </c>
      <c r="M461" s="25"/>
      <c r="N461" s="25" t="s">
        <v>29</v>
      </c>
      <c r="O461" s="25">
        <v>5.0</v>
      </c>
      <c r="Q461" s="25" t="s">
        <v>246</v>
      </c>
    </row>
    <row r="462">
      <c r="A462" s="173"/>
      <c r="B462" s="10" t="s">
        <v>18</v>
      </c>
      <c r="C462" s="171" t="s">
        <v>74</v>
      </c>
      <c r="D462" s="68" t="s">
        <v>261</v>
      </c>
      <c r="E462" s="125">
        <v>42599.0</v>
      </c>
      <c r="F462" s="52" t="str">
        <f t="shared" si="44"/>
        <v>Aug-2016</v>
      </c>
      <c r="G462" s="55" t="s">
        <v>32</v>
      </c>
      <c r="H462" s="76" t="s">
        <v>35</v>
      </c>
      <c r="I462" s="113" t="s">
        <v>231</v>
      </c>
      <c r="J462" s="55" t="s">
        <v>86</v>
      </c>
      <c r="K462" s="55" t="s">
        <v>9</v>
      </c>
      <c r="L462" s="55" t="s">
        <v>24</v>
      </c>
      <c r="M462" s="55"/>
      <c r="N462" s="55" t="s">
        <v>98</v>
      </c>
      <c r="O462" s="143"/>
      <c r="P462" s="143"/>
      <c r="Q462" s="144"/>
    </row>
    <row r="463">
      <c r="A463" s="107"/>
      <c r="B463" s="95"/>
      <c r="C463" s="95"/>
      <c r="D463" s="95"/>
      <c r="E463" s="95"/>
      <c r="I463" s="23"/>
    </row>
    <row r="464">
      <c r="A464" s="83" t="s">
        <v>263</v>
      </c>
      <c r="B464" s="10" t="s">
        <v>73</v>
      </c>
      <c r="C464" s="11" t="s">
        <v>74</v>
      </c>
      <c r="D464" s="83" t="s">
        <v>263</v>
      </c>
      <c r="E464" s="90">
        <v>42600.0</v>
      </c>
      <c r="F464" s="110" t="str">
        <f t="shared" ref="F464:F469" si="45">TEXT(E464, "mmm") &amp; "-" &amp; TEXT(E464, "yyyy") </f>
        <v>Aug-2016</v>
      </c>
      <c r="G464" s="110" t="s">
        <v>20</v>
      </c>
      <c r="H464" s="110" t="s">
        <v>35</v>
      </c>
      <c r="I464" s="79" t="s">
        <v>103</v>
      </c>
      <c r="J464" s="47" t="s">
        <v>9</v>
      </c>
      <c r="K464" s="47" t="s">
        <v>9</v>
      </c>
      <c r="L464" s="47" t="s">
        <v>30</v>
      </c>
      <c r="M464" s="111" t="s">
        <v>30</v>
      </c>
      <c r="N464" s="111" t="s">
        <v>98</v>
      </c>
      <c r="O464" s="110"/>
      <c r="P464" s="110"/>
      <c r="Q464" s="146"/>
    </row>
    <row r="465">
      <c r="A465" s="10" t="s">
        <v>73</v>
      </c>
      <c r="B465" s="10" t="s">
        <v>73</v>
      </c>
      <c r="C465" s="11" t="s">
        <v>74</v>
      </c>
      <c r="D465" s="83" t="s">
        <v>263</v>
      </c>
      <c r="E465" s="90">
        <v>42600.0</v>
      </c>
      <c r="F465" s="13" t="str">
        <f t="shared" si="45"/>
        <v>Aug-2016</v>
      </c>
      <c r="G465" s="13" t="s">
        <v>25</v>
      </c>
      <c r="H465" s="13" t="s">
        <v>35</v>
      </c>
      <c r="I465" s="48" t="s">
        <v>103</v>
      </c>
      <c r="J465" s="16" t="s">
        <v>9</v>
      </c>
      <c r="K465" s="16" t="s">
        <v>9</v>
      </c>
      <c r="L465" s="16" t="s">
        <v>30</v>
      </c>
      <c r="M465" s="17"/>
      <c r="N465" s="17" t="s">
        <v>99</v>
      </c>
      <c r="O465" s="17"/>
      <c r="P465" s="17"/>
      <c r="Q465" s="49"/>
    </row>
    <row r="466">
      <c r="A466" s="10" t="s">
        <v>76</v>
      </c>
      <c r="B466" s="10" t="s">
        <v>73</v>
      </c>
      <c r="C466" s="11" t="s">
        <v>74</v>
      </c>
      <c r="D466" s="83" t="s">
        <v>263</v>
      </c>
      <c r="E466" s="90">
        <v>42600.0</v>
      </c>
      <c r="F466" s="21" t="str">
        <f t="shared" si="45"/>
        <v>Aug-2016</v>
      </c>
      <c r="G466" s="21" t="s">
        <v>20</v>
      </c>
      <c r="H466" s="21" t="s">
        <v>35</v>
      </c>
      <c r="I466" s="126" t="s">
        <v>239</v>
      </c>
      <c r="J466" s="119" t="s">
        <v>27</v>
      </c>
      <c r="K466" s="119" t="s">
        <v>9</v>
      </c>
      <c r="L466" s="119" t="s">
        <v>24</v>
      </c>
      <c r="M466" s="91" t="s">
        <v>24</v>
      </c>
      <c r="N466" s="91" t="s">
        <v>98</v>
      </c>
      <c r="O466" s="21"/>
      <c r="P466" s="21"/>
      <c r="Q466" s="147"/>
    </row>
    <row r="467">
      <c r="A467" s="90">
        <v>42600.0</v>
      </c>
      <c r="B467" s="10" t="s">
        <v>73</v>
      </c>
      <c r="C467" s="11" t="s">
        <v>74</v>
      </c>
      <c r="D467" s="83" t="s">
        <v>263</v>
      </c>
      <c r="E467" s="90">
        <v>42600.0</v>
      </c>
      <c r="F467" s="21" t="str">
        <f t="shared" si="45"/>
        <v>Aug-2016</v>
      </c>
      <c r="G467" s="21" t="s">
        <v>25</v>
      </c>
      <c r="H467" s="21" t="s">
        <v>35</v>
      </c>
      <c r="I467" s="126" t="s">
        <v>239</v>
      </c>
      <c r="J467" s="119" t="s">
        <v>27</v>
      </c>
      <c r="K467" s="119" t="s">
        <v>9</v>
      </c>
      <c r="L467" s="119" t="s">
        <v>24</v>
      </c>
      <c r="M467" s="91"/>
      <c r="N467" s="91" t="s">
        <v>98</v>
      </c>
      <c r="O467" s="21"/>
      <c r="P467" s="21"/>
      <c r="Q467" s="147"/>
    </row>
    <row r="468">
      <c r="A468" s="11" t="s">
        <v>74</v>
      </c>
      <c r="B468" s="10" t="s">
        <v>73</v>
      </c>
      <c r="C468" s="11" t="s">
        <v>74</v>
      </c>
      <c r="D468" s="83" t="s">
        <v>263</v>
      </c>
      <c r="E468" s="90">
        <v>42600.0</v>
      </c>
      <c r="F468" s="13" t="str">
        <f t="shared" si="45"/>
        <v>Aug-2016</v>
      </c>
      <c r="G468" s="13" t="s">
        <v>20</v>
      </c>
      <c r="H468" s="13" t="s">
        <v>35</v>
      </c>
      <c r="I468" s="48" t="s">
        <v>264</v>
      </c>
      <c r="J468" s="16" t="s">
        <v>102</v>
      </c>
      <c r="K468" s="16" t="s">
        <v>9</v>
      </c>
      <c r="L468" s="16" t="s">
        <v>24</v>
      </c>
      <c r="M468" s="17" t="s">
        <v>24</v>
      </c>
      <c r="N468" s="17" t="s">
        <v>69</v>
      </c>
      <c r="O468" s="13"/>
      <c r="P468" s="13"/>
      <c r="Q468" s="57"/>
    </row>
    <row r="469">
      <c r="A469" s="33"/>
      <c r="B469" s="10" t="s">
        <v>73</v>
      </c>
      <c r="C469" s="11" t="s">
        <v>74</v>
      </c>
      <c r="D469" s="83" t="s">
        <v>263</v>
      </c>
      <c r="E469" s="157">
        <v>42600.0</v>
      </c>
      <c r="F469" s="35" t="str">
        <f t="shared" si="45"/>
        <v>Aug-2016</v>
      </c>
      <c r="G469" s="35" t="s">
        <v>25</v>
      </c>
      <c r="H469" s="35" t="s">
        <v>35</v>
      </c>
      <c r="I469" s="122" t="s">
        <v>264</v>
      </c>
      <c r="J469" s="38" t="s">
        <v>102</v>
      </c>
      <c r="K469" s="38" t="s">
        <v>9</v>
      </c>
      <c r="L469" s="38" t="s">
        <v>24</v>
      </c>
      <c r="M469" s="93"/>
      <c r="N469" s="93" t="s">
        <v>69</v>
      </c>
      <c r="O469" s="93"/>
      <c r="P469" s="93"/>
      <c r="Q469" s="66"/>
    </row>
    <row r="470">
      <c r="A470" s="107"/>
      <c r="B470" s="95"/>
      <c r="C470" s="95"/>
      <c r="D470" s="95"/>
      <c r="E470" s="95"/>
      <c r="I470" s="23"/>
    </row>
    <row r="471">
      <c r="A471" s="68" t="s">
        <v>265</v>
      </c>
      <c r="B471" s="10" t="s">
        <v>18</v>
      </c>
      <c r="C471" s="171" t="s">
        <v>74</v>
      </c>
      <c r="D471" s="68" t="s">
        <v>265</v>
      </c>
      <c r="E471" s="123">
        <v>42606.0</v>
      </c>
      <c r="F471" s="110" t="str">
        <f t="shared" ref="F471:F479" si="46">TEXT(E471, "mmm") &amp; "-" &amp; TEXT(E471, "yyyy") </f>
        <v>Aug-2016</v>
      </c>
      <c r="G471" s="110" t="s">
        <v>20</v>
      </c>
      <c r="H471" s="111" t="s">
        <v>35</v>
      </c>
      <c r="I471" s="79" t="s">
        <v>186</v>
      </c>
      <c r="J471" s="47" t="s">
        <v>102</v>
      </c>
      <c r="K471" s="47" t="s">
        <v>9</v>
      </c>
      <c r="L471" s="47" t="s">
        <v>30</v>
      </c>
      <c r="M471" s="47" t="s">
        <v>30</v>
      </c>
      <c r="N471" s="47" t="s">
        <v>69</v>
      </c>
      <c r="O471" s="111"/>
      <c r="P471" s="111"/>
      <c r="Q471" s="112"/>
    </row>
    <row r="472">
      <c r="A472" s="10" t="s">
        <v>18</v>
      </c>
      <c r="B472" s="10" t="s">
        <v>18</v>
      </c>
      <c r="C472" s="171" t="s">
        <v>74</v>
      </c>
      <c r="D472" s="68" t="s">
        <v>265</v>
      </c>
      <c r="E472" s="123">
        <v>42606.0</v>
      </c>
      <c r="F472" s="13" t="str">
        <f t="shared" si="46"/>
        <v>Aug-2016</v>
      </c>
      <c r="G472" s="13" t="s">
        <v>25</v>
      </c>
      <c r="H472" s="17" t="s">
        <v>35</v>
      </c>
      <c r="I472" s="48" t="s">
        <v>186</v>
      </c>
      <c r="J472" s="16" t="s">
        <v>102</v>
      </c>
      <c r="K472" s="16" t="s">
        <v>9</v>
      </c>
      <c r="L472" s="16" t="s">
        <v>30</v>
      </c>
      <c r="M472" s="16"/>
      <c r="N472" s="16" t="s">
        <v>98</v>
      </c>
      <c r="O472" s="17"/>
      <c r="P472" s="17"/>
      <c r="Q472" s="49"/>
    </row>
    <row r="473">
      <c r="A473" s="10" t="s">
        <v>26</v>
      </c>
      <c r="B473" s="10" t="s">
        <v>18</v>
      </c>
      <c r="C473" s="171" t="s">
        <v>74</v>
      </c>
      <c r="D473" s="68" t="s">
        <v>265</v>
      </c>
      <c r="E473" s="123">
        <v>42606.0</v>
      </c>
      <c r="F473" s="22" t="str">
        <f t="shared" si="46"/>
        <v>Aug-2016</v>
      </c>
      <c r="G473" s="22" t="s">
        <v>20</v>
      </c>
      <c r="H473" s="26" t="s">
        <v>35</v>
      </c>
      <c r="I473" s="80" t="s">
        <v>266</v>
      </c>
      <c r="J473" s="25" t="s">
        <v>27</v>
      </c>
      <c r="K473" s="25" t="s">
        <v>9</v>
      </c>
      <c r="L473" s="25" t="s">
        <v>30</v>
      </c>
      <c r="M473" s="25" t="s">
        <v>30</v>
      </c>
      <c r="N473" s="25" t="s">
        <v>29</v>
      </c>
      <c r="O473" s="32"/>
      <c r="P473" s="32"/>
      <c r="Q473" s="27"/>
    </row>
    <row r="474">
      <c r="A474" s="123">
        <v>42606.0</v>
      </c>
      <c r="B474" s="10" t="s">
        <v>18</v>
      </c>
      <c r="C474" s="171" t="s">
        <v>74</v>
      </c>
      <c r="D474" s="68" t="s">
        <v>265</v>
      </c>
      <c r="E474" s="123">
        <v>42606.0</v>
      </c>
      <c r="F474" s="22" t="str">
        <f t="shared" si="46"/>
        <v>Aug-2016</v>
      </c>
      <c r="G474" s="26" t="s">
        <v>25</v>
      </c>
      <c r="H474" s="26" t="s">
        <v>35</v>
      </c>
      <c r="I474" s="80" t="s">
        <v>266</v>
      </c>
      <c r="J474" s="25" t="s">
        <v>27</v>
      </c>
      <c r="K474" s="25" t="s">
        <v>9</v>
      </c>
      <c r="L474" s="25" t="s">
        <v>24</v>
      </c>
      <c r="M474" s="25"/>
      <c r="N474" s="25" t="s">
        <v>106</v>
      </c>
      <c r="O474" s="32"/>
      <c r="P474" s="32"/>
      <c r="Q474" s="27"/>
    </row>
    <row r="475">
      <c r="A475" s="171" t="s">
        <v>74</v>
      </c>
      <c r="B475" s="10" t="s">
        <v>18</v>
      </c>
      <c r="C475" s="171" t="s">
        <v>74</v>
      </c>
      <c r="D475" s="68" t="s">
        <v>265</v>
      </c>
      <c r="E475" s="123">
        <v>42606.0</v>
      </c>
      <c r="F475" s="22" t="str">
        <f t="shared" si="46"/>
        <v>Aug-2016</v>
      </c>
      <c r="G475" s="91" t="s">
        <v>32</v>
      </c>
      <c r="H475" s="26" t="s">
        <v>35</v>
      </c>
      <c r="I475" s="126" t="s">
        <v>266</v>
      </c>
      <c r="J475" s="119" t="s">
        <v>27</v>
      </c>
      <c r="K475" s="25" t="s">
        <v>9</v>
      </c>
      <c r="L475" s="119" t="s">
        <v>30</v>
      </c>
      <c r="M475" s="119"/>
      <c r="N475" s="119" t="s">
        <v>37</v>
      </c>
      <c r="O475" s="174"/>
      <c r="P475" s="174"/>
      <c r="Q475" s="175"/>
    </row>
    <row r="476">
      <c r="A476" s="172"/>
      <c r="B476" s="10" t="s">
        <v>18</v>
      </c>
      <c r="C476" s="171" t="s">
        <v>74</v>
      </c>
      <c r="D476" s="68" t="s">
        <v>265</v>
      </c>
      <c r="E476" s="123">
        <v>42606.0</v>
      </c>
      <c r="F476" s="13" t="str">
        <f t="shared" si="46"/>
        <v>Aug-2016</v>
      </c>
      <c r="G476" s="13" t="s">
        <v>20</v>
      </c>
      <c r="H476" s="17" t="s">
        <v>35</v>
      </c>
      <c r="I476" s="48" t="s">
        <v>194</v>
      </c>
      <c r="J476" s="16" t="s">
        <v>23</v>
      </c>
      <c r="K476" s="16" t="s">
        <v>9</v>
      </c>
      <c r="L476" s="16" t="s">
        <v>24</v>
      </c>
      <c r="M476" s="16" t="s">
        <v>24</v>
      </c>
      <c r="N476" s="16" t="s">
        <v>98</v>
      </c>
      <c r="O476" s="101"/>
      <c r="P476" s="101"/>
      <c r="Q476" s="102"/>
    </row>
    <row r="477">
      <c r="A477" s="172"/>
      <c r="B477" s="10" t="s">
        <v>18</v>
      </c>
      <c r="C477" s="171" t="s">
        <v>74</v>
      </c>
      <c r="D477" s="68" t="s">
        <v>265</v>
      </c>
      <c r="E477" s="123">
        <v>42606.0</v>
      </c>
      <c r="F477" s="13" t="str">
        <f t="shared" si="46"/>
        <v>Aug-2016</v>
      </c>
      <c r="G477" s="17" t="s">
        <v>25</v>
      </c>
      <c r="H477" s="17" t="s">
        <v>35</v>
      </c>
      <c r="I477" s="48" t="s">
        <v>194</v>
      </c>
      <c r="J477" s="16" t="s">
        <v>23</v>
      </c>
      <c r="K477" s="16" t="s">
        <v>9</v>
      </c>
      <c r="L477" s="16" t="s">
        <v>24</v>
      </c>
      <c r="M477" s="16"/>
      <c r="N477" s="16" t="s">
        <v>29</v>
      </c>
      <c r="O477" s="101"/>
      <c r="P477" s="101"/>
      <c r="Q477" s="102"/>
    </row>
    <row r="478">
      <c r="A478" s="172"/>
      <c r="B478" s="10" t="s">
        <v>18</v>
      </c>
      <c r="C478" s="171" t="s">
        <v>74</v>
      </c>
      <c r="D478" s="68" t="s">
        <v>265</v>
      </c>
      <c r="E478" s="123">
        <v>42606.0</v>
      </c>
      <c r="F478" s="22" t="str">
        <f t="shared" si="46"/>
        <v>Aug-2016</v>
      </c>
      <c r="G478" s="22" t="s">
        <v>20</v>
      </c>
      <c r="H478" s="26" t="s">
        <v>35</v>
      </c>
      <c r="I478" s="80" t="s">
        <v>267</v>
      </c>
      <c r="J478" s="25" t="s">
        <v>9</v>
      </c>
      <c r="K478" s="25" t="s">
        <v>9</v>
      </c>
      <c r="L478" s="25" t="s">
        <v>24</v>
      </c>
      <c r="M478" s="25" t="s">
        <v>24</v>
      </c>
      <c r="N478" s="25" t="s">
        <v>37</v>
      </c>
      <c r="Q478" s="99"/>
    </row>
    <row r="479">
      <c r="A479" s="173"/>
      <c r="B479" s="10" t="s">
        <v>18</v>
      </c>
      <c r="C479" s="171" t="s">
        <v>74</v>
      </c>
      <c r="D479" s="68" t="s">
        <v>265</v>
      </c>
      <c r="E479" s="123">
        <v>42606.0</v>
      </c>
      <c r="F479" s="52" t="str">
        <f t="shared" si="46"/>
        <v>Aug-2016</v>
      </c>
      <c r="G479" s="55" t="s">
        <v>25</v>
      </c>
      <c r="H479" s="76" t="s">
        <v>35</v>
      </c>
      <c r="I479" s="113" t="s">
        <v>267</v>
      </c>
      <c r="J479" s="55" t="s">
        <v>9</v>
      </c>
      <c r="K479" s="55" t="s">
        <v>9</v>
      </c>
      <c r="L479" s="55" t="s">
        <v>24</v>
      </c>
      <c r="M479" s="55"/>
      <c r="N479" s="55" t="s">
        <v>99</v>
      </c>
      <c r="O479" s="143"/>
      <c r="P479" s="143"/>
      <c r="Q479" s="144"/>
    </row>
    <row r="480">
      <c r="A480" s="107"/>
      <c r="B480" s="95"/>
      <c r="C480" s="95"/>
      <c r="D480" s="95"/>
      <c r="E480" s="95"/>
      <c r="I480" s="23"/>
    </row>
    <row r="481">
      <c r="A481" s="107"/>
      <c r="B481" s="95"/>
      <c r="C481" s="95"/>
      <c r="D481" s="95"/>
      <c r="E481" s="95"/>
      <c r="I481" s="23"/>
    </row>
    <row r="482">
      <c r="A482" s="68" t="s">
        <v>268</v>
      </c>
      <c r="B482" s="10" t="s">
        <v>18</v>
      </c>
      <c r="C482" s="171" t="s">
        <v>74</v>
      </c>
      <c r="D482" s="68" t="s">
        <v>268</v>
      </c>
      <c r="E482" s="123">
        <v>42613.0</v>
      </c>
      <c r="F482" s="110" t="str">
        <f t="shared" ref="F482:F489" si="47">TEXT(E482, "mmm") &amp; "-" &amp; TEXT(E482, "yyyy") </f>
        <v>Aug-2016</v>
      </c>
      <c r="G482" s="110" t="s">
        <v>20</v>
      </c>
      <c r="H482" s="111" t="s">
        <v>35</v>
      </c>
      <c r="I482" s="79" t="s">
        <v>164</v>
      </c>
      <c r="J482" s="47" t="s">
        <v>9</v>
      </c>
      <c r="K482" s="47" t="s">
        <v>9</v>
      </c>
      <c r="L482" s="47" t="s">
        <v>30</v>
      </c>
      <c r="M482" s="47" t="s">
        <v>30</v>
      </c>
      <c r="N482" s="47" t="s">
        <v>99</v>
      </c>
      <c r="O482" s="111"/>
      <c r="P482" s="111"/>
      <c r="Q482" s="112"/>
    </row>
    <row r="483">
      <c r="A483" s="10" t="s">
        <v>18</v>
      </c>
      <c r="B483" s="10" t="s">
        <v>18</v>
      </c>
      <c r="C483" s="171" t="s">
        <v>74</v>
      </c>
      <c r="D483" s="68" t="s">
        <v>268</v>
      </c>
      <c r="E483" s="123">
        <v>42613.0</v>
      </c>
      <c r="F483" s="13" t="str">
        <f t="shared" si="47"/>
        <v>Aug-2016</v>
      </c>
      <c r="G483" s="13" t="s">
        <v>25</v>
      </c>
      <c r="H483" s="17" t="s">
        <v>35</v>
      </c>
      <c r="I483" s="48" t="s">
        <v>164</v>
      </c>
      <c r="J483" s="16" t="s">
        <v>9</v>
      </c>
      <c r="K483" s="16" t="s">
        <v>9</v>
      </c>
      <c r="L483" s="16" t="s">
        <v>30</v>
      </c>
      <c r="M483" s="16"/>
      <c r="N483" s="16" t="s">
        <v>106</v>
      </c>
      <c r="O483" s="17"/>
      <c r="P483" s="17"/>
      <c r="Q483" s="49"/>
    </row>
    <row r="484">
      <c r="A484" s="10" t="s">
        <v>26</v>
      </c>
      <c r="B484" s="10" t="s">
        <v>18</v>
      </c>
      <c r="C484" s="171" t="s">
        <v>74</v>
      </c>
      <c r="D484" s="68" t="s">
        <v>268</v>
      </c>
      <c r="E484" s="123">
        <v>42613.0</v>
      </c>
      <c r="F484" s="22" t="str">
        <f t="shared" si="47"/>
        <v>Aug-2016</v>
      </c>
      <c r="G484" s="22" t="s">
        <v>20</v>
      </c>
      <c r="H484" s="26" t="s">
        <v>35</v>
      </c>
      <c r="I484" s="80" t="s">
        <v>226</v>
      </c>
      <c r="J484" s="25" t="s">
        <v>216</v>
      </c>
      <c r="K484" s="25" t="s">
        <v>9</v>
      </c>
      <c r="L484" s="25" t="s">
        <v>24</v>
      </c>
      <c r="M484" s="25" t="s">
        <v>24</v>
      </c>
      <c r="N484" s="25" t="s">
        <v>98</v>
      </c>
      <c r="O484" s="32"/>
      <c r="P484" s="32"/>
      <c r="Q484" s="27"/>
    </row>
    <row r="485">
      <c r="A485" s="123">
        <v>42613.0</v>
      </c>
      <c r="B485" s="10" t="s">
        <v>18</v>
      </c>
      <c r="C485" s="171" t="s">
        <v>74</v>
      </c>
      <c r="D485" s="68" t="s">
        <v>268</v>
      </c>
      <c r="E485" s="123">
        <v>42613.0</v>
      </c>
      <c r="F485" s="22" t="str">
        <f t="shared" si="47"/>
        <v>Aug-2016</v>
      </c>
      <c r="G485" s="26" t="s">
        <v>25</v>
      </c>
      <c r="H485" s="26" t="s">
        <v>35</v>
      </c>
      <c r="I485" s="80" t="s">
        <v>226</v>
      </c>
      <c r="J485" s="25" t="s">
        <v>216</v>
      </c>
      <c r="K485" s="25" t="s">
        <v>9</v>
      </c>
      <c r="L485" s="25" t="s">
        <v>24</v>
      </c>
      <c r="M485" s="25"/>
      <c r="N485" s="25" t="s">
        <v>37</v>
      </c>
      <c r="O485" s="32"/>
      <c r="P485" s="32"/>
      <c r="Q485" s="27"/>
    </row>
    <row r="486">
      <c r="A486" s="171" t="s">
        <v>74</v>
      </c>
      <c r="B486" s="10" t="s">
        <v>18</v>
      </c>
      <c r="C486" s="171" t="s">
        <v>74</v>
      </c>
      <c r="D486" s="68" t="s">
        <v>268</v>
      </c>
      <c r="E486" s="123">
        <v>42613.0</v>
      </c>
      <c r="F486" s="13" t="str">
        <f t="shared" si="47"/>
        <v>Aug-2016</v>
      </c>
      <c r="G486" s="13" t="s">
        <v>20</v>
      </c>
      <c r="H486" s="17" t="s">
        <v>35</v>
      </c>
      <c r="I486" s="48" t="s">
        <v>269</v>
      </c>
      <c r="J486" s="16" t="s">
        <v>23</v>
      </c>
      <c r="K486" s="16" t="s">
        <v>9</v>
      </c>
      <c r="L486" s="16" t="s">
        <v>30</v>
      </c>
      <c r="M486" s="16" t="s">
        <v>30</v>
      </c>
      <c r="N486" s="16" t="s">
        <v>37</v>
      </c>
      <c r="O486" s="101"/>
      <c r="P486" s="101"/>
      <c r="Q486" s="102"/>
    </row>
    <row r="487">
      <c r="A487" s="172"/>
      <c r="B487" s="10" t="s">
        <v>18</v>
      </c>
      <c r="C487" s="171" t="s">
        <v>74</v>
      </c>
      <c r="D487" s="68" t="s">
        <v>268</v>
      </c>
      <c r="E487" s="123">
        <v>42613.0</v>
      </c>
      <c r="F487" s="13" t="str">
        <f t="shared" si="47"/>
        <v>Aug-2016</v>
      </c>
      <c r="G487" s="17" t="s">
        <v>25</v>
      </c>
      <c r="H487" s="17" t="s">
        <v>35</v>
      </c>
      <c r="I487" s="48" t="s">
        <v>269</v>
      </c>
      <c r="J487" s="16" t="s">
        <v>23</v>
      </c>
      <c r="K487" s="16" t="s">
        <v>9</v>
      </c>
      <c r="L487" s="16" t="s">
        <v>30</v>
      </c>
      <c r="M487" s="16"/>
      <c r="N487" s="16" t="s">
        <v>69</v>
      </c>
      <c r="O487" s="101"/>
      <c r="P487" s="101"/>
      <c r="Q487" s="102"/>
    </row>
    <row r="488">
      <c r="A488" s="172"/>
      <c r="B488" s="10" t="s">
        <v>18</v>
      </c>
      <c r="C488" s="171" t="s">
        <v>74</v>
      </c>
      <c r="D488" s="68" t="s">
        <v>268</v>
      </c>
      <c r="E488" s="123">
        <v>42613.0</v>
      </c>
      <c r="F488" s="22" t="str">
        <f t="shared" si="47"/>
        <v>Aug-2016</v>
      </c>
      <c r="G488" s="22" t="s">
        <v>20</v>
      </c>
      <c r="H488" s="26" t="s">
        <v>35</v>
      </c>
      <c r="I488" s="80" t="s">
        <v>270</v>
      </c>
      <c r="J488" s="25" t="s">
        <v>27</v>
      </c>
      <c r="K488" s="25" t="s">
        <v>9</v>
      </c>
      <c r="L488" s="25" t="s">
        <v>24</v>
      </c>
      <c r="M488" s="25" t="s">
        <v>24</v>
      </c>
      <c r="N488" s="25" t="s">
        <v>98</v>
      </c>
      <c r="Q488" s="99"/>
    </row>
    <row r="489" ht="16.5" customHeight="1">
      <c r="A489" s="173"/>
      <c r="B489" s="10" t="s">
        <v>18</v>
      </c>
      <c r="C489" s="171" t="s">
        <v>74</v>
      </c>
      <c r="D489" s="68" t="s">
        <v>268</v>
      </c>
      <c r="E489" s="123">
        <v>42613.0</v>
      </c>
      <c r="F489" s="52" t="str">
        <f t="shared" si="47"/>
        <v>Aug-2016</v>
      </c>
      <c r="G489" s="55" t="s">
        <v>25</v>
      </c>
      <c r="H489" s="76" t="s">
        <v>35</v>
      </c>
      <c r="I489" s="113" t="s">
        <v>270</v>
      </c>
      <c r="J489" s="55" t="s">
        <v>27</v>
      </c>
      <c r="K489" s="55" t="s">
        <v>9</v>
      </c>
      <c r="L489" s="55" t="s">
        <v>24</v>
      </c>
      <c r="M489" s="55"/>
      <c r="N489" s="55" t="s">
        <v>37</v>
      </c>
      <c r="O489" s="143"/>
      <c r="P489" s="143"/>
      <c r="Q489" s="144"/>
    </row>
    <row r="490" ht="16.5" customHeight="1">
      <c r="A490" s="107"/>
      <c r="B490" s="95"/>
      <c r="C490" s="95"/>
      <c r="D490" s="95"/>
      <c r="E490" s="95"/>
      <c r="I490" s="23"/>
    </row>
    <row r="491" ht="16.5" customHeight="1">
      <c r="A491" s="133" t="s">
        <v>271</v>
      </c>
      <c r="B491" s="134" t="s">
        <v>272</v>
      </c>
      <c r="C491" s="134" t="s">
        <v>19</v>
      </c>
      <c r="D491" s="133" t="s">
        <v>271</v>
      </c>
      <c r="E491" s="151">
        <v>42623.0</v>
      </c>
      <c r="F491" s="110" t="str">
        <f t="shared" ref="F491:F508" si="48">TEXT(E491, "mmm") &amp; "-" &amp; TEXT(E491, "yyyy") </f>
        <v>Sep-2016</v>
      </c>
      <c r="G491" s="47" t="s">
        <v>20</v>
      </c>
      <c r="H491" s="111" t="s">
        <v>273</v>
      </c>
      <c r="I491" s="79" t="s">
        <v>274</v>
      </c>
      <c r="J491" s="47" t="s">
        <v>71</v>
      </c>
      <c r="K491" s="47" t="s">
        <v>9</v>
      </c>
      <c r="L491" s="47" t="s">
        <v>24</v>
      </c>
      <c r="M491" s="47" t="s">
        <v>24</v>
      </c>
      <c r="N491" s="47" t="s">
        <v>99</v>
      </c>
      <c r="O491" s="152"/>
      <c r="P491" s="152"/>
      <c r="Q491" s="136" t="s">
        <v>56</v>
      </c>
    </row>
    <row r="492">
      <c r="A492" s="134" t="s">
        <v>272</v>
      </c>
      <c r="B492" s="134" t="s">
        <v>272</v>
      </c>
      <c r="C492" s="134" t="s">
        <v>19</v>
      </c>
      <c r="D492" s="133" t="s">
        <v>271</v>
      </c>
      <c r="E492" s="154">
        <v>42623.0</v>
      </c>
      <c r="F492" s="13" t="str">
        <f t="shared" si="48"/>
        <v>Sep-2016</v>
      </c>
      <c r="G492" s="16" t="s">
        <v>25</v>
      </c>
      <c r="H492" s="17" t="s">
        <v>273</v>
      </c>
      <c r="I492" s="48" t="s">
        <v>274</v>
      </c>
      <c r="J492" s="16" t="s">
        <v>71</v>
      </c>
      <c r="K492" s="16" t="s">
        <v>9</v>
      </c>
      <c r="L492" s="16" t="s">
        <v>24</v>
      </c>
      <c r="M492" s="16"/>
      <c r="N492" s="16" t="s">
        <v>69</v>
      </c>
      <c r="O492" s="101"/>
      <c r="P492" s="101"/>
      <c r="Q492" s="138" t="s">
        <v>56</v>
      </c>
    </row>
    <row r="493">
      <c r="A493" s="134" t="s">
        <v>275</v>
      </c>
      <c r="B493" s="134" t="s">
        <v>272</v>
      </c>
      <c r="C493" s="134" t="s">
        <v>19</v>
      </c>
      <c r="D493" s="133" t="s">
        <v>271</v>
      </c>
      <c r="E493" s="154">
        <v>42623.0</v>
      </c>
      <c r="F493" s="22" t="str">
        <f t="shared" si="48"/>
        <v>Sep-2016</v>
      </c>
      <c r="G493" s="25" t="s">
        <v>20</v>
      </c>
      <c r="H493" s="26" t="s">
        <v>273</v>
      </c>
      <c r="I493" s="80" t="s">
        <v>276</v>
      </c>
      <c r="J493" s="25" t="s">
        <v>48</v>
      </c>
      <c r="K493" s="25" t="s">
        <v>9</v>
      </c>
      <c r="L493" s="25" t="s">
        <v>30</v>
      </c>
      <c r="M493" s="25" t="s">
        <v>30</v>
      </c>
      <c r="N493" s="25" t="s">
        <v>98</v>
      </c>
      <c r="Q493" s="99"/>
    </row>
    <row r="494">
      <c r="A494" s="155">
        <v>42623.0</v>
      </c>
      <c r="B494" s="134" t="s">
        <v>272</v>
      </c>
      <c r="C494" s="134" t="s">
        <v>19</v>
      </c>
      <c r="D494" s="133" t="s">
        <v>271</v>
      </c>
      <c r="E494" s="154">
        <v>42623.0</v>
      </c>
      <c r="F494" s="22" t="str">
        <f t="shared" si="48"/>
        <v>Sep-2016</v>
      </c>
      <c r="G494" s="25" t="s">
        <v>25</v>
      </c>
      <c r="H494" s="26" t="s">
        <v>273</v>
      </c>
      <c r="I494" s="80" t="s">
        <v>276</v>
      </c>
      <c r="J494" s="25" t="s">
        <v>48</v>
      </c>
      <c r="K494" s="25" t="s">
        <v>9</v>
      </c>
      <c r="L494" s="25" t="s">
        <v>30</v>
      </c>
      <c r="M494" s="25"/>
      <c r="N494" s="25" t="s">
        <v>99</v>
      </c>
      <c r="Q494" s="99"/>
    </row>
    <row r="495">
      <c r="A495" s="134" t="s">
        <v>19</v>
      </c>
      <c r="B495" s="134" t="s">
        <v>272</v>
      </c>
      <c r="C495" s="134" t="s">
        <v>19</v>
      </c>
      <c r="D495" s="133" t="s">
        <v>271</v>
      </c>
      <c r="E495" s="154">
        <v>42623.0</v>
      </c>
      <c r="F495" s="13" t="str">
        <f t="shared" si="48"/>
        <v>Sep-2016</v>
      </c>
      <c r="G495" s="16" t="s">
        <v>20</v>
      </c>
      <c r="H495" s="17" t="s">
        <v>273</v>
      </c>
      <c r="I495" s="48" t="s">
        <v>148</v>
      </c>
      <c r="J495" s="16" t="s">
        <v>27</v>
      </c>
      <c r="K495" s="16" t="s">
        <v>9</v>
      </c>
      <c r="L495" s="16" t="s">
        <v>24</v>
      </c>
      <c r="M495" s="16" t="s">
        <v>24</v>
      </c>
      <c r="N495" s="16" t="s">
        <v>99</v>
      </c>
      <c r="O495" s="101"/>
      <c r="P495" s="101"/>
      <c r="Q495" s="102"/>
    </row>
    <row r="496">
      <c r="A496" s="140"/>
      <c r="B496" s="134" t="s">
        <v>272</v>
      </c>
      <c r="C496" s="134" t="s">
        <v>19</v>
      </c>
      <c r="D496" s="133" t="s">
        <v>271</v>
      </c>
      <c r="E496" s="154">
        <v>42623.0</v>
      </c>
      <c r="F496" s="13" t="str">
        <f t="shared" si="48"/>
        <v>Sep-2016</v>
      </c>
      <c r="G496" s="16" t="s">
        <v>25</v>
      </c>
      <c r="H496" s="17" t="s">
        <v>273</v>
      </c>
      <c r="I496" s="48" t="s">
        <v>148</v>
      </c>
      <c r="J496" s="16" t="s">
        <v>27</v>
      </c>
      <c r="K496" s="16" t="s">
        <v>9</v>
      </c>
      <c r="L496" s="16" t="s">
        <v>24</v>
      </c>
      <c r="M496" s="16"/>
      <c r="N496" s="16" t="s">
        <v>29</v>
      </c>
      <c r="O496" s="101"/>
      <c r="P496" s="101"/>
      <c r="Q496" s="102"/>
    </row>
    <row r="497">
      <c r="A497" s="134" t="s">
        <v>277</v>
      </c>
      <c r="B497" s="134" t="s">
        <v>272</v>
      </c>
      <c r="C497" s="134" t="s">
        <v>19</v>
      </c>
      <c r="D497" s="133" t="s">
        <v>271</v>
      </c>
      <c r="E497" s="154">
        <v>42623.0</v>
      </c>
      <c r="F497" s="22" t="str">
        <f t="shared" si="48"/>
        <v>Sep-2016</v>
      </c>
      <c r="G497" s="25" t="s">
        <v>20</v>
      </c>
      <c r="H497" s="25" t="s">
        <v>278</v>
      </c>
      <c r="I497" s="80" t="s">
        <v>279</v>
      </c>
      <c r="J497" s="25" t="s">
        <v>9</v>
      </c>
      <c r="K497" s="25" t="s">
        <v>9</v>
      </c>
      <c r="L497" s="25" t="s">
        <v>30</v>
      </c>
      <c r="M497" s="25" t="s">
        <v>30</v>
      </c>
      <c r="N497" s="25" t="s">
        <v>98</v>
      </c>
      <c r="Q497" s="99"/>
    </row>
    <row r="498">
      <c r="A498" s="176" t="s">
        <v>280</v>
      </c>
      <c r="B498" s="134" t="s">
        <v>272</v>
      </c>
      <c r="C498" s="134" t="s">
        <v>19</v>
      </c>
      <c r="D498" s="133" t="s">
        <v>271</v>
      </c>
      <c r="E498" s="154">
        <v>42623.0</v>
      </c>
      <c r="F498" s="22" t="str">
        <f t="shared" si="48"/>
        <v>Sep-2016</v>
      </c>
      <c r="G498" s="25" t="s">
        <v>25</v>
      </c>
      <c r="H498" s="25" t="s">
        <v>278</v>
      </c>
      <c r="I498" s="80" t="s">
        <v>279</v>
      </c>
      <c r="J498" s="25" t="s">
        <v>9</v>
      </c>
      <c r="K498" s="25" t="s">
        <v>9</v>
      </c>
      <c r="L498" s="25" t="s">
        <v>30</v>
      </c>
      <c r="M498" s="25"/>
      <c r="N498" s="25" t="s">
        <v>69</v>
      </c>
      <c r="Q498" s="99"/>
    </row>
    <row r="499">
      <c r="A499" s="134" t="s">
        <v>281</v>
      </c>
      <c r="B499" s="134" t="s">
        <v>272</v>
      </c>
      <c r="C499" s="134" t="s">
        <v>19</v>
      </c>
      <c r="D499" s="133" t="s">
        <v>271</v>
      </c>
      <c r="E499" s="154">
        <v>42623.0</v>
      </c>
      <c r="F499" s="13" t="str">
        <f t="shared" si="48"/>
        <v>Sep-2016</v>
      </c>
      <c r="G499" s="16" t="s">
        <v>20</v>
      </c>
      <c r="H499" s="16" t="s">
        <v>278</v>
      </c>
      <c r="I499" s="48" t="s">
        <v>114</v>
      </c>
      <c r="J499" s="16" t="s">
        <v>27</v>
      </c>
      <c r="K499" s="16" t="s">
        <v>9</v>
      </c>
      <c r="L499" s="16" t="s">
        <v>30</v>
      </c>
      <c r="M499" s="16" t="s">
        <v>30</v>
      </c>
      <c r="N499" s="16" t="s">
        <v>29</v>
      </c>
      <c r="O499" s="101"/>
      <c r="P499" s="101"/>
      <c r="Q499" s="102"/>
    </row>
    <row r="500">
      <c r="A500" s="140"/>
      <c r="B500" s="134" t="s">
        <v>272</v>
      </c>
      <c r="C500" s="134" t="s">
        <v>19</v>
      </c>
      <c r="D500" s="133" t="s">
        <v>271</v>
      </c>
      <c r="E500" s="154">
        <v>42623.0</v>
      </c>
      <c r="F500" s="13" t="str">
        <f t="shared" si="48"/>
        <v>Sep-2016</v>
      </c>
      <c r="G500" s="16" t="s">
        <v>25</v>
      </c>
      <c r="H500" s="16" t="s">
        <v>278</v>
      </c>
      <c r="I500" s="48" t="s">
        <v>114</v>
      </c>
      <c r="J500" s="16" t="s">
        <v>27</v>
      </c>
      <c r="K500" s="16" t="s">
        <v>9</v>
      </c>
      <c r="L500" s="16" t="s">
        <v>30</v>
      </c>
      <c r="M500" s="16"/>
      <c r="N500" s="16" t="s">
        <v>69</v>
      </c>
      <c r="O500" s="101"/>
      <c r="P500" s="101"/>
      <c r="Q500" s="102"/>
    </row>
    <row r="501">
      <c r="A501" s="140"/>
      <c r="B501" s="134" t="s">
        <v>272</v>
      </c>
      <c r="C501" s="134" t="s">
        <v>19</v>
      </c>
      <c r="D501" s="133" t="s">
        <v>271</v>
      </c>
      <c r="E501" s="154">
        <v>42623.0</v>
      </c>
      <c r="F501" s="22" t="str">
        <f t="shared" si="48"/>
        <v>Sep-2016</v>
      </c>
      <c r="G501" s="25" t="s">
        <v>20</v>
      </c>
      <c r="H501" s="25" t="s">
        <v>278</v>
      </c>
      <c r="I501" s="80" t="s">
        <v>117</v>
      </c>
      <c r="J501" s="25" t="s">
        <v>44</v>
      </c>
      <c r="K501" s="25" t="s">
        <v>9</v>
      </c>
      <c r="L501" s="25" t="s">
        <v>30</v>
      </c>
      <c r="M501" s="25" t="s">
        <v>30</v>
      </c>
      <c r="N501" s="25" t="s">
        <v>98</v>
      </c>
      <c r="Q501" s="99"/>
    </row>
    <row r="502">
      <c r="A502" s="140"/>
      <c r="B502" s="134" t="s">
        <v>272</v>
      </c>
      <c r="C502" s="134" t="s">
        <v>19</v>
      </c>
      <c r="D502" s="133" t="s">
        <v>271</v>
      </c>
      <c r="E502" s="154">
        <v>42623.0</v>
      </c>
      <c r="F502" s="22" t="str">
        <f t="shared" si="48"/>
        <v>Sep-2016</v>
      </c>
      <c r="G502" s="25" t="s">
        <v>25</v>
      </c>
      <c r="H502" s="25" t="s">
        <v>278</v>
      </c>
      <c r="I502" s="80" t="s">
        <v>117</v>
      </c>
      <c r="J502" s="25" t="s">
        <v>44</v>
      </c>
      <c r="K502" s="25" t="s">
        <v>9</v>
      </c>
      <c r="L502" s="25" t="s">
        <v>30</v>
      </c>
      <c r="M502" s="25"/>
      <c r="N502" s="25" t="s">
        <v>69</v>
      </c>
      <c r="Q502" s="99"/>
    </row>
    <row r="503">
      <c r="A503" s="140"/>
      <c r="B503" s="134" t="s">
        <v>272</v>
      </c>
      <c r="C503" s="134" t="s">
        <v>19</v>
      </c>
      <c r="D503" s="133" t="s">
        <v>271</v>
      </c>
      <c r="E503" s="154">
        <v>42623.0</v>
      </c>
      <c r="F503" s="13" t="str">
        <f t="shared" si="48"/>
        <v>Sep-2016</v>
      </c>
      <c r="G503" s="16" t="s">
        <v>20</v>
      </c>
      <c r="H503" s="16" t="s">
        <v>278</v>
      </c>
      <c r="I503" s="48" t="s">
        <v>282</v>
      </c>
      <c r="J503" s="16" t="s">
        <v>48</v>
      </c>
      <c r="K503" s="16" t="s">
        <v>9</v>
      </c>
      <c r="L503" s="16" t="s">
        <v>30</v>
      </c>
      <c r="M503" s="16" t="s">
        <v>30</v>
      </c>
      <c r="N503" s="16" t="s">
        <v>98</v>
      </c>
      <c r="O503" s="101"/>
      <c r="P503" s="101"/>
      <c r="Q503" s="102"/>
    </row>
    <row r="504">
      <c r="A504" s="140"/>
      <c r="B504" s="134" t="s">
        <v>272</v>
      </c>
      <c r="C504" s="134" t="s">
        <v>19</v>
      </c>
      <c r="D504" s="133" t="s">
        <v>271</v>
      </c>
      <c r="E504" s="154">
        <v>42623.0</v>
      </c>
      <c r="F504" s="13" t="str">
        <f t="shared" si="48"/>
        <v>Sep-2016</v>
      </c>
      <c r="G504" s="16" t="s">
        <v>25</v>
      </c>
      <c r="H504" s="16" t="s">
        <v>278</v>
      </c>
      <c r="I504" s="48" t="s">
        <v>282</v>
      </c>
      <c r="J504" s="16" t="s">
        <v>48</v>
      </c>
      <c r="K504" s="16" t="s">
        <v>9</v>
      </c>
      <c r="L504" s="16" t="s">
        <v>30</v>
      </c>
      <c r="M504" s="16"/>
      <c r="N504" s="16" t="s">
        <v>29</v>
      </c>
      <c r="O504" s="101"/>
      <c r="P504" s="101"/>
      <c r="Q504" s="102"/>
    </row>
    <row r="505">
      <c r="A505" s="140"/>
      <c r="B505" s="134" t="s">
        <v>272</v>
      </c>
      <c r="C505" s="134" t="s">
        <v>19</v>
      </c>
      <c r="D505" s="133" t="s">
        <v>271</v>
      </c>
      <c r="E505" s="154">
        <v>42623.0</v>
      </c>
      <c r="F505" s="22" t="str">
        <f t="shared" si="48"/>
        <v>Sep-2016</v>
      </c>
      <c r="G505" s="25" t="s">
        <v>20</v>
      </c>
      <c r="H505" s="25" t="s">
        <v>283</v>
      </c>
      <c r="I505" s="80" t="s">
        <v>284</v>
      </c>
      <c r="J505" s="25" t="s">
        <v>23</v>
      </c>
      <c r="K505" s="25" t="s">
        <v>9</v>
      </c>
      <c r="L505" s="25" t="s">
        <v>24</v>
      </c>
      <c r="M505" s="25" t="s">
        <v>24</v>
      </c>
      <c r="N505" s="25" t="s">
        <v>98</v>
      </c>
      <c r="Q505" s="99"/>
    </row>
    <row r="506">
      <c r="A506" s="140"/>
      <c r="B506" s="134" t="s">
        <v>272</v>
      </c>
      <c r="C506" s="134" t="s">
        <v>19</v>
      </c>
      <c r="D506" s="133" t="s">
        <v>271</v>
      </c>
      <c r="E506" s="154">
        <v>42623.0</v>
      </c>
      <c r="F506" s="22" t="str">
        <f t="shared" si="48"/>
        <v>Sep-2016</v>
      </c>
      <c r="G506" s="25" t="s">
        <v>25</v>
      </c>
      <c r="H506" s="25" t="s">
        <v>283</v>
      </c>
      <c r="I506" s="80" t="s">
        <v>284</v>
      </c>
      <c r="J506" s="25" t="s">
        <v>23</v>
      </c>
      <c r="K506" s="25" t="s">
        <v>9</v>
      </c>
      <c r="L506" s="25" t="s">
        <v>24</v>
      </c>
      <c r="M506" s="25"/>
      <c r="N506" s="25" t="s">
        <v>106</v>
      </c>
      <c r="Q506" s="99"/>
    </row>
    <row r="507">
      <c r="A507" s="140"/>
      <c r="B507" s="134" t="s">
        <v>272</v>
      </c>
      <c r="C507" s="134" t="s">
        <v>19</v>
      </c>
      <c r="D507" s="133" t="s">
        <v>271</v>
      </c>
      <c r="E507" s="154">
        <v>42623.0</v>
      </c>
      <c r="F507" s="13" t="str">
        <f t="shared" si="48"/>
        <v>Sep-2016</v>
      </c>
      <c r="G507" s="16" t="s">
        <v>20</v>
      </c>
      <c r="H507" s="16" t="s">
        <v>285</v>
      </c>
      <c r="I507" s="48" t="s">
        <v>274</v>
      </c>
      <c r="J507" s="16" t="s">
        <v>71</v>
      </c>
      <c r="K507" s="16" t="s">
        <v>9</v>
      </c>
      <c r="L507" s="16" t="s">
        <v>24</v>
      </c>
      <c r="M507" s="16" t="s">
        <v>24</v>
      </c>
      <c r="N507" s="16" t="s">
        <v>37</v>
      </c>
      <c r="O507" s="101"/>
      <c r="P507" s="101"/>
      <c r="Q507" s="138" t="s">
        <v>56</v>
      </c>
    </row>
    <row r="508">
      <c r="A508" s="141"/>
      <c r="B508" s="134" t="s">
        <v>272</v>
      </c>
      <c r="C508" s="134" t="s">
        <v>19</v>
      </c>
      <c r="D508" s="133" t="s">
        <v>271</v>
      </c>
      <c r="E508" s="156">
        <v>42623.0</v>
      </c>
      <c r="F508" s="35" t="str">
        <f t="shared" si="48"/>
        <v>Sep-2016</v>
      </c>
      <c r="G508" s="38" t="s">
        <v>25</v>
      </c>
      <c r="H508" s="38" t="s">
        <v>285</v>
      </c>
      <c r="I508" s="122" t="s">
        <v>274</v>
      </c>
      <c r="J508" s="38" t="s">
        <v>71</v>
      </c>
      <c r="K508" s="38" t="s">
        <v>9</v>
      </c>
      <c r="L508" s="38" t="s">
        <v>24</v>
      </c>
      <c r="M508" s="38"/>
      <c r="N508" s="38" t="s">
        <v>69</v>
      </c>
      <c r="O508" s="105"/>
      <c r="P508" s="105"/>
      <c r="Q508" s="177" t="s">
        <v>56</v>
      </c>
    </row>
    <row r="509">
      <c r="A509" s="107"/>
      <c r="B509" s="95"/>
      <c r="C509" s="95"/>
      <c r="D509" s="95"/>
      <c r="E509" s="95"/>
      <c r="I509" s="23"/>
    </row>
    <row r="510">
      <c r="A510" s="133" t="s">
        <v>286</v>
      </c>
      <c r="B510" s="134" t="s">
        <v>73</v>
      </c>
      <c r="C510" s="134" t="s">
        <v>84</v>
      </c>
      <c r="D510" s="133" t="s">
        <v>286</v>
      </c>
      <c r="E510" s="164">
        <v>42630.0</v>
      </c>
      <c r="F510" s="85" t="str">
        <f t="shared" ref="F510:F523" si="49">TEXT(E510, "mmm") &amp; "-" &amp; TEXT(E510, "yyyy") </f>
        <v>Sep-2016</v>
      </c>
      <c r="G510" s="73" t="s">
        <v>20</v>
      </c>
      <c r="H510" s="73" t="s">
        <v>287</v>
      </c>
      <c r="I510" s="86" t="s">
        <v>288</v>
      </c>
      <c r="J510" s="73" t="s">
        <v>27</v>
      </c>
      <c r="K510" s="73" t="s">
        <v>9</v>
      </c>
      <c r="L510" s="73" t="s">
        <v>30</v>
      </c>
      <c r="M510" s="73" t="s">
        <v>30</v>
      </c>
      <c r="N510" s="73" t="s">
        <v>29</v>
      </c>
      <c r="O510" s="165"/>
      <c r="P510" s="165"/>
      <c r="Q510" s="166"/>
    </row>
    <row r="511">
      <c r="A511" s="134" t="s">
        <v>73</v>
      </c>
      <c r="B511" s="134" t="s">
        <v>73</v>
      </c>
      <c r="C511" s="134" t="s">
        <v>84</v>
      </c>
      <c r="D511" s="133" t="s">
        <v>286</v>
      </c>
      <c r="E511" s="167">
        <v>42630.0</v>
      </c>
      <c r="F511" s="22" t="str">
        <f t="shared" si="49"/>
        <v>Sep-2016</v>
      </c>
      <c r="G511" s="25" t="s">
        <v>25</v>
      </c>
      <c r="H511" s="25" t="s">
        <v>287</v>
      </c>
      <c r="I511" s="80" t="s">
        <v>288</v>
      </c>
      <c r="J511" s="25" t="s">
        <v>27</v>
      </c>
      <c r="K511" s="25" t="s">
        <v>9</v>
      </c>
      <c r="L511" s="25" t="s">
        <v>30</v>
      </c>
      <c r="M511" s="25"/>
      <c r="N511" s="25" t="s">
        <v>98</v>
      </c>
      <c r="Q511" s="99"/>
    </row>
    <row r="512">
      <c r="A512" s="134" t="s">
        <v>289</v>
      </c>
      <c r="B512" s="134" t="s">
        <v>73</v>
      </c>
      <c r="C512" s="134" t="s">
        <v>84</v>
      </c>
      <c r="D512" s="133" t="s">
        <v>286</v>
      </c>
      <c r="E512" s="167">
        <v>42630.0</v>
      </c>
      <c r="F512" s="22" t="str">
        <f t="shared" si="49"/>
        <v>Sep-2016</v>
      </c>
      <c r="G512" s="16" t="s">
        <v>20</v>
      </c>
      <c r="H512" s="16" t="s">
        <v>287</v>
      </c>
      <c r="I512" s="48" t="s">
        <v>194</v>
      </c>
      <c r="J512" s="16" t="s">
        <v>23</v>
      </c>
      <c r="K512" s="16" t="s">
        <v>9</v>
      </c>
      <c r="L512" s="16" t="s">
        <v>24</v>
      </c>
      <c r="M512" s="16" t="s">
        <v>24</v>
      </c>
      <c r="N512" s="16" t="s">
        <v>98</v>
      </c>
      <c r="O512" s="101"/>
      <c r="P512" s="101"/>
      <c r="Q512" s="102"/>
    </row>
    <row r="513">
      <c r="A513" s="168">
        <v>42630.0</v>
      </c>
      <c r="B513" s="134" t="s">
        <v>73</v>
      </c>
      <c r="C513" s="134" t="s">
        <v>84</v>
      </c>
      <c r="D513" s="133" t="s">
        <v>286</v>
      </c>
      <c r="E513" s="167">
        <v>42630.0</v>
      </c>
      <c r="F513" s="22" t="str">
        <f t="shared" si="49"/>
        <v>Sep-2016</v>
      </c>
      <c r="G513" s="16" t="s">
        <v>25</v>
      </c>
      <c r="H513" s="16" t="s">
        <v>287</v>
      </c>
      <c r="I513" s="48" t="s">
        <v>194</v>
      </c>
      <c r="J513" s="16" t="s">
        <v>23</v>
      </c>
      <c r="K513" s="16" t="s">
        <v>9</v>
      </c>
      <c r="L513" s="16" t="s">
        <v>24</v>
      </c>
      <c r="M513" s="16"/>
      <c r="N513" s="16" t="s">
        <v>69</v>
      </c>
      <c r="O513" s="101"/>
      <c r="P513" s="101"/>
      <c r="Q513" s="102"/>
    </row>
    <row r="514">
      <c r="A514" s="134" t="s">
        <v>84</v>
      </c>
      <c r="B514" s="134" t="s">
        <v>73</v>
      </c>
      <c r="C514" s="134" t="s">
        <v>84</v>
      </c>
      <c r="D514" s="133" t="s">
        <v>286</v>
      </c>
      <c r="E514" s="167">
        <v>42630.0</v>
      </c>
      <c r="F514" s="22" t="str">
        <f t="shared" si="49"/>
        <v>Sep-2016</v>
      </c>
      <c r="G514" s="25" t="s">
        <v>20</v>
      </c>
      <c r="H514" s="25" t="s">
        <v>287</v>
      </c>
      <c r="I514" s="80" t="s">
        <v>290</v>
      </c>
      <c r="J514" s="25" t="s">
        <v>44</v>
      </c>
      <c r="K514" s="25" t="s">
        <v>9</v>
      </c>
      <c r="L514" s="25" t="s">
        <v>30</v>
      </c>
      <c r="M514" s="25" t="s">
        <v>30</v>
      </c>
      <c r="N514" s="25" t="s">
        <v>98</v>
      </c>
      <c r="Q514" s="99"/>
    </row>
    <row r="515">
      <c r="A515" s="140"/>
      <c r="B515" s="134" t="s">
        <v>73</v>
      </c>
      <c r="C515" s="134" t="s">
        <v>84</v>
      </c>
      <c r="D515" s="133" t="s">
        <v>286</v>
      </c>
      <c r="E515" s="167">
        <v>42630.0</v>
      </c>
      <c r="F515" s="22" t="str">
        <f t="shared" si="49"/>
        <v>Sep-2016</v>
      </c>
      <c r="G515" s="25" t="s">
        <v>25</v>
      </c>
      <c r="H515" s="25" t="s">
        <v>287</v>
      </c>
      <c r="I515" s="80" t="s">
        <v>290</v>
      </c>
      <c r="J515" s="25" t="s">
        <v>44</v>
      </c>
      <c r="K515" s="25" t="s">
        <v>9</v>
      </c>
      <c r="L515" s="25" t="s">
        <v>30</v>
      </c>
      <c r="M515" s="25"/>
      <c r="N515" s="25" t="s">
        <v>98</v>
      </c>
      <c r="Q515" s="99"/>
    </row>
    <row r="516">
      <c r="A516" s="140"/>
      <c r="B516" s="134" t="s">
        <v>73</v>
      </c>
      <c r="C516" s="134" t="s">
        <v>84</v>
      </c>
      <c r="D516" s="133" t="s">
        <v>286</v>
      </c>
      <c r="E516" s="167">
        <v>42630.0</v>
      </c>
      <c r="F516" s="22" t="str">
        <f t="shared" si="49"/>
        <v>Sep-2016</v>
      </c>
      <c r="G516" s="16" t="s">
        <v>20</v>
      </c>
      <c r="H516" s="16" t="s">
        <v>287</v>
      </c>
      <c r="I516" s="48" t="s">
        <v>229</v>
      </c>
      <c r="J516" s="16" t="s">
        <v>71</v>
      </c>
      <c r="K516" s="16" t="s">
        <v>9</v>
      </c>
      <c r="L516" s="16" t="s">
        <v>30</v>
      </c>
      <c r="M516" s="16" t="s">
        <v>30</v>
      </c>
      <c r="N516" s="16" t="s">
        <v>98</v>
      </c>
      <c r="O516" s="101"/>
      <c r="P516" s="101"/>
      <c r="Q516" s="102"/>
    </row>
    <row r="517">
      <c r="A517" s="140"/>
      <c r="B517" s="134" t="s">
        <v>73</v>
      </c>
      <c r="C517" s="134" t="s">
        <v>84</v>
      </c>
      <c r="D517" s="133" t="s">
        <v>286</v>
      </c>
      <c r="E517" s="167">
        <v>42630.0</v>
      </c>
      <c r="F517" s="22" t="str">
        <f t="shared" si="49"/>
        <v>Sep-2016</v>
      </c>
      <c r="G517" s="16" t="s">
        <v>25</v>
      </c>
      <c r="H517" s="16" t="s">
        <v>287</v>
      </c>
      <c r="I517" s="48" t="s">
        <v>229</v>
      </c>
      <c r="J517" s="16" t="s">
        <v>71</v>
      </c>
      <c r="K517" s="16" t="s">
        <v>9</v>
      </c>
      <c r="L517" s="16" t="s">
        <v>30</v>
      </c>
      <c r="M517" s="16"/>
      <c r="N517" s="16" t="s">
        <v>99</v>
      </c>
      <c r="O517" s="101"/>
      <c r="P517" s="101"/>
      <c r="Q517" s="102"/>
    </row>
    <row r="518">
      <c r="A518" s="31"/>
      <c r="B518" s="134" t="s">
        <v>73</v>
      </c>
      <c r="C518" s="134" t="s">
        <v>84</v>
      </c>
      <c r="D518" s="133" t="s">
        <v>286</v>
      </c>
      <c r="E518" s="167">
        <v>42630.0</v>
      </c>
      <c r="F518" s="22" t="str">
        <f t="shared" si="49"/>
        <v>Sep-2016</v>
      </c>
      <c r="G518" s="25" t="s">
        <v>20</v>
      </c>
      <c r="H518" s="26" t="s">
        <v>35</v>
      </c>
      <c r="I518" s="178" t="s">
        <v>101</v>
      </c>
      <c r="J518" s="26" t="s">
        <v>102</v>
      </c>
      <c r="K518" s="25" t="s">
        <v>9</v>
      </c>
      <c r="L518" s="25" t="s">
        <v>24</v>
      </c>
      <c r="M518" s="26" t="s">
        <v>24</v>
      </c>
      <c r="N518" s="26" t="s">
        <v>98</v>
      </c>
      <c r="O518" s="32"/>
      <c r="P518" s="32"/>
      <c r="Q518" s="27"/>
      <c r="R518" s="32"/>
      <c r="S518" s="32"/>
      <c r="T518" s="32"/>
      <c r="U518" s="32"/>
    </row>
    <row r="519">
      <c r="A519" s="31"/>
      <c r="B519" s="134" t="s">
        <v>73</v>
      </c>
      <c r="C519" s="134" t="s">
        <v>84</v>
      </c>
      <c r="D519" s="133" t="s">
        <v>286</v>
      </c>
      <c r="E519" s="167">
        <v>42630.0</v>
      </c>
      <c r="F519" s="22" t="str">
        <f t="shared" si="49"/>
        <v>Sep-2016</v>
      </c>
      <c r="G519" s="25" t="s">
        <v>25</v>
      </c>
      <c r="H519" s="26" t="s">
        <v>35</v>
      </c>
      <c r="I519" s="178" t="s">
        <v>101</v>
      </c>
      <c r="J519" s="26" t="s">
        <v>102</v>
      </c>
      <c r="K519" s="25" t="s">
        <v>9</v>
      </c>
      <c r="L519" s="25" t="s">
        <v>24</v>
      </c>
      <c r="M519" s="26"/>
      <c r="N519" s="26" t="s">
        <v>106</v>
      </c>
      <c r="O519" s="32"/>
      <c r="P519" s="32"/>
      <c r="Q519" s="27"/>
      <c r="R519" s="32"/>
      <c r="S519" s="32"/>
      <c r="T519" s="32"/>
      <c r="U519" s="32"/>
    </row>
    <row r="520">
      <c r="A520" s="31"/>
      <c r="B520" s="134" t="s">
        <v>73</v>
      </c>
      <c r="C520" s="134" t="s">
        <v>84</v>
      </c>
      <c r="D520" s="133" t="s">
        <v>286</v>
      </c>
      <c r="E520" s="167">
        <v>42630.0</v>
      </c>
      <c r="F520" s="22" t="str">
        <f t="shared" si="49"/>
        <v>Sep-2016</v>
      </c>
      <c r="G520" s="16" t="s">
        <v>20</v>
      </c>
      <c r="H520" s="17" t="s">
        <v>35</v>
      </c>
      <c r="I520" s="179" t="s">
        <v>291</v>
      </c>
      <c r="J520" s="17" t="s">
        <v>44</v>
      </c>
      <c r="K520" s="16" t="s">
        <v>9</v>
      </c>
      <c r="L520" s="16" t="s">
        <v>30</v>
      </c>
      <c r="M520" s="17" t="s">
        <v>30</v>
      </c>
      <c r="N520" s="17" t="s">
        <v>69</v>
      </c>
      <c r="O520" s="19"/>
      <c r="P520" s="19"/>
      <c r="Q520" s="18"/>
      <c r="R520" s="32"/>
      <c r="S520" s="32"/>
      <c r="T520" s="32"/>
      <c r="U520" s="32"/>
    </row>
    <row r="521">
      <c r="A521" s="31"/>
      <c r="B521" s="134" t="s">
        <v>73</v>
      </c>
      <c r="C521" s="134" t="s">
        <v>84</v>
      </c>
      <c r="D521" s="133" t="s">
        <v>286</v>
      </c>
      <c r="E521" s="167">
        <v>42630.0</v>
      </c>
      <c r="F521" s="22" t="str">
        <f t="shared" si="49"/>
        <v>Sep-2016</v>
      </c>
      <c r="G521" s="16" t="s">
        <v>25</v>
      </c>
      <c r="H521" s="17" t="s">
        <v>35</v>
      </c>
      <c r="I521" s="179" t="s">
        <v>291</v>
      </c>
      <c r="J521" s="17" t="s">
        <v>44</v>
      </c>
      <c r="K521" s="16" t="s">
        <v>9</v>
      </c>
      <c r="L521" s="16" t="s">
        <v>30</v>
      </c>
      <c r="M521" s="17"/>
      <c r="N521" s="17" t="s">
        <v>69</v>
      </c>
      <c r="O521" s="19"/>
      <c r="P521" s="19"/>
      <c r="Q521" s="18"/>
      <c r="R521" s="32"/>
      <c r="S521" s="32"/>
      <c r="T521" s="32"/>
      <c r="U521" s="32"/>
    </row>
    <row r="522">
      <c r="A522" s="31"/>
      <c r="B522" s="134" t="s">
        <v>73</v>
      </c>
      <c r="C522" s="134" t="s">
        <v>84</v>
      </c>
      <c r="D522" s="133" t="s">
        <v>286</v>
      </c>
      <c r="E522" s="167">
        <v>42630.0</v>
      </c>
      <c r="F522" s="22" t="str">
        <f t="shared" si="49"/>
        <v>Sep-2016</v>
      </c>
      <c r="G522" s="25" t="s">
        <v>20</v>
      </c>
      <c r="H522" s="26" t="s">
        <v>35</v>
      </c>
      <c r="I522" s="178" t="s">
        <v>238</v>
      </c>
      <c r="J522" s="26" t="s">
        <v>216</v>
      </c>
      <c r="K522" s="25" t="s">
        <v>9</v>
      </c>
      <c r="L522" s="25" t="s">
        <v>24</v>
      </c>
      <c r="M522" s="26" t="s">
        <v>24</v>
      </c>
      <c r="N522" s="26" t="s">
        <v>37</v>
      </c>
      <c r="O522" s="32"/>
      <c r="P522" s="32"/>
      <c r="Q522" s="27"/>
      <c r="R522" s="32"/>
      <c r="S522" s="32"/>
      <c r="T522" s="32"/>
      <c r="U522" s="32"/>
    </row>
    <row r="523">
      <c r="A523" s="33"/>
      <c r="B523" s="134" t="s">
        <v>73</v>
      </c>
      <c r="C523" s="134" t="s">
        <v>84</v>
      </c>
      <c r="D523" s="133" t="s">
        <v>286</v>
      </c>
      <c r="E523" s="169">
        <v>42630.0</v>
      </c>
      <c r="F523" s="52" t="str">
        <f t="shared" si="49"/>
        <v>Sep-2016</v>
      </c>
      <c r="G523" s="55" t="s">
        <v>25</v>
      </c>
      <c r="H523" s="76" t="s">
        <v>35</v>
      </c>
      <c r="I523" s="180" t="s">
        <v>238</v>
      </c>
      <c r="J523" s="76" t="s">
        <v>216</v>
      </c>
      <c r="K523" s="55" t="s">
        <v>9</v>
      </c>
      <c r="L523" s="55" t="s">
        <v>24</v>
      </c>
      <c r="M523" s="76"/>
      <c r="N523" s="76" t="s">
        <v>98</v>
      </c>
      <c r="O523" s="43"/>
      <c r="P523" s="43"/>
      <c r="Q523" s="56"/>
      <c r="R523" s="32"/>
      <c r="S523" s="32"/>
      <c r="T523" s="32"/>
      <c r="U523" s="32"/>
    </row>
    <row r="524">
      <c r="A524" s="81"/>
      <c r="B524" s="82"/>
      <c r="C524" s="82"/>
      <c r="D524" s="82"/>
      <c r="E524" s="82"/>
      <c r="F524" s="32"/>
      <c r="G524" s="32"/>
      <c r="H524" s="32"/>
      <c r="I524" s="181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</row>
    <row r="525">
      <c r="A525" s="68" t="s">
        <v>292</v>
      </c>
      <c r="B525" s="10" t="s">
        <v>18</v>
      </c>
      <c r="C525" s="171" t="s">
        <v>74</v>
      </c>
      <c r="D525" s="68" t="s">
        <v>292</v>
      </c>
      <c r="E525" s="123">
        <v>42632.0</v>
      </c>
      <c r="F525" s="110" t="str">
        <f t="shared" ref="F525:F530" si="50">TEXT(E525, "mmm") &amp; "-" &amp; TEXT(E525, "yyyy") </f>
        <v>Sep-2016</v>
      </c>
      <c r="G525" s="110" t="s">
        <v>20</v>
      </c>
      <c r="H525" s="111" t="s">
        <v>35</v>
      </c>
      <c r="I525" s="79" t="s">
        <v>269</v>
      </c>
      <c r="J525" s="47" t="s">
        <v>23</v>
      </c>
      <c r="K525" s="47" t="s">
        <v>9</v>
      </c>
      <c r="L525" s="47" t="s">
        <v>30</v>
      </c>
      <c r="M525" s="47" t="s">
        <v>30</v>
      </c>
      <c r="N525" s="47" t="s">
        <v>37</v>
      </c>
      <c r="O525" s="111"/>
      <c r="P525" s="111"/>
      <c r="Q525" s="112"/>
    </row>
    <row r="526">
      <c r="A526" s="10" t="s">
        <v>18</v>
      </c>
      <c r="B526" s="10" t="s">
        <v>18</v>
      </c>
      <c r="C526" s="171" t="s">
        <v>74</v>
      </c>
      <c r="D526" s="68" t="s">
        <v>292</v>
      </c>
      <c r="E526" s="123">
        <v>42632.0</v>
      </c>
      <c r="F526" s="13" t="str">
        <f t="shared" si="50"/>
        <v>Sep-2016</v>
      </c>
      <c r="G526" s="13" t="s">
        <v>25</v>
      </c>
      <c r="H526" s="17" t="s">
        <v>35</v>
      </c>
      <c r="I526" s="48" t="s">
        <v>269</v>
      </c>
      <c r="J526" s="16" t="s">
        <v>23</v>
      </c>
      <c r="K526" s="16" t="s">
        <v>9</v>
      </c>
      <c r="L526" s="16" t="s">
        <v>30</v>
      </c>
      <c r="M526" s="16"/>
      <c r="N526" s="16" t="s">
        <v>106</v>
      </c>
      <c r="O526" s="17"/>
      <c r="P526" s="17"/>
      <c r="Q526" s="49"/>
    </row>
    <row r="527">
      <c r="A527" s="11" t="s">
        <v>293</v>
      </c>
      <c r="B527" s="10" t="s">
        <v>18</v>
      </c>
      <c r="C527" s="171" t="s">
        <v>74</v>
      </c>
      <c r="D527" s="68" t="s">
        <v>292</v>
      </c>
      <c r="E527" s="123">
        <v>42632.0</v>
      </c>
      <c r="F527" s="22" t="str">
        <f t="shared" si="50"/>
        <v>Sep-2016</v>
      </c>
      <c r="G527" s="22" t="s">
        <v>20</v>
      </c>
      <c r="H527" s="26" t="s">
        <v>35</v>
      </c>
      <c r="I527" s="80" t="s">
        <v>36</v>
      </c>
      <c r="J527" s="25" t="s">
        <v>23</v>
      </c>
      <c r="K527" s="25" t="s">
        <v>9</v>
      </c>
      <c r="L527" s="25" t="s">
        <v>24</v>
      </c>
      <c r="M527" s="25" t="s">
        <v>24</v>
      </c>
      <c r="N527" s="25" t="s">
        <v>98</v>
      </c>
      <c r="O527" s="32"/>
      <c r="P527" s="32"/>
      <c r="Q527" s="27"/>
    </row>
    <row r="528">
      <c r="A528" s="123">
        <v>42632.0</v>
      </c>
      <c r="B528" s="10" t="s">
        <v>18</v>
      </c>
      <c r="C528" s="171" t="s">
        <v>74</v>
      </c>
      <c r="D528" s="68" t="s">
        <v>292</v>
      </c>
      <c r="E528" s="123">
        <v>42632.0</v>
      </c>
      <c r="F528" s="22" t="str">
        <f t="shared" si="50"/>
        <v>Sep-2016</v>
      </c>
      <c r="G528" s="26" t="s">
        <v>25</v>
      </c>
      <c r="H528" s="26" t="s">
        <v>35</v>
      </c>
      <c r="I528" s="80" t="s">
        <v>36</v>
      </c>
      <c r="J528" s="25" t="s">
        <v>23</v>
      </c>
      <c r="K528" s="25" t="s">
        <v>9</v>
      </c>
      <c r="L528" s="25" t="s">
        <v>24</v>
      </c>
      <c r="M528" s="25"/>
      <c r="N528" s="25" t="s">
        <v>69</v>
      </c>
      <c r="O528" s="32"/>
      <c r="P528" s="32"/>
      <c r="Q528" s="27"/>
    </row>
    <row r="529">
      <c r="A529" s="171" t="s">
        <v>74</v>
      </c>
      <c r="B529" s="10" t="s">
        <v>18</v>
      </c>
      <c r="C529" s="171" t="s">
        <v>74</v>
      </c>
      <c r="D529" s="68" t="s">
        <v>292</v>
      </c>
      <c r="E529" s="123">
        <v>42632.0</v>
      </c>
      <c r="F529" s="13" t="str">
        <f t="shared" si="50"/>
        <v>Sep-2016</v>
      </c>
      <c r="G529" s="13" t="s">
        <v>20</v>
      </c>
      <c r="H529" s="17" t="s">
        <v>35</v>
      </c>
      <c r="I529" s="48" t="s">
        <v>294</v>
      </c>
      <c r="J529" s="16" t="s">
        <v>27</v>
      </c>
      <c r="K529" s="16" t="s">
        <v>9</v>
      </c>
      <c r="L529" s="16" t="s">
        <v>24</v>
      </c>
      <c r="M529" s="16" t="s">
        <v>24</v>
      </c>
      <c r="N529" s="16" t="s">
        <v>98</v>
      </c>
      <c r="O529" s="101"/>
      <c r="P529" s="101"/>
      <c r="Q529" s="102"/>
    </row>
    <row r="530">
      <c r="A530" s="173"/>
      <c r="B530" s="10" t="s">
        <v>18</v>
      </c>
      <c r="C530" s="171" t="s">
        <v>74</v>
      </c>
      <c r="D530" s="68" t="s">
        <v>292</v>
      </c>
      <c r="E530" s="123">
        <v>42632.0</v>
      </c>
      <c r="F530" s="35" t="str">
        <f t="shared" si="50"/>
        <v>Sep-2016</v>
      </c>
      <c r="G530" s="38" t="s">
        <v>25</v>
      </c>
      <c r="H530" s="93" t="s">
        <v>35</v>
      </c>
      <c r="I530" s="122" t="s">
        <v>294</v>
      </c>
      <c r="J530" s="38" t="s">
        <v>27</v>
      </c>
      <c r="K530" s="38" t="s">
        <v>9</v>
      </c>
      <c r="L530" s="38" t="s">
        <v>24</v>
      </c>
      <c r="M530" s="38"/>
      <c r="N530" s="38" t="s">
        <v>29</v>
      </c>
      <c r="O530" s="105"/>
      <c r="P530" s="105"/>
      <c r="Q530" s="106"/>
    </row>
    <row r="531">
      <c r="A531" s="107"/>
      <c r="B531" s="95"/>
      <c r="C531" s="95"/>
      <c r="D531" s="95"/>
      <c r="E531" s="95"/>
      <c r="I531" s="23"/>
    </row>
    <row r="532">
      <c r="A532" s="133" t="s">
        <v>295</v>
      </c>
      <c r="B532" s="134" t="s">
        <v>228</v>
      </c>
      <c r="C532" s="134" t="s">
        <v>84</v>
      </c>
      <c r="D532" s="133" t="s">
        <v>295</v>
      </c>
      <c r="E532" s="164">
        <v>42642.0</v>
      </c>
      <c r="F532" s="85" t="str">
        <f t="shared" ref="F532:F542" si="51">TEXT(E532, "mmm") &amp; "-" &amp; TEXT(E532, "yyyy") </f>
        <v>Sep-2016</v>
      </c>
      <c r="G532" s="85" t="s">
        <v>20</v>
      </c>
      <c r="H532" s="73" t="s">
        <v>35</v>
      </c>
      <c r="I532" s="86" t="s">
        <v>296</v>
      </c>
      <c r="J532" s="73" t="s">
        <v>9</v>
      </c>
      <c r="K532" s="73" t="s">
        <v>9</v>
      </c>
      <c r="L532" s="73" t="s">
        <v>30</v>
      </c>
      <c r="M532" s="73" t="s">
        <v>24</v>
      </c>
      <c r="N532" s="73" t="s">
        <v>98</v>
      </c>
      <c r="O532" s="165"/>
      <c r="P532" s="165"/>
      <c r="Q532" s="166"/>
    </row>
    <row r="533">
      <c r="A533" s="134" t="s">
        <v>228</v>
      </c>
      <c r="B533" s="134" t="s">
        <v>228</v>
      </c>
      <c r="C533" s="134" t="s">
        <v>84</v>
      </c>
      <c r="D533" s="133" t="s">
        <v>295</v>
      </c>
      <c r="E533" s="167">
        <v>42642.0</v>
      </c>
      <c r="F533" s="22" t="str">
        <f t="shared" si="51"/>
        <v>Sep-2016</v>
      </c>
      <c r="G533" s="26" t="s">
        <v>25</v>
      </c>
      <c r="H533" s="25" t="s">
        <v>35</v>
      </c>
      <c r="I533" s="80" t="s">
        <v>296</v>
      </c>
      <c r="J533" s="25" t="s">
        <v>9</v>
      </c>
      <c r="K533" s="25" t="s">
        <v>9</v>
      </c>
      <c r="L533" s="25" t="s">
        <v>24</v>
      </c>
      <c r="M533" s="25"/>
      <c r="N533" s="25" t="s">
        <v>106</v>
      </c>
      <c r="Q533" s="99"/>
    </row>
    <row r="534">
      <c r="A534" s="134" t="s">
        <v>297</v>
      </c>
      <c r="B534" s="134" t="s">
        <v>228</v>
      </c>
      <c r="C534" s="134" t="s">
        <v>84</v>
      </c>
      <c r="D534" s="133" t="s">
        <v>295</v>
      </c>
      <c r="E534" s="167">
        <v>42642.0</v>
      </c>
      <c r="F534" s="22" t="str">
        <f t="shared" si="51"/>
        <v>Sep-2016</v>
      </c>
      <c r="G534" s="25" t="s">
        <v>32</v>
      </c>
      <c r="H534" s="25" t="s">
        <v>35</v>
      </c>
      <c r="I534" s="80" t="s">
        <v>296</v>
      </c>
      <c r="J534" s="25" t="s">
        <v>9</v>
      </c>
      <c r="K534" s="25" t="s">
        <v>9</v>
      </c>
      <c r="L534" s="25" t="s">
        <v>24</v>
      </c>
      <c r="M534" s="25"/>
      <c r="N534" s="25" t="s">
        <v>69</v>
      </c>
      <c r="Q534" s="99"/>
    </row>
    <row r="535">
      <c r="A535" s="168">
        <v>42642.0</v>
      </c>
      <c r="B535" s="134" t="s">
        <v>228</v>
      </c>
      <c r="C535" s="134" t="s">
        <v>84</v>
      </c>
      <c r="D535" s="133" t="s">
        <v>295</v>
      </c>
      <c r="E535" s="167">
        <v>42642.0</v>
      </c>
      <c r="F535" s="13" t="str">
        <f t="shared" si="51"/>
        <v>Sep-2016</v>
      </c>
      <c r="G535" s="13" t="s">
        <v>20</v>
      </c>
      <c r="H535" s="16" t="s">
        <v>35</v>
      </c>
      <c r="I535" s="48" t="s">
        <v>298</v>
      </c>
      <c r="J535" s="16" t="s">
        <v>9</v>
      </c>
      <c r="K535" s="16" t="s">
        <v>9</v>
      </c>
      <c r="L535" s="16" t="s">
        <v>30</v>
      </c>
      <c r="M535" s="16" t="s">
        <v>30</v>
      </c>
      <c r="N535" s="16" t="s">
        <v>69</v>
      </c>
      <c r="O535" s="101"/>
      <c r="P535" s="101"/>
      <c r="Q535" s="102"/>
    </row>
    <row r="536">
      <c r="A536" s="134" t="s">
        <v>84</v>
      </c>
      <c r="B536" s="134" t="s">
        <v>228</v>
      </c>
      <c r="C536" s="134" t="s">
        <v>84</v>
      </c>
      <c r="D536" s="133" t="s">
        <v>295</v>
      </c>
      <c r="E536" s="167">
        <v>42642.0</v>
      </c>
      <c r="F536" s="13" t="str">
        <f t="shared" si="51"/>
        <v>Sep-2016</v>
      </c>
      <c r="G536" s="17" t="s">
        <v>25</v>
      </c>
      <c r="H536" s="16" t="s">
        <v>35</v>
      </c>
      <c r="I536" s="48" t="s">
        <v>298</v>
      </c>
      <c r="J536" s="16" t="s">
        <v>9</v>
      </c>
      <c r="K536" s="16" t="s">
        <v>9</v>
      </c>
      <c r="L536" s="16" t="s">
        <v>30</v>
      </c>
      <c r="M536" s="16"/>
      <c r="N536" s="16" t="s">
        <v>29</v>
      </c>
      <c r="O536" s="101"/>
      <c r="P536" s="101"/>
      <c r="Q536" s="102"/>
    </row>
    <row r="537">
      <c r="A537" s="140"/>
      <c r="B537" s="134" t="s">
        <v>228</v>
      </c>
      <c r="C537" s="134" t="s">
        <v>84</v>
      </c>
      <c r="D537" s="133" t="s">
        <v>295</v>
      </c>
      <c r="E537" s="167">
        <v>42642.0</v>
      </c>
      <c r="F537" s="22" t="str">
        <f t="shared" si="51"/>
        <v>Sep-2016</v>
      </c>
      <c r="G537" s="22" t="s">
        <v>20</v>
      </c>
      <c r="H537" s="25" t="s">
        <v>35</v>
      </c>
      <c r="I537" s="80" t="s">
        <v>299</v>
      </c>
      <c r="J537" s="25" t="s">
        <v>71</v>
      </c>
      <c r="K537" s="25" t="s">
        <v>9</v>
      </c>
      <c r="L537" s="25" t="s">
        <v>30</v>
      </c>
      <c r="M537" s="25" t="s">
        <v>30</v>
      </c>
      <c r="N537" s="25" t="s">
        <v>98</v>
      </c>
      <c r="Q537" s="99"/>
    </row>
    <row r="538">
      <c r="A538" s="140"/>
      <c r="B538" s="134" t="s">
        <v>228</v>
      </c>
      <c r="C538" s="134" t="s">
        <v>84</v>
      </c>
      <c r="D538" s="133" t="s">
        <v>295</v>
      </c>
      <c r="E538" s="167">
        <v>42642.0</v>
      </c>
      <c r="F538" s="22" t="str">
        <f t="shared" si="51"/>
        <v>Sep-2016</v>
      </c>
      <c r="G538" s="26" t="s">
        <v>25</v>
      </c>
      <c r="H538" s="25" t="s">
        <v>35</v>
      </c>
      <c r="I538" s="80" t="s">
        <v>299</v>
      </c>
      <c r="J538" s="25" t="s">
        <v>9</v>
      </c>
      <c r="K538" s="25" t="s">
        <v>9</v>
      </c>
      <c r="L538" s="25" t="s">
        <v>30</v>
      </c>
      <c r="M538" s="25"/>
      <c r="N538" s="25" t="s">
        <v>69</v>
      </c>
      <c r="Q538" s="99"/>
    </row>
    <row r="539">
      <c r="A539" s="140"/>
      <c r="B539" s="134" t="s">
        <v>228</v>
      </c>
      <c r="C539" s="134" t="s">
        <v>84</v>
      </c>
      <c r="D539" s="133" t="s">
        <v>295</v>
      </c>
      <c r="E539" s="167">
        <v>42642.0</v>
      </c>
      <c r="F539" s="13" t="str">
        <f t="shared" si="51"/>
        <v>Sep-2016</v>
      </c>
      <c r="G539" s="13" t="s">
        <v>20</v>
      </c>
      <c r="H539" s="16" t="s">
        <v>35</v>
      </c>
      <c r="I539" s="48" t="s">
        <v>300</v>
      </c>
      <c r="J539" s="16" t="s">
        <v>44</v>
      </c>
      <c r="K539" s="16" t="s">
        <v>9</v>
      </c>
      <c r="L539" s="16" t="s">
        <v>30</v>
      </c>
      <c r="M539" s="16" t="s">
        <v>30</v>
      </c>
      <c r="N539" s="16" t="s">
        <v>37</v>
      </c>
      <c r="O539" s="101"/>
      <c r="P539" s="101"/>
      <c r="Q539" s="102"/>
    </row>
    <row r="540">
      <c r="A540" s="140"/>
      <c r="B540" s="134" t="s">
        <v>228</v>
      </c>
      <c r="C540" s="134" t="s">
        <v>84</v>
      </c>
      <c r="D540" s="133" t="s">
        <v>295</v>
      </c>
      <c r="E540" s="167">
        <v>42642.0</v>
      </c>
      <c r="F540" s="13" t="str">
        <f t="shared" si="51"/>
        <v>Sep-2016</v>
      </c>
      <c r="G540" s="17" t="s">
        <v>25</v>
      </c>
      <c r="H540" s="16" t="s">
        <v>35</v>
      </c>
      <c r="I540" s="48" t="s">
        <v>300</v>
      </c>
      <c r="J540" s="16" t="s">
        <v>44</v>
      </c>
      <c r="K540" s="16" t="s">
        <v>9</v>
      </c>
      <c r="L540" s="16" t="s">
        <v>30</v>
      </c>
      <c r="M540" s="16"/>
      <c r="N540" s="16" t="s">
        <v>69</v>
      </c>
      <c r="O540" s="101"/>
      <c r="P540" s="101"/>
      <c r="Q540" s="102"/>
    </row>
    <row r="541">
      <c r="A541" s="140"/>
      <c r="B541" s="134" t="s">
        <v>228</v>
      </c>
      <c r="C541" s="134" t="s">
        <v>84</v>
      </c>
      <c r="D541" s="133" t="s">
        <v>295</v>
      </c>
      <c r="E541" s="167">
        <v>42642.0</v>
      </c>
      <c r="F541" s="22" t="str">
        <f t="shared" si="51"/>
        <v>Sep-2016</v>
      </c>
      <c r="G541" s="22" t="s">
        <v>20</v>
      </c>
      <c r="H541" s="25" t="s">
        <v>35</v>
      </c>
      <c r="I541" s="80" t="s">
        <v>296</v>
      </c>
      <c r="J541" s="25" t="s">
        <v>9</v>
      </c>
      <c r="K541" s="25" t="s">
        <v>9</v>
      </c>
      <c r="L541" s="25" t="s">
        <v>24</v>
      </c>
      <c r="M541" s="25" t="s">
        <v>24</v>
      </c>
      <c r="N541" s="25" t="s">
        <v>37</v>
      </c>
      <c r="Q541" s="99"/>
    </row>
    <row r="542">
      <c r="A542" s="141"/>
      <c r="B542" s="134" t="s">
        <v>228</v>
      </c>
      <c r="C542" s="134" t="s">
        <v>84</v>
      </c>
      <c r="D542" s="133" t="s">
        <v>295</v>
      </c>
      <c r="E542" s="169">
        <v>42642.0</v>
      </c>
      <c r="F542" s="52" t="str">
        <f t="shared" si="51"/>
        <v>Sep-2016</v>
      </c>
      <c r="G542" s="76" t="s">
        <v>25</v>
      </c>
      <c r="H542" s="55" t="s">
        <v>35</v>
      </c>
      <c r="I542" s="113" t="s">
        <v>296</v>
      </c>
      <c r="J542" s="55" t="s">
        <v>9</v>
      </c>
      <c r="K542" s="55" t="s">
        <v>9</v>
      </c>
      <c r="L542" s="55" t="s">
        <v>24</v>
      </c>
      <c r="M542" s="55"/>
      <c r="N542" s="55" t="s">
        <v>29</v>
      </c>
      <c r="O542" s="143"/>
      <c r="P542" s="143"/>
      <c r="Q542" s="144"/>
    </row>
    <row r="543">
      <c r="A543" s="107"/>
      <c r="B543" s="95"/>
      <c r="C543" s="95"/>
      <c r="D543" s="95"/>
      <c r="E543" s="95"/>
      <c r="I543" s="23"/>
    </row>
    <row r="544">
      <c r="A544" s="133" t="s">
        <v>301</v>
      </c>
      <c r="B544" s="134" t="s">
        <v>18</v>
      </c>
      <c r="C544" s="134" t="s">
        <v>74</v>
      </c>
      <c r="D544" s="133" t="s">
        <v>301</v>
      </c>
      <c r="E544" s="151">
        <v>42646.0</v>
      </c>
      <c r="F544" s="110" t="str">
        <f t="shared" ref="F544:F552" si="52">TEXT(E544, "mmm") &amp; "-" &amp; TEXT(E544, "yyyy") </f>
        <v>Oct-2016</v>
      </c>
      <c r="G544" s="47" t="s">
        <v>20</v>
      </c>
      <c r="H544" s="47" t="s">
        <v>35</v>
      </c>
      <c r="I544" s="79" t="s">
        <v>302</v>
      </c>
      <c r="J544" s="47" t="s">
        <v>27</v>
      </c>
      <c r="K544" s="47" t="s">
        <v>9</v>
      </c>
      <c r="L544" s="47" t="s">
        <v>30</v>
      </c>
      <c r="M544" s="47" t="s">
        <v>30</v>
      </c>
      <c r="N544" s="47" t="s">
        <v>29</v>
      </c>
      <c r="O544" s="152"/>
      <c r="P544" s="152"/>
      <c r="Q544" s="153"/>
    </row>
    <row r="545">
      <c r="A545" s="134" t="s">
        <v>18</v>
      </c>
      <c r="B545" s="134" t="s">
        <v>18</v>
      </c>
      <c r="C545" s="134" t="s">
        <v>74</v>
      </c>
      <c r="D545" s="133" t="s">
        <v>301</v>
      </c>
      <c r="E545" s="154">
        <v>42646.0</v>
      </c>
      <c r="F545" s="13" t="str">
        <f t="shared" si="52"/>
        <v>Oct-2016</v>
      </c>
      <c r="G545" s="17" t="s">
        <v>25</v>
      </c>
      <c r="H545" s="16" t="s">
        <v>35</v>
      </c>
      <c r="I545" s="48" t="s">
        <v>302</v>
      </c>
      <c r="J545" s="16" t="s">
        <v>27</v>
      </c>
      <c r="K545" s="16" t="s">
        <v>9</v>
      </c>
      <c r="L545" s="16" t="s">
        <v>30</v>
      </c>
      <c r="M545" s="16"/>
      <c r="N545" s="16" t="s">
        <v>106</v>
      </c>
      <c r="O545" s="101"/>
      <c r="P545" s="101"/>
      <c r="Q545" s="102"/>
    </row>
    <row r="546">
      <c r="A546" s="134" t="s">
        <v>303</v>
      </c>
      <c r="B546" s="134" t="s">
        <v>18</v>
      </c>
      <c r="C546" s="134" t="s">
        <v>74</v>
      </c>
      <c r="D546" s="133" t="s">
        <v>301</v>
      </c>
      <c r="E546" s="154">
        <v>42646.0</v>
      </c>
      <c r="F546" s="22" t="str">
        <f t="shared" si="52"/>
        <v>Oct-2016</v>
      </c>
      <c r="G546" s="22" t="s">
        <v>20</v>
      </c>
      <c r="H546" s="25" t="s">
        <v>35</v>
      </c>
      <c r="I546" s="80" t="s">
        <v>304</v>
      </c>
      <c r="J546" s="25" t="s">
        <v>86</v>
      </c>
      <c r="K546" s="25" t="s">
        <v>9</v>
      </c>
      <c r="L546" s="25" t="s">
        <v>24</v>
      </c>
      <c r="M546" s="25" t="s">
        <v>24</v>
      </c>
      <c r="N546" s="25" t="s">
        <v>69</v>
      </c>
      <c r="Q546" s="99"/>
    </row>
    <row r="547">
      <c r="A547" s="155">
        <v>42646.0</v>
      </c>
      <c r="B547" s="134" t="s">
        <v>18</v>
      </c>
      <c r="C547" s="134" t="s">
        <v>74</v>
      </c>
      <c r="D547" s="133" t="s">
        <v>301</v>
      </c>
      <c r="E547" s="154">
        <v>42646.0</v>
      </c>
      <c r="F547" s="22" t="str">
        <f t="shared" si="52"/>
        <v>Oct-2016</v>
      </c>
      <c r="G547" s="26" t="s">
        <v>25</v>
      </c>
      <c r="H547" s="25" t="s">
        <v>35</v>
      </c>
      <c r="I547" s="80" t="s">
        <v>304</v>
      </c>
      <c r="J547" s="25" t="s">
        <v>44</v>
      </c>
      <c r="K547" s="25" t="s">
        <v>9</v>
      </c>
      <c r="L547" s="25" t="s">
        <v>24</v>
      </c>
      <c r="M547" s="25"/>
      <c r="N547" s="25" t="s">
        <v>29</v>
      </c>
      <c r="Q547" s="99"/>
    </row>
    <row r="548">
      <c r="A548" s="134" t="s">
        <v>74</v>
      </c>
      <c r="B548" s="134" t="s">
        <v>18</v>
      </c>
      <c r="C548" s="134" t="s">
        <v>74</v>
      </c>
      <c r="D548" s="133" t="s">
        <v>301</v>
      </c>
      <c r="E548" s="154">
        <v>42646.0</v>
      </c>
      <c r="F548" s="13" t="str">
        <f t="shared" si="52"/>
        <v>Oct-2016</v>
      </c>
      <c r="G548" s="13" t="s">
        <v>20</v>
      </c>
      <c r="H548" s="16" t="s">
        <v>35</v>
      </c>
      <c r="I548" s="48" t="s">
        <v>305</v>
      </c>
      <c r="J548" s="16" t="s">
        <v>27</v>
      </c>
      <c r="K548" s="16" t="s">
        <v>9</v>
      </c>
      <c r="L548" s="16" t="s">
        <v>30</v>
      </c>
      <c r="M548" s="16" t="s">
        <v>30</v>
      </c>
      <c r="N548" s="16" t="s">
        <v>98</v>
      </c>
      <c r="O548" s="101"/>
      <c r="P548" s="101"/>
      <c r="Q548" s="102"/>
    </row>
    <row r="549">
      <c r="A549" s="140"/>
      <c r="B549" s="134" t="s">
        <v>18</v>
      </c>
      <c r="C549" s="134" t="s">
        <v>74</v>
      </c>
      <c r="D549" s="133" t="s">
        <v>301</v>
      </c>
      <c r="E549" s="154">
        <v>42646.0</v>
      </c>
      <c r="F549" s="13" t="str">
        <f t="shared" si="52"/>
        <v>Oct-2016</v>
      </c>
      <c r="G549" s="17" t="s">
        <v>25</v>
      </c>
      <c r="H549" s="16" t="s">
        <v>35</v>
      </c>
      <c r="I549" s="48" t="s">
        <v>305</v>
      </c>
      <c r="J549" s="16" t="s">
        <v>27</v>
      </c>
      <c r="K549" s="16" t="s">
        <v>9</v>
      </c>
      <c r="L549" s="16" t="s">
        <v>30</v>
      </c>
      <c r="M549" s="16"/>
      <c r="N549" s="16" t="s">
        <v>106</v>
      </c>
      <c r="O549" s="101"/>
      <c r="P549" s="101"/>
      <c r="Q549" s="102"/>
    </row>
    <row r="550">
      <c r="A550" s="140"/>
      <c r="B550" s="134" t="s">
        <v>18</v>
      </c>
      <c r="C550" s="134" t="s">
        <v>74</v>
      </c>
      <c r="D550" s="133" t="s">
        <v>301</v>
      </c>
      <c r="E550" s="154">
        <v>42646.0</v>
      </c>
      <c r="F550" s="22" t="str">
        <f t="shared" si="52"/>
        <v>Oct-2016</v>
      </c>
      <c r="G550" s="22" t="s">
        <v>20</v>
      </c>
      <c r="H550" s="25" t="s">
        <v>35</v>
      </c>
      <c r="I550" s="80" t="s">
        <v>306</v>
      </c>
      <c r="J550" s="25" t="s">
        <v>44</v>
      </c>
      <c r="K550" s="25" t="s">
        <v>9</v>
      </c>
      <c r="L550" s="25" t="s">
        <v>30</v>
      </c>
      <c r="M550" s="25" t="s">
        <v>24</v>
      </c>
      <c r="N550" s="25" t="s">
        <v>98</v>
      </c>
      <c r="Q550" s="99"/>
    </row>
    <row r="551">
      <c r="A551" s="140"/>
      <c r="B551" s="134" t="s">
        <v>18</v>
      </c>
      <c r="C551" s="134" t="s">
        <v>74</v>
      </c>
      <c r="D551" s="133" t="s">
        <v>301</v>
      </c>
      <c r="E551" s="154">
        <v>42646.0</v>
      </c>
      <c r="F551" s="22" t="str">
        <f t="shared" si="52"/>
        <v>Oct-2016</v>
      </c>
      <c r="G551" s="26" t="s">
        <v>25</v>
      </c>
      <c r="H551" s="25" t="s">
        <v>35</v>
      </c>
      <c r="I551" s="80" t="s">
        <v>306</v>
      </c>
      <c r="J551" s="25" t="s">
        <v>44</v>
      </c>
      <c r="K551" s="25" t="s">
        <v>9</v>
      </c>
      <c r="L551" s="25" t="s">
        <v>24</v>
      </c>
      <c r="M551" s="25"/>
      <c r="N551" s="25" t="s">
        <v>106</v>
      </c>
      <c r="Q551" s="99"/>
    </row>
    <row r="552">
      <c r="A552" s="141"/>
      <c r="B552" s="134" t="s">
        <v>18</v>
      </c>
      <c r="C552" s="134" t="s">
        <v>74</v>
      </c>
      <c r="D552" s="133" t="s">
        <v>301</v>
      </c>
      <c r="E552" s="156">
        <v>42646.0</v>
      </c>
      <c r="F552" s="52" t="str">
        <f t="shared" si="52"/>
        <v>Oct-2016</v>
      </c>
      <c r="G552" s="55" t="s">
        <v>32</v>
      </c>
      <c r="H552" s="55" t="s">
        <v>35</v>
      </c>
      <c r="I552" s="113" t="s">
        <v>306</v>
      </c>
      <c r="J552" s="55" t="s">
        <v>44</v>
      </c>
      <c r="K552" s="55" t="s">
        <v>9</v>
      </c>
      <c r="L552" s="55" t="s">
        <v>24</v>
      </c>
      <c r="M552" s="55"/>
      <c r="N552" s="55" t="s">
        <v>69</v>
      </c>
      <c r="O552" s="143"/>
      <c r="P552" s="143"/>
      <c r="Q552" s="144"/>
    </row>
    <row r="553">
      <c r="A553" s="107"/>
      <c r="B553" s="95"/>
      <c r="C553" s="95"/>
      <c r="D553" s="95"/>
      <c r="E553" s="95"/>
      <c r="I553" s="23"/>
    </row>
    <row r="554">
      <c r="A554" s="182" t="s">
        <v>307</v>
      </c>
      <c r="B554" s="183" t="s">
        <v>228</v>
      </c>
      <c r="C554" s="183" t="s">
        <v>308</v>
      </c>
      <c r="D554" s="182" t="s">
        <v>307</v>
      </c>
      <c r="E554" s="135">
        <v>42650.0</v>
      </c>
      <c r="F554" s="110" t="str">
        <f t="shared" ref="F554:F566" si="53">TEXT(E554, "mmm") &amp; "-" &amp; TEXT(E554, "yyyy") </f>
        <v>Oct-2016</v>
      </c>
      <c r="G554" s="110" t="s">
        <v>20</v>
      </c>
      <c r="H554" s="47" t="s">
        <v>309</v>
      </c>
      <c r="I554" s="79" t="s">
        <v>310</v>
      </c>
      <c r="J554" s="47" t="s">
        <v>48</v>
      </c>
      <c r="K554" s="47" t="s">
        <v>9</v>
      </c>
      <c r="L554" s="47" t="s">
        <v>24</v>
      </c>
      <c r="M554" s="47" t="s">
        <v>24</v>
      </c>
      <c r="N554" s="47" t="s">
        <v>98</v>
      </c>
      <c r="O554" s="152"/>
      <c r="P554" s="152"/>
      <c r="Q554" s="136" t="s">
        <v>56</v>
      </c>
    </row>
    <row r="555">
      <c r="A555" s="183" t="s">
        <v>228</v>
      </c>
      <c r="B555" s="183" t="s">
        <v>228</v>
      </c>
      <c r="C555" s="183" t="s">
        <v>308</v>
      </c>
      <c r="D555" s="182" t="s">
        <v>307</v>
      </c>
      <c r="E555" s="137">
        <v>42650.0</v>
      </c>
      <c r="F555" s="13" t="str">
        <f t="shared" si="53"/>
        <v>Oct-2016</v>
      </c>
      <c r="G555" s="17" t="s">
        <v>25</v>
      </c>
      <c r="H555" s="16" t="s">
        <v>309</v>
      </c>
      <c r="I555" s="48" t="s">
        <v>310</v>
      </c>
      <c r="J555" s="16" t="s">
        <v>48</v>
      </c>
      <c r="K555" s="16" t="s">
        <v>9</v>
      </c>
      <c r="L555" s="16" t="s">
        <v>24</v>
      </c>
      <c r="M555" s="16"/>
      <c r="N555" s="16" t="s">
        <v>69</v>
      </c>
      <c r="O555" s="101"/>
      <c r="P555" s="101"/>
      <c r="Q555" s="138" t="s">
        <v>56</v>
      </c>
    </row>
    <row r="556">
      <c r="A556" s="183" t="s">
        <v>311</v>
      </c>
      <c r="B556" s="183" t="s">
        <v>228</v>
      </c>
      <c r="C556" s="183" t="s">
        <v>308</v>
      </c>
      <c r="D556" s="182" t="s">
        <v>307</v>
      </c>
      <c r="E556" s="137">
        <v>42650.0</v>
      </c>
      <c r="F556" s="22" t="str">
        <f t="shared" si="53"/>
        <v>Oct-2016</v>
      </c>
      <c r="G556" s="22" t="s">
        <v>20</v>
      </c>
      <c r="H556" s="25" t="s">
        <v>309</v>
      </c>
      <c r="I556" s="80" t="s">
        <v>312</v>
      </c>
      <c r="J556" s="25" t="s">
        <v>44</v>
      </c>
      <c r="K556" s="25" t="s">
        <v>9</v>
      </c>
      <c r="L556" s="25" t="s">
        <v>30</v>
      </c>
      <c r="M556" s="25" t="s">
        <v>30</v>
      </c>
      <c r="N556" s="25" t="s">
        <v>98</v>
      </c>
      <c r="Q556" s="184" t="s">
        <v>313</v>
      </c>
    </row>
    <row r="557">
      <c r="A557" s="183" t="s">
        <v>314</v>
      </c>
      <c r="B557" s="183" t="s">
        <v>228</v>
      </c>
      <c r="C557" s="183" t="s">
        <v>308</v>
      </c>
      <c r="D557" s="182" t="s">
        <v>307</v>
      </c>
      <c r="E557" s="137">
        <v>42650.0</v>
      </c>
      <c r="F557" s="22" t="str">
        <f t="shared" si="53"/>
        <v>Oct-2016</v>
      </c>
      <c r="G557" s="26" t="s">
        <v>25</v>
      </c>
      <c r="H557" s="25" t="s">
        <v>309</v>
      </c>
      <c r="I557" s="80" t="s">
        <v>312</v>
      </c>
      <c r="J557" s="25" t="s">
        <v>44</v>
      </c>
      <c r="K557" s="25" t="s">
        <v>9</v>
      </c>
      <c r="L557" s="25" t="s">
        <v>30</v>
      </c>
      <c r="M557" s="25"/>
      <c r="N557" s="25" t="s">
        <v>69</v>
      </c>
      <c r="Q557" s="184" t="s">
        <v>313</v>
      </c>
    </row>
    <row r="558">
      <c r="A558" s="183" t="s">
        <v>308</v>
      </c>
      <c r="B558" s="183" t="s">
        <v>228</v>
      </c>
      <c r="C558" s="183" t="s">
        <v>308</v>
      </c>
      <c r="D558" s="182" t="s">
        <v>307</v>
      </c>
      <c r="E558" s="137">
        <v>42650.0</v>
      </c>
      <c r="F558" s="13" t="str">
        <f t="shared" si="53"/>
        <v>Oct-2016</v>
      </c>
      <c r="G558" s="13" t="s">
        <v>20</v>
      </c>
      <c r="H558" s="16" t="s">
        <v>309</v>
      </c>
      <c r="I558" s="48" t="s">
        <v>315</v>
      </c>
      <c r="J558" s="16" t="s">
        <v>9</v>
      </c>
      <c r="K558" s="16" t="s">
        <v>9</v>
      </c>
      <c r="L558" s="16" t="s">
        <v>24</v>
      </c>
      <c r="M558" s="16" t="s">
        <v>30</v>
      </c>
      <c r="N558" s="16" t="s">
        <v>37</v>
      </c>
      <c r="O558" s="101"/>
      <c r="P558" s="101"/>
      <c r="Q558" s="138" t="s">
        <v>316</v>
      </c>
    </row>
    <row r="559">
      <c r="A559" s="185"/>
      <c r="B559" s="183" t="s">
        <v>228</v>
      </c>
      <c r="C559" s="183" t="s">
        <v>308</v>
      </c>
      <c r="D559" s="182" t="s">
        <v>307</v>
      </c>
      <c r="E559" s="137">
        <v>42650.0</v>
      </c>
      <c r="F559" s="13" t="str">
        <f t="shared" si="53"/>
        <v>Oct-2016</v>
      </c>
      <c r="G559" s="17" t="s">
        <v>25</v>
      </c>
      <c r="H559" s="16" t="s">
        <v>309</v>
      </c>
      <c r="I559" s="48" t="s">
        <v>315</v>
      </c>
      <c r="J559" s="16" t="s">
        <v>9</v>
      </c>
      <c r="K559" s="16" t="s">
        <v>9</v>
      </c>
      <c r="L559" s="16" t="s">
        <v>30</v>
      </c>
      <c r="M559" s="16"/>
      <c r="N559" s="16" t="s">
        <v>98</v>
      </c>
      <c r="O559" s="101"/>
      <c r="P559" s="101"/>
      <c r="Q559" s="138" t="s">
        <v>316</v>
      </c>
    </row>
    <row r="560">
      <c r="A560" s="185"/>
      <c r="B560" s="183" t="s">
        <v>228</v>
      </c>
      <c r="C560" s="183" t="s">
        <v>308</v>
      </c>
      <c r="D560" s="182" t="s">
        <v>307</v>
      </c>
      <c r="E560" s="137">
        <v>42650.0</v>
      </c>
      <c r="F560" s="13" t="str">
        <f t="shared" si="53"/>
        <v>Oct-2016</v>
      </c>
      <c r="G560" s="16" t="s">
        <v>32</v>
      </c>
      <c r="H560" s="16" t="s">
        <v>309</v>
      </c>
      <c r="I560" s="48" t="s">
        <v>315</v>
      </c>
      <c r="J560" s="16" t="s">
        <v>9</v>
      </c>
      <c r="K560" s="16" t="s">
        <v>9</v>
      </c>
      <c r="L560" s="16" t="s">
        <v>30</v>
      </c>
      <c r="M560" s="16"/>
      <c r="N560" s="16" t="s">
        <v>98</v>
      </c>
      <c r="O560" s="101"/>
      <c r="P560" s="101"/>
      <c r="Q560" s="138" t="s">
        <v>316</v>
      </c>
    </row>
    <row r="561">
      <c r="A561" s="185"/>
      <c r="B561" s="183" t="s">
        <v>228</v>
      </c>
      <c r="C561" s="183" t="s">
        <v>308</v>
      </c>
      <c r="D561" s="182" t="s">
        <v>307</v>
      </c>
      <c r="E561" s="137">
        <v>42650.0</v>
      </c>
      <c r="F561" s="22" t="str">
        <f t="shared" si="53"/>
        <v>Oct-2016</v>
      </c>
      <c r="G561" s="22" t="s">
        <v>20</v>
      </c>
      <c r="H561" s="25" t="s">
        <v>309</v>
      </c>
      <c r="I561" s="80" t="s">
        <v>317</v>
      </c>
      <c r="J561" s="25" t="s">
        <v>318</v>
      </c>
      <c r="K561" s="25" t="s">
        <v>9</v>
      </c>
      <c r="L561" s="25" t="s">
        <v>24</v>
      </c>
      <c r="M561" s="25" t="s">
        <v>30</v>
      </c>
      <c r="N561" s="25" t="s">
        <v>98</v>
      </c>
      <c r="Q561" s="184" t="s">
        <v>319</v>
      </c>
    </row>
    <row r="562">
      <c r="A562" s="185"/>
      <c r="B562" s="183" t="s">
        <v>228</v>
      </c>
      <c r="C562" s="183" t="s">
        <v>308</v>
      </c>
      <c r="D562" s="182" t="s">
        <v>307</v>
      </c>
      <c r="E562" s="137">
        <v>42650.0</v>
      </c>
      <c r="F562" s="22" t="str">
        <f t="shared" si="53"/>
        <v>Oct-2016</v>
      </c>
      <c r="G562" s="26" t="s">
        <v>25</v>
      </c>
      <c r="H562" s="25" t="s">
        <v>309</v>
      </c>
      <c r="I562" s="80" t="s">
        <v>317</v>
      </c>
      <c r="J562" s="25" t="s">
        <v>318</v>
      </c>
      <c r="K562" s="25" t="s">
        <v>9</v>
      </c>
      <c r="L562" s="25" t="s">
        <v>30</v>
      </c>
      <c r="M562" s="25"/>
      <c r="N562" s="25" t="s">
        <v>106</v>
      </c>
      <c r="Q562" s="184" t="s">
        <v>319</v>
      </c>
    </row>
    <row r="563">
      <c r="A563" s="185"/>
      <c r="B563" s="183" t="s">
        <v>228</v>
      </c>
      <c r="C563" s="183" t="s">
        <v>308</v>
      </c>
      <c r="D563" s="182" t="s">
        <v>307</v>
      </c>
      <c r="E563" s="137">
        <v>42650.0</v>
      </c>
      <c r="F563" s="22" t="str">
        <f t="shared" si="53"/>
        <v>Oct-2016</v>
      </c>
      <c r="G563" s="25" t="s">
        <v>32</v>
      </c>
      <c r="H563" s="25" t="s">
        <v>309</v>
      </c>
      <c r="I563" s="80" t="s">
        <v>317</v>
      </c>
      <c r="J563" s="25" t="s">
        <v>318</v>
      </c>
      <c r="K563" s="25" t="s">
        <v>9</v>
      </c>
      <c r="L563" s="25" t="s">
        <v>30</v>
      </c>
      <c r="M563" s="25"/>
      <c r="N563" s="25" t="s">
        <v>69</v>
      </c>
      <c r="Q563" s="184" t="s">
        <v>319</v>
      </c>
    </row>
    <row r="564">
      <c r="A564" s="185"/>
      <c r="B564" s="183" t="s">
        <v>228</v>
      </c>
      <c r="C564" s="183" t="s">
        <v>308</v>
      </c>
      <c r="D564" s="182" t="s">
        <v>307</v>
      </c>
      <c r="E564" s="137">
        <v>42650.0</v>
      </c>
      <c r="F564" s="13" t="str">
        <f t="shared" si="53"/>
        <v>Oct-2016</v>
      </c>
      <c r="G564" s="13" t="s">
        <v>20</v>
      </c>
      <c r="H564" s="16" t="s">
        <v>309</v>
      </c>
      <c r="I564" s="48" t="s">
        <v>310</v>
      </c>
      <c r="J564" s="16" t="s">
        <v>48</v>
      </c>
      <c r="K564" s="16" t="s">
        <v>9</v>
      </c>
      <c r="L564" s="16" t="s">
        <v>24</v>
      </c>
      <c r="M564" s="16" t="s">
        <v>24</v>
      </c>
      <c r="N564" s="16" t="s">
        <v>98</v>
      </c>
      <c r="O564" s="101"/>
      <c r="P564" s="101"/>
      <c r="Q564" s="138" t="s">
        <v>56</v>
      </c>
    </row>
    <row r="565">
      <c r="A565" s="185"/>
      <c r="B565" s="183" t="s">
        <v>228</v>
      </c>
      <c r="C565" s="183" t="s">
        <v>308</v>
      </c>
      <c r="D565" s="182" t="s">
        <v>307</v>
      </c>
      <c r="E565" s="137">
        <v>42650.0</v>
      </c>
      <c r="F565" s="13" t="str">
        <f t="shared" si="53"/>
        <v>Oct-2016</v>
      </c>
      <c r="G565" s="17" t="s">
        <v>25</v>
      </c>
      <c r="H565" s="16" t="s">
        <v>309</v>
      </c>
      <c r="I565" s="48" t="s">
        <v>310</v>
      </c>
      <c r="J565" s="16" t="s">
        <v>48</v>
      </c>
      <c r="K565" s="16" t="s">
        <v>27</v>
      </c>
      <c r="L565" s="16" t="s">
        <v>30</v>
      </c>
      <c r="M565" s="16"/>
      <c r="N565" s="16" t="s">
        <v>106</v>
      </c>
      <c r="O565" s="101"/>
      <c r="P565" s="101"/>
      <c r="Q565" s="138" t="s">
        <v>56</v>
      </c>
    </row>
    <row r="566">
      <c r="A566" s="186"/>
      <c r="B566" s="183" t="s">
        <v>228</v>
      </c>
      <c r="C566" s="183" t="s">
        <v>308</v>
      </c>
      <c r="D566" s="182" t="s">
        <v>307</v>
      </c>
      <c r="E566" s="142">
        <v>42650.0</v>
      </c>
      <c r="F566" s="35" t="str">
        <f t="shared" si="53"/>
        <v>Oct-2016</v>
      </c>
      <c r="G566" s="38" t="s">
        <v>32</v>
      </c>
      <c r="H566" s="38" t="s">
        <v>309</v>
      </c>
      <c r="I566" s="122" t="s">
        <v>310</v>
      </c>
      <c r="J566" s="38" t="s">
        <v>48</v>
      </c>
      <c r="K566" s="38" t="s">
        <v>27</v>
      </c>
      <c r="L566" s="38" t="s">
        <v>24</v>
      </c>
      <c r="M566" s="38"/>
      <c r="N566" s="38" t="s">
        <v>99</v>
      </c>
      <c r="O566" s="105"/>
      <c r="P566" s="105"/>
      <c r="Q566" s="177" t="s">
        <v>56</v>
      </c>
    </row>
    <row r="567">
      <c r="A567" s="107"/>
      <c r="B567" s="95"/>
      <c r="C567" s="95"/>
      <c r="D567" s="95"/>
      <c r="E567" s="95"/>
      <c r="F567" s="22"/>
      <c r="I567" s="23"/>
    </row>
    <row r="568">
      <c r="A568" s="133" t="s">
        <v>320</v>
      </c>
      <c r="B568" s="134" t="s">
        <v>272</v>
      </c>
      <c r="C568" s="134" t="s">
        <v>84</v>
      </c>
      <c r="D568" s="133" t="s">
        <v>320</v>
      </c>
      <c r="E568" s="135">
        <v>42665.0</v>
      </c>
      <c r="F568" s="85" t="str">
        <f t="shared" ref="F568:F582" si="54">TEXT(E568, "mmm") &amp; "-" &amp; TEXT(E568, "yyyy") </f>
        <v>Oct-2016</v>
      </c>
      <c r="G568" s="73" t="s">
        <v>20</v>
      </c>
      <c r="H568" s="73" t="s">
        <v>287</v>
      </c>
      <c r="I568" s="86" t="s">
        <v>181</v>
      </c>
      <c r="J568" s="73" t="s">
        <v>27</v>
      </c>
      <c r="K568" s="73" t="s">
        <v>9</v>
      </c>
      <c r="L568" s="73" t="s">
        <v>24</v>
      </c>
      <c r="M568" s="73" t="s">
        <v>24</v>
      </c>
      <c r="N568" s="73" t="s">
        <v>29</v>
      </c>
      <c r="O568" s="165"/>
      <c r="P568" s="165"/>
      <c r="Q568" s="166"/>
    </row>
    <row r="569">
      <c r="A569" s="134" t="s">
        <v>272</v>
      </c>
      <c r="B569" s="134" t="s">
        <v>272</v>
      </c>
      <c r="C569" s="134" t="s">
        <v>84</v>
      </c>
      <c r="D569" s="133" t="s">
        <v>320</v>
      </c>
      <c r="E569" s="137">
        <v>42665.0</v>
      </c>
      <c r="F569" s="22" t="str">
        <f t="shared" si="54"/>
        <v>Oct-2016</v>
      </c>
      <c r="G569" s="26" t="s">
        <v>25</v>
      </c>
      <c r="H569" s="25" t="s">
        <v>287</v>
      </c>
      <c r="I569" s="80" t="s">
        <v>181</v>
      </c>
      <c r="J569" s="25" t="s">
        <v>27</v>
      </c>
      <c r="K569" s="25" t="s">
        <v>9</v>
      </c>
      <c r="L569" s="25" t="s">
        <v>24</v>
      </c>
      <c r="M569" s="25"/>
      <c r="N569" s="25" t="s">
        <v>98</v>
      </c>
      <c r="Q569" s="99"/>
    </row>
    <row r="570">
      <c r="A570" s="134" t="s">
        <v>321</v>
      </c>
      <c r="B570" s="134" t="s">
        <v>272</v>
      </c>
      <c r="C570" s="134" t="s">
        <v>84</v>
      </c>
      <c r="D570" s="133" t="s">
        <v>320</v>
      </c>
      <c r="E570" s="137">
        <v>42665.0</v>
      </c>
      <c r="F570" s="13" t="str">
        <f t="shared" si="54"/>
        <v>Oct-2016</v>
      </c>
      <c r="G570" s="13" t="s">
        <v>20</v>
      </c>
      <c r="H570" s="16" t="s">
        <v>287</v>
      </c>
      <c r="I570" s="48" t="s">
        <v>322</v>
      </c>
      <c r="J570" s="16" t="s">
        <v>27</v>
      </c>
      <c r="K570" s="16" t="s">
        <v>9</v>
      </c>
      <c r="L570" s="16" t="s">
        <v>24</v>
      </c>
      <c r="M570" s="16" t="s">
        <v>24</v>
      </c>
      <c r="N570" s="16" t="s">
        <v>29</v>
      </c>
      <c r="O570" s="101"/>
      <c r="P570" s="101"/>
      <c r="Q570" s="102"/>
    </row>
    <row r="571">
      <c r="A571" s="155">
        <v>42665.0</v>
      </c>
      <c r="B571" s="134" t="s">
        <v>272</v>
      </c>
      <c r="C571" s="134" t="s">
        <v>84</v>
      </c>
      <c r="D571" s="133" t="s">
        <v>320</v>
      </c>
      <c r="E571" s="137">
        <v>42665.0</v>
      </c>
      <c r="F571" s="13" t="str">
        <f t="shared" si="54"/>
        <v>Oct-2016</v>
      </c>
      <c r="G571" s="17" t="s">
        <v>25</v>
      </c>
      <c r="H571" s="16" t="s">
        <v>287</v>
      </c>
      <c r="I571" s="48" t="s">
        <v>322</v>
      </c>
      <c r="J571" s="16" t="s">
        <v>27</v>
      </c>
      <c r="K571" s="16" t="s">
        <v>9</v>
      </c>
      <c r="L571" s="16" t="s">
        <v>24</v>
      </c>
      <c r="M571" s="16"/>
      <c r="N571" s="16" t="s">
        <v>98</v>
      </c>
      <c r="O571" s="101"/>
      <c r="P571" s="101"/>
      <c r="Q571" s="102"/>
    </row>
    <row r="572">
      <c r="A572" s="134" t="s">
        <v>84</v>
      </c>
      <c r="B572" s="134" t="s">
        <v>272</v>
      </c>
      <c r="C572" s="134" t="s">
        <v>84</v>
      </c>
      <c r="D572" s="133" t="s">
        <v>320</v>
      </c>
      <c r="E572" s="137">
        <v>42665.0</v>
      </c>
      <c r="F572" s="22" t="str">
        <f t="shared" si="54"/>
        <v>Oct-2016</v>
      </c>
      <c r="G572" s="22" t="s">
        <v>20</v>
      </c>
      <c r="H572" s="25" t="s">
        <v>287</v>
      </c>
      <c r="I572" s="80" t="s">
        <v>323</v>
      </c>
      <c r="J572" s="25" t="s">
        <v>9</v>
      </c>
      <c r="K572" s="25" t="s">
        <v>9</v>
      </c>
      <c r="L572" s="25" t="s">
        <v>30</v>
      </c>
      <c r="M572" s="25" t="s">
        <v>30</v>
      </c>
      <c r="N572" s="25" t="s">
        <v>98</v>
      </c>
      <c r="Q572" s="99"/>
    </row>
    <row r="573">
      <c r="A573" s="140"/>
      <c r="B573" s="134" t="s">
        <v>272</v>
      </c>
      <c r="C573" s="134" t="s">
        <v>84</v>
      </c>
      <c r="D573" s="133" t="s">
        <v>320</v>
      </c>
      <c r="E573" s="137">
        <v>42665.0</v>
      </c>
      <c r="F573" s="22" t="str">
        <f t="shared" si="54"/>
        <v>Oct-2016</v>
      </c>
      <c r="G573" s="26" t="s">
        <v>25</v>
      </c>
      <c r="H573" s="25" t="s">
        <v>287</v>
      </c>
      <c r="I573" s="80" t="s">
        <v>324</v>
      </c>
      <c r="J573" s="25" t="s">
        <v>9</v>
      </c>
      <c r="K573" s="25" t="s">
        <v>9</v>
      </c>
      <c r="L573" s="25" t="s">
        <v>30</v>
      </c>
      <c r="M573" s="25"/>
      <c r="N573" s="25" t="s">
        <v>106</v>
      </c>
      <c r="Q573" s="99"/>
    </row>
    <row r="574">
      <c r="A574" s="140"/>
      <c r="B574" s="134" t="s">
        <v>272</v>
      </c>
      <c r="C574" s="134" t="s">
        <v>84</v>
      </c>
      <c r="D574" s="133" t="s">
        <v>320</v>
      </c>
      <c r="E574" s="137">
        <v>42665.0</v>
      </c>
      <c r="F574" s="13" t="str">
        <f t="shared" si="54"/>
        <v>Oct-2016</v>
      </c>
      <c r="G574" s="13" t="s">
        <v>20</v>
      </c>
      <c r="H574" s="16" t="s">
        <v>287</v>
      </c>
      <c r="I574" s="48" t="s">
        <v>325</v>
      </c>
      <c r="J574" s="16" t="s">
        <v>86</v>
      </c>
      <c r="K574" s="16" t="s">
        <v>9</v>
      </c>
      <c r="L574" s="16" t="s">
        <v>24</v>
      </c>
      <c r="M574" s="16" t="s">
        <v>24</v>
      </c>
      <c r="N574" s="16" t="s">
        <v>69</v>
      </c>
      <c r="O574" s="101"/>
      <c r="P574" s="101"/>
      <c r="Q574" s="102"/>
    </row>
    <row r="575">
      <c r="A575" s="140"/>
      <c r="B575" s="134" t="s">
        <v>272</v>
      </c>
      <c r="C575" s="134" t="s">
        <v>84</v>
      </c>
      <c r="D575" s="133" t="s">
        <v>320</v>
      </c>
      <c r="E575" s="137">
        <v>42665.0</v>
      </c>
      <c r="F575" s="13" t="str">
        <f t="shared" si="54"/>
        <v>Oct-2016</v>
      </c>
      <c r="G575" s="17" t="s">
        <v>25</v>
      </c>
      <c r="H575" s="16" t="s">
        <v>287</v>
      </c>
      <c r="I575" s="48" t="s">
        <v>325</v>
      </c>
      <c r="J575" s="16" t="s">
        <v>86</v>
      </c>
      <c r="K575" s="16" t="s">
        <v>9</v>
      </c>
      <c r="L575" s="16" t="s">
        <v>30</v>
      </c>
      <c r="M575" s="16"/>
      <c r="N575" s="16" t="s">
        <v>99</v>
      </c>
      <c r="O575" s="101"/>
      <c r="P575" s="101"/>
      <c r="Q575" s="102"/>
    </row>
    <row r="576">
      <c r="A576" s="140"/>
      <c r="B576" s="134" t="s">
        <v>272</v>
      </c>
      <c r="C576" s="134" t="s">
        <v>84</v>
      </c>
      <c r="D576" s="133" t="s">
        <v>320</v>
      </c>
      <c r="E576" s="137">
        <v>42665.0</v>
      </c>
      <c r="F576" s="13" t="str">
        <f t="shared" si="54"/>
        <v>Oct-2016</v>
      </c>
      <c r="G576" s="16" t="s">
        <v>32</v>
      </c>
      <c r="H576" s="16" t="s">
        <v>287</v>
      </c>
      <c r="I576" s="48" t="s">
        <v>325</v>
      </c>
      <c r="J576" s="16" t="s">
        <v>86</v>
      </c>
      <c r="K576" s="16" t="s">
        <v>9</v>
      </c>
      <c r="L576" s="16" t="s">
        <v>24</v>
      </c>
      <c r="M576" s="16"/>
      <c r="N576" s="16" t="s">
        <v>106</v>
      </c>
      <c r="O576" s="101"/>
      <c r="P576" s="101"/>
      <c r="Q576" s="102"/>
    </row>
    <row r="577">
      <c r="A577" s="140"/>
      <c r="B577" s="134" t="s">
        <v>272</v>
      </c>
      <c r="C577" s="134" t="s">
        <v>84</v>
      </c>
      <c r="D577" s="133" t="s">
        <v>320</v>
      </c>
      <c r="E577" s="137">
        <v>42665.0</v>
      </c>
      <c r="F577" s="22" t="str">
        <f t="shared" si="54"/>
        <v>Oct-2016</v>
      </c>
      <c r="G577" s="22" t="s">
        <v>20</v>
      </c>
      <c r="H577" s="25" t="s">
        <v>287</v>
      </c>
      <c r="I577" s="80" t="s">
        <v>326</v>
      </c>
      <c r="J577" s="25" t="s">
        <v>9</v>
      </c>
      <c r="K577" s="25" t="s">
        <v>9</v>
      </c>
      <c r="L577" s="25" t="s">
        <v>30</v>
      </c>
      <c r="M577" s="25" t="s">
        <v>30</v>
      </c>
      <c r="N577" s="25" t="s">
        <v>98</v>
      </c>
      <c r="Q577" s="99"/>
    </row>
    <row r="578">
      <c r="A578" s="140"/>
      <c r="B578" s="134" t="s">
        <v>272</v>
      </c>
      <c r="C578" s="134" t="s">
        <v>84</v>
      </c>
      <c r="D578" s="133" t="s">
        <v>320</v>
      </c>
      <c r="E578" s="137">
        <v>42665.0</v>
      </c>
      <c r="F578" s="22" t="str">
        <f t="shared" si="54"/>
        <v>Oct-2016</v>
      </c>
      <c r="G578" s="26" t="s">
        <v>25</v>
      </c>
      <c r="H578" s="25" t="s">
        <v>287</v>
      </c>
      <c r="I578" s="80" t="s">
        <v>326</v>
      </c>
      <c r="J578" s="25" t="s">
        <v>102</v>
      </c>
      <c r="K578" s="25" t="s">
        <v>9</v>
      </c>
      <c r="L578" s="25" t="s">
        <v>30</v>
      </c>
      <c r="M578" s="25"/>
      <c r="N578" s="25" t="s">
        <v>98</v>
      </c>
      <c r="Q578" s="99"/>
    </row>
    <row r="579">
      <c r="A579" s="140"/>
      <c r="B579" s="134" t="s">
        <v>272</v>
      </c>
      <c r="C579" s="134" t="s">
        <v>84</v>
      </c>
      <c r="D579" s="133" t="s">
        <v>320</v>
      </c>
      <c r="E579" s="137">
        <v>42665.0</v>
      </c>
      <c r="F579" s="13" t="str">
        <f t="shared" si="54"/>
        <v>Oct-2016</v>
      </c>
      <c r="G579" s="13" t="s">
        <v>20</v>
      </c>
      <c r="H579" s="16" t="s">
        <v>327</v>
      </c>
      <c r="I579" s="48" t="s">
        <v>328</v>
      </c>
      <c r="J579" s="16" t="s">
        <v>86</v>
      </c>
      <c r="K579" s="16" t="s">
        <v>9</v>
      </c>
      <c r="L579" s="16" t="s">
        <v>24</v>
      </c>
      <c r="M579" s="16" t="s">
        <v>24</v>
      </c>
      <c r="N579" s="16" t="s">
        <v>29</v>
      </c>
      <c r="O579" s="101"/>
      <c r="P579" s="101"/>
      <c r="Q579" s="102"/>
    </row>
    <row r="580">
      <c r="A580" s="140"/>
      <c r="B580" s="134" t="s">
        <v>272</v>
      </c>
      <c r="C580" s="134" t="s">
        <v>84</v>
      </c>
      <c r="D580" s="133" t="s">
        <v>320</v>
      </c>
      <c r="E580" s="137">
        <v>42665.0</v>
      </c>
      <c r="F580" s="13" t="str">
        <f t="shared" si="54"/>
        <v>Oct-2016</v>
      </c>
      <c r="G580" s="17" t="s">
        <v>25</v>
      </c>
      <c r="H580" s="16" t="s">
        <v>327</v>
      </c>
      <c r="I580" s="48" t="s">
        <v>328</v>
      </c>
      <c r="J580" s="16" t="s">
        <v>86</v>
      </c>
      <c r="K580" s="16" t="s">
        <v>9</v>
      </c>
      <c r="L580" s="16" t="s">
        <v>24</v>
      </c>
      <c r="M580" s="16"/>
      <c r="N580" s="16" t="s">
        <v>98</v>
      </c>
      <c r="O580" s="101"/>
      <c r="P580" s="101"/>
      <c r="Q580" s="102"/>
    </row>
    <row r="581">
      <c r="A581" s="140"/>
      <c r="B581" s="134" t="s">
        <v>272</v>
      </c>
      <c r="C581" s="134" t="s">
        <v>84</v>
      </c>
      <c r="D581" s="133" t="s">
        <v>320</v>
      </c>
      <c r="E581" s="137">
        <v>42665.0</v>
      </c>
      <c r="F581" s="22" t="str">
        <f t="shared" si="54"/>
        <v>Oct-2016</v>
      </c>
      <c r="G581" s="22" t="s">
        <v>20</v>
      </c>
      <c r="H581" s="25" t="s">
        <v>327</v>
      </c>
      <c r="I581" s="80" t="s">
        <v>329</v>
      </c>
      <c r="J581" s="25" t="s">
        <v>44</v>
      </c>
      <c r="K581" s="25" t="s">
        <v>9</v>
      </c>
      <c r="L581" s="25" t="s">
        <v>24</v>
      </c>
      <c r="M581" s="25" t="s">
        <v>24</v>
      </c>
      <c r="N581" s="25" t="s">
        <v>98</v>
      </c>
      <c r="Q581" s="99"/>
    </row>
    <row r="582">
      <c r="A582" s="141"/>
      <c r="B582" s="134" t="s">
        <v>272</v>
      </c>
      <c r="C582" s="134" t="s">
        <v>84</v>
      </c>
      <c r="D582" s="133" t="s">
        <v>320</v>
      </c>
      <c r="E582" s="142">
        <v>42665.0</v>
      </c>
      <c r="F582" s="52" t="str">
        <f t="shared" si="54"/>
        <v>Oct-2016</v>
      </c>
      <c r="G582" s="76" t="s">
        <v>25</v>
      </c>
      <c r="H582" s="55" t="s">
        <v>327</v>
      </c>
      <c r="I582" s="113" t="s">
        <v>329</v>
      </c>
      <c r="J582" s="55" t="s">
        <v>44</v>
      </c>
      <c r="K582" s="55" t="s">
        <v>9</v>
      </c>
      <c r="L582" s="55" t="s">
        <v>24</v>
      </c>
      <c r="M582" s="55"/>
      <c r="N582" s="55" t="s">
        <v>98</v>
      </c>
      <c r="O582" s="143"/>
      <c r="P582" s="143"/>
      <c r="Q582" s="144"/>
    </row>
    <row r="583">
      <c r="A583" s="107"/>
      <c r="B583" s="137"/>
      <c r="C583" s="137"/>
      <c r="D583" s="137"/>
      <c r="E583" s="137"/>
      <c r="I583" s="23"/>
    </row>
    <row r="584">
      <c r="A584" s="133" t="s">
        <v>330</v>
      </c>
      <c r="B584" s="134" t="s">
        <v>18</v>
      </c>
      <c r="C584" s="134" t="s">
        <v>74</v>
      </c>
      <c r="D584" s="133" t="s">
        <v>330</v>
      </c>
      <c r="E584" s="151">
        <v>42674.0</v>
      </c>
      <c r="F584" s="110" t="str">
        <f t="shared" ref="F584:F592" si="55">TEXT(E584, "mmm") &amp; "-" &amp; TEXT(E584, "yyyy") </f>
        <v>Oct-2016</v>
      </c>
      <c r="G584" s="110" t="s">
        <v>20</v>
      </c>
      <c r="H584" s="47" t="s">
        <v>35</v>
      </c>
      <c r="I584" s="79" t="s">
        <v>164</v>
      </c>
      <c r="J584" s="47" t="s">
        <v>9</v>
      </c>
      <c r="K584" s="47" t="s">
        <v>9</v>
      </c>
      <c r="L584" s="47" t="s">
        <v>30</v>
      </c>
      <c r="M584" s="47" t="s">
        <v>30</v>
      </c>
      <c r="N584" s="47" t="s">
        <v>98</v>
      </c>
      <c r="O584" s="152"/>
      <c r="P584" s="152"/>
      <c r="Q584" s="153"/>
    </row>
    <row r="585">
      <c r="A585" s="134" t="s">
        <v>18</v>
      </c>
      <c r="B585" s="134" t="s">
        <v>18</v>
      </c>
      <c r="C585" s="134" t="s">
        <v>74</v>
      </c>
      <c r="D585" s="133" t="s">
        <v>330</v>
      </c>
      <c r="E585" s="154">
        <v>42674.0</v>
      </c>
      <c r="F585" s="13" t="str">
        <f t="shared" si="55"/>
        <v>Oct-2016</v>
      </c>
      <c r="G585" s="17" t="s">
        <v>25</v>
      </c>
      <c r="H585" s="16" t="s">
        <v>35</v>
      </c>
      <c r="I585" s="48" t="s">
        <v>164</v>
      </c>
      <c r="J585" s="16" t="s">
        <v>9</v>
      </c>
      <c r="K585" s="16" t="s">
        <v>9</v>
      </c>
      <c r="L585" s="16" t="s">
        <v>30</v>
      </c>
      <c r="M585" s="16"/>
      <c r="N585" s="16" t="s">
        <v>106</v>
      </c>
      <c r="O585" s="101"/>
      <c r="P585" s="101"/>
      <c r="Q585" s="102"/>
    </row>
    <row r="586">
      <c r="A586" s="134" t="s">
        <v>331</v>
      </c>
      <c r="B586" s="134" t="s">
        <v>18</v>
      </c>
      <c r="C586" s="134" t="s">
        <v>74</v>
      </c>
      <c r="D586" s="133" t="s">
        <v>330</v>
      </c>
      <c r="E586" s="154">
        <v>42674.0</v>
      </c>
      <c r="F586" s="22" t="str">
        <f t="shared" si="55"/>
        <v>Oct-2016</v>
      </c>
      <c r="G586" s="22" t="s">
        <v>20</v>
      </c>
      <c r="H586" s="25" t="s">
        <v>35</v>
      </c>
      <c r="I586" s="80" t="s">
        <v>142</v>
      </c>
      <c r="J586" s="25" t="s">
        <v>44</v>
      </c>
      <c r="K586" s="25" t="s">
        <v>9</v>
      </c>
      <c r="L586" s="25" t="s">
        <v>30</v>
      </c>
      <c r="M586" s="25" t="s">
        <v>24</v>
      </c>
      <c r="N586" s="25" t="s">
        <v>98</v>
      </c>
      <c r="Q586" s="99"/>
    </row>
    <row r="587">
      <c r="A587" s="155">
        <v>42674.0</v>
      </c>
      <c r="B587" s="134" t="s">
        <v>18</v>
      </c>
      <c r="C587" s="134" t="s">
        <v>74</v>
      </c>
      <c r="D587" s="133" t="s">
        <v>330</v>
      </c>
      <c r="E587" s="154">
        <v>42674.0</v>
      </c>
      <c r="F587" s="22" t="str">
        <f t="shared" si="55"/>
        <v>Oct-2016</v>
      </c>
      <c r="G587" s="26" t="s">
        <v>25</v>
      </c>
      <c r="H587" s="25" t="s">
        <v>35</v>
      </c>
      <c r="I587" s="80" t="s">
        <v>142</v>
      </c>
      <c r="J587" s="25" t="s">
        <v>44</v>
      </c>
      <c r="K587" s="25" t="s">
        <v>9</v>
      </c>
      <c r="L587" s="25" t="s">
        <v>24</v>
      </c>
      <c r="M587" s="25"/>
      <c r="N587" s="25" t="s">
        <v>98</v>
      </c>
      <c r="Q587" s="99"/>
    </row>
    <row r="588">
      <c r="A588" s="134" t="s">
        <v>74</v>
      </c>
      <c r="B588" s="134" t="s">
        <v>18</v>
      </c>
      <c r="C588" s="134" t="s">
        <v>74</v>
      </c>
      <c r="D588" s="133" t="s">
        <v>330</v>
      </c>
      <c r="E588" s="154">
        <v>42674.0</v>
      </c>
      <c r="F588" s="22" t="str">
        <f t="shared" si="55"/>
        <v>Oct-2016</v>
      </c>
      <c r="G588" s="25" t="s">
        <v>32</v>
      </c>
      <c r="H588" s="25" t="s">
        <v>35</v>
      </c>
      <c r="I588" s="80" t="s">
        <v>142</v>
      </c>
      <c r="J588" s="25" t="s">
        <v>44</v>
      </c>
      <c r="K588" s="25" t="s">
        <v>9</v>
      </c>
      <c r="L588" s="25" t="s">
        <v>24</v>
      </c>
      <c r="M588" s="25"/>
      <c r="N588" s="25" t="s">
        <v>99</v>
      </c>
      <c r="Q588" s="99"/>
    </row>
    <row r="589">
      <c r="A589" s="140"/>
      <c r="B589" s="134" t="s">
        <v>18</v>
      </c>
      <c r="C589" s="134" t="s">
        <v>74</v>
      </c>
      <c r="D589" s="133" t="s">
        <v>330</v>
      </c>
      <c r="E589" s="154">
        <v>42674.0</v>
      </c>
      <c r="F589" s="13" t="str">
        <f t="shared" si="55"/>
        <v>Oct-2016</v>
      </c>
      <c r="G589" s="13" t="s">
        <v>20</v>
      </c>
      <c r="H589" s="16" t="s">
        <v>35</v>
      </c>
      <c r="I589" s="48" t="s">
        <v>332</v>
      </c>
      <c r="J589" s="16" t="s">
        <v>86</v>
      </c>
      <c r="K589" s="16" t="s">
        <v>9</v>
      </c>
      <c r="L589" s="16" t="s">
        <v>30</v>
      </c>
      <c r="M589" s="16" t="s">
        <v>30</v>
      </c>
      <c r="N589" s="16" t="s">
        <v>98</v>
      </c>
      <c r="O589" s="101"/>
      <c r="P589" s="101"/>
      <c r="Q589" s="102"/>
    </row>
    <row r="590">
      <c r="A590" s="140"/>
      <c r="B590" s="134" t="s">
        <v>18</v>
      </c>
      <c r="C590" s="134" t="s">
        <v>74</v>
      </c>
      <c r="D590" s="133" t="s">
        <v>330</v>
      </c>
      <c r="E590" s="154">
        <v>42674.0</v>
      </c>
      <c r="F590" s="13" t="str">
        <f t="shared" si="55"/>
        <v>Oct-2016</v>
      </c>
      <c r="G590" s="17" t="s">
        <v>25</v>
      </c>
      <c r="H590" s="16" t="s">
        <v>35</v>
      </c>
      <c r="I590" s="48" t="s">
        <v>332</v>
      </c>
      <c r="J590" s="16" t="s">
        <v>86</v>
      </c>
      <c r="K590" s="16" t="s">
        <v>9</v>
      </c>
      <c r="L590" s="16" t="s">
        <v>30</v>
      </c>
      <c r="M590" s="16"/>
      <c r="N590" s="16" t="s">
        <v>106</v>
      </c>
      <c r="O590" s="101"/>
      <c r="P590" s="101"/>
      <c r="Q590" s="102"/>
    </row>
    <row r="591">
      <c r="A591" s="140"/>
      <c r="B591" s="134" t="s">
        <v>18</v>
      </c>
      <c r="C591" s="134" t="s">
        <v>74</v>
      </c>
      <c r="D591" s="133" t="s">
        <v>330</v>
      </c>
      <c r="E591" s="154">
        <v>42674.0</v>
      </c>
      <c r="F591" s="22" t="str">
        <f t="shared" si="55"/>
        <v>Oct-2016</v>
      </c>
      <c r="G591" s="22" t="s">
        <v>20</v>
      </c>
      <c r="H591" s="25" t="s">
        <v>35</v>
      </c>
      <c r="I591" s="80" t="s">
        <v>333</v>
      </c>
      <c r="J591" s="25" t="s">
        <v>64</v>
      </c>
      <c r="K591" s="25" t="s">
        <v>9</v>
      </c>
      <c r="L591" s="25" t="s">
        <v>24</v>
      </c>
      <c r="M591" s="25" t="s">
        <v>24</v>
      </c>
      <c r="N591" s="25" t="s">
        <v>98</v>
      </c>
      <c r="Q591" s="99"/>
    </row>
    <row r="592">
      <c r="A592" s="141"/>
      <c r="B592" s="134" t="s">
        <v>18</v>
      </c>
      <c r="C592" s="134" t="s">
        <v>74</v>
      </c>
      <c r="D592" s="133" t="s">
        <v>330</v>
      </c>
      <c r="E592" s="156">
        <v>42674.0</v>
      </c>
      <c r="F592" s="52" t="str">
        <f t="shared" si="55"/>
        <v>Oct-2016</v>
      </c>
      <c r="G592" s="76" t="s">
        <v>25</v>
      </c>
      <c r="H592" s="55" t="s">
        <v>35</v>
      </c>
      <c r="I592" s="113" t="s">
        <v>333</v>
      </c>
      <c r="J592" s="55" t="s">
        <v>64</v>
      </c>
      <c r="K592" s="55" t="s">
        <v>9</v>
      </c>
      <c r="L592" s="55" t="s">
        <v>24</v>
      </c>
      <c r="M592" s="55"/>
      <c r="N592" s="55" t="s">
        <v>106</v>
      </c>
      <c r="O592" s="143"/>
      <c r="P592" s="143"/>
      <c r="Q592" s="144"/>
    </row>
    <row r="593">
      <c r="A593" s="107"/>
      <c r="B593" s="95"/>
      <c r="C593" s="95"/>
      <c r="D593" s="95"/>
      <c r="E593" s="95"/>
      <c r="I593" s="23"/>
    </row>
    <row r="594">
      <c r="A594" s="133" t="s">
        <v>334</v>
      </c>
      <c r="B594" s="134" t="s">
        <v>34</v>
      </c>
      <c r="C594" s="134" t="s">
        <v>19</v>
      </c>
      <c r="D594" s="133" t="s">
        <v>334</v>
      </c>
      <c r="E594" s="151">
        <v>42679.0</v>
      </c>
      <c r="F594" s="110" t="str">
        <f t="shared" ref="F594:F606" si="56">TEXT(E594, "mmm") &amp; "-" &amp; TEXT(E594, "yyyy") </f>
        <v>Nov-2016</v>
      </c>
      <c r="G594" s="110" t="s">
        <v>20</v>
      </c>
      <c r="H594" s="47" t="s">
        <v>35</v>
      </c>
      <c r="I594" s="79" t="s">
        <v>335</v>
      </c>
      <c r="J594" s="47" t="s">
        <v>23</v>
      </c>
      <c r="K594" s="47" t="s">
        <v>9</v>
      </c>
      <c r="L594" s="47" t="s">
        <v>30</v>
      </c>
      <c r="M594" s="47" t="s">
        <v>30</v>
      </c>
      <c r="N594" s="47" t="s">
        <v>98</v>
      </c>
      <c r="O594" s="152"/>
      <c r="P594" s="152"/>
      <c r="Q594" s="153"/>
    </row>
    <row r="595">
      <c r="A595" s="134" t="s">
        <v>34</v>
      </c>
      <c r="B595" s="134" t="s">
        <v>34</v>
      </c>
      <c r="C595" s="134" t="s">
        <v>19</v>
      </c>
      <c r="D595" s="133" t="s">
        <v>334</v>
      </c>
      <c r="E595" s="154">
        <v>42679.0</v>
      </c>
      <c r="F595" s="13" t="str">
        <f t="shared" si="56"/>
        <v>Nov-2016</v>
      </c>
      <c r="G595" s="17" t="s">
        <v>25</v>
      </c>
      <c r="H595" s="16" t="s">
        <v>35</v>
      </c>
      <c r="I595" s="48" t="s">
        <v>335</v>
      </c>
      <c r="J595" s="16" t="s">
        <v>23</v>
      </c>
      <c r="K595" s="16" t="s">
        <v>9</v>
      </c>
      <c r="L595" s="16" t="s">
        <v>30</v>
      </c>
      <c r="M595" s="16"/>
      <c r="N595" s="16" t="s">
        <v>37</v>
      </c>
      <c r="O595" s="101"/>
      <c r="P595" s="101"/>
      <c r="Q595" s="102"/>
    </row>
    <row r="596">
      <c r="A596" s="134" t="s">
        <v>336</v>
      </c>
      <c r="B596" s="134" t="s">
        <v>34</v>
      </c>
      <c r="C596" s="134" t="s">
        <v>19</v>
      </c>
      <c r="D596" s="133" t="s">
        <v>334</v>
      </c>
      <c r="E596" s="154">
        <v>42679.0</v>
      </c>
      <c r="F596" s="22" t="str">
        <f t="shared" si="56"/>
        <v>Nov-2016</v>
      </c>
      <c r="G596" s="22" t="s">
        <v>20</v>
      </c>
      <c r="H596" s="25" t="s">
        <v>35</v>
      </c>
      <c r="I596" s="80" t="s">
        <v>337</v>
      </c>
      <c r="J596" s="25" t="s">
        <v>338</v>
      </c>
      <c r="K596" s="25" t="s">
        <v>9</v>
      </c>
      <c r="L596" s="25" t="s">
        <v>30</v>
      </c>
      <c r="M596" s="25" t="s">
        <v>30</v>
      </c>
      <c r="N596" s="25" t="s">
        <v>98</v>
      </c>
      <c r="Q596" s="99"/>
    </row>
    <row r="597">
      <c r="A597" s="155">
        <v>42679.0</v>
      </c>
      <c r="B597" s="134" t="s">
        <v>34</v>
      </c>
      <c r="C597" s="134" t="s">
        <v>19</v>
      </c>
      <c r="D597" s="133" t="s">
        <v>334</v>
      </c>
      <c r="E597" s="154">
        <v>42679.0</v>
      </c>
      <c r="F597" s="22" t="str">
        <f t="shared" si="56"/>
        <v>Nov-2016</v>
      </c>
      <c r="G597" s="26" t="s">
        <v>25</v>
      </c>
      <c r="H597" s="25" t="s">
        <v>35</v>
      </c>
      <c r="I597" s="80" t="s">
        <v>337</v>
      </c>
      <c r="J597" s="25" t="s">
        <v>71</v>
      </c>
      <c r="K597" s="25" t="s">
        <v>9</v>
      </c>
      <c r="L597" s="25" t="s">
        <v>30</v>
      </c>
      <c r="M597" s="25"/>
      <c r="N597" s="25" t="s">
        <v>98</v>
      </c>
      <c r="Q597" s="99"/>
    </row>
    <row r="598">
      <c r="A598" s="134" t="s">
        <v>19</v>
      </c>
      <c r="B598" s="134" t="s">
        <v>34</v>
      </c>
      <c r="C598" s="134" t="s">
        <v>19</v>
      </c>
      <c r="D598" s="133" t="s">
        <v>334</v>
      </c>
      <c r="E598" s="154">
        <v>42679.0</v>
      </c>
      <c r="F598" s="13" t="str">
        <f t="shared" si="56"/>
        <v>Nov-2016</v>
      </c>
      <c r="G598" s="13" t="s">
        <v>20</v>
      </c>
      <c r="H598" s="16" t="s">
        <v>35</v>
      </c>
      <c r="I598" s="48" t="s">
        <v>184</v>
      </c>
      <c r="J598" s="16" t="s">
        <v>9</v>
      </c>
      <c r="K598" s="16" t="s">
        <v>9</v>
      </c>
      <c r="L598" s="16" t="s">
        <v>24</v>
      </c>
      <c r="M598" s="16" t="s">
        <v>24</v>
      </c>
      <c r="N598" s="16" t="s">
        <v>98</v>
      </c>
      <c r="O598" s="101"/>
      <c r="P598" s="101"/>
      <c r="Q598" s="102"/>
    </row>
    <row r="599">
      <c r="A599" s="140"/>
      <c r="B599" s="134" t="s">
        <v>34</v>
      </c>
      <c r="C599" s="134" t="s">
        <v>19</v>
      </c>
      <c r="D599" s="133" t="s">
        <v>334</v>
      </c>
      <c r="E599" s="154">
        <v>42679.0</v>
      </c>
      <c r="F599" s="13" t="str">
        <f t="shared" si="56"/>
        <v>Nov-2016</v>
      </c>
      <c r="G599" s="17" t="s">
        <v>25</v>
      </c>
      <c r="H599" s="16" t="s">
        <v>35</v>
      </c>
      <c r="I599" s="48" t="s">
        <v>184</v>
      </c>
      <c r="J599" s="16" t="s">
        <v>9</v>
      </c>
      <c r="K599" s="16" t="s">
        <v>9</v>
      </c>
      <c r="L599" s="16" t="s">
        <v>30</v>
      </c>
      <c r="M599" s="16"/>
      <c r="N599" s="16" t="s">
        <v>99</v>
      </c>
      <c r="O599" s="101"/>
      <c r="P599" s="101"/>
      <c r="Q599" s="102"/>
    </row>
    <row r="600">
      <c r="A600" s="140"/>
      <c r="B600" s="134" t="s">
        <v>34</v>
      </c>
      <c r="C600" s="134" t="s">
        <v>19</v>
      </c>
      <c r="D600" s="133" t="s">
        <v>334</v>
      </c>
      <c r="E600" s="154">
        <v>42679.0</v>
      </c>
      <c r="F600" s="13" t="str">
        <f t="shared" si="56"/>
        <v>Nov-2016</v>
      </c>
      <c r="G600" s="16" t="s">
        <v>32</v>
      </c>
      <c r="H600" s="16" t="s">
        <v>35</v>
      </c>
      <c r="I600" s="48" t="s">
        <v>184</v>
      </c>
      <c r="J600" s="16" t="s">
        <v>44</v>
      </c>
      <c r="K600" s="16" t="s">
        <v>9</v>
      </c>
      <c r="L600" s="16" t="s">
        <v>24</v>
      </c>
      <c r="M600" s="16"/>
      <c r="N600" s="16" t="s">
        <v>69</v>
      </c>
      <c r="O600" s="101"/>
      <c r="P600" s="101"/>
      <c r="Q600" s="102"/>
    </row>
    <row r="601">
      <c r="A601" s="140"/>
      <c r="B601" s="134" t="s">
        <v>34</v>
      </c>
      <c r="C601" s="134" t="s">
        <v>19</v>
      </c>
      <c r="D601" s="133" t="s">
        <v>334</v>
      </c>
      <c r="E601" s="154">
        <v>42679.0</v>
      </c>
      <c r="F601" s="22" t="str">
        <f t="shared" si="56"/>
        <v>Nov-2016</v>
      </c>
      <c r="G601" s="22" t="s">
        <v>20</v>
      </c>
      <c r="H601" s="25" t="s">
        <v>35</v>
      </c>
      <c r="I601" s="80" t="s">
        <v>339</v>
      </c>
      <c r="J601" s="25" t="s">
        <v>27</v>
      </c>
      <c r="K601" s="25" t="s">
        <v>9</v>
      </c>
      <c r="L601" s="25" t="s">
        <v>30</v>
      </c>
      <c r="M601" s="25" t="s">
        <v>30</v>
      </c>
      <c r="N601" s="25" t="s">
        <v>29</v>
      </c>
      <c r="Q601" s="99"/>
    </row>
    <row r="602">
      <c r="A602" s="140"/>
      <c r="B602" s="134" t="s">
        <v>34</v>
      </c>
      <c r="C602" s="134" t="s">
        <v>19</v>
      </c>
      <c r="D602" s="133" t="s">
        <v>334</v>
      </c>
      <c r="E602" s="154">
        <v>42679.0</v>
      </c>
      <c r="F602" s="22" t="str">
        <f t="shared" si="56"/>
        <v>Nov-2016</v>
      </c>
      <c r="G602" s="26" t="s">
        <v>25</v>
      </c>
      <c r="H602" s="25" t="s">
        <v>35</v>
      </c>
      <c r="I602" s="80" t="s">
        <v>339</v>
      </c>
      <c r="J602" s="25" t="s">
        <v>44</v>
      </c>
      <c r="K602" s="25" t="s">
        <v>9</v>
      </c>
      <c r="L602" s="25" t="s">
        <v>30</v>
      </c>
      <c r="M602" s="25"/>
      <c r="N602" s="25" t="s">
        <v>98</v>
      </c>
      <c r="Q602" s="99"/>
    </row>
    <row r="603">
      <c r="A603" s="140"/>
      <c r="B603" s="134" t="s">
        <v>34</v>
      </c>
      <c r="C603" s="134" t="s">
        <v>19</v>
      </c>
      <c r="D603" s="133" t="s">
        <v>334</v>
      </c>
      <c r="E603" s="154">
        <v>42679.0</v>
      </c>
      <c r="F603" s="13" t="str">
        <f t="shared" si="56"/>
        <v>Nov-2016</v>
      </c>
      <c r="G603" s="13" t="s">
        <v>20</v>
      </c>
      <c r="H603" s="16" t="s">
        <v>35</v>
      </c>
      <c r="I603" s="48" t="s">
        <v>340</v>
      </c>
      <c r="J603" s="16" t="s">
        <v>23</v>
      </c>
      <c r="K603" s="16" t="s">
        <v>9</v>
      </c>
      <c r="L603" s="16" t="s">
        <v>30</v>
      </c>
      <c r="M603" s="16" t="s">
        <v>30</v>
      </c>
      <c r="N603" s="16" t="s">
        <v>29</v>
      </c>
      <c r="O603" s="101"/>
      <c r="P603" s="101"/>
      <c r="Q603" s="102"/>
    </row>
    <row r="604">
      <c r="A604" s="140"/>
      <c r="B604" s="134" t="s">
        <v>34</v>
      </c>
      <c r="C604" s="134" t="s">
        <v>19</v>
      </c>
      <c r="D604" s="133" t="s">
        <v>334</v>
      </c>
      <c r="E604" s="154">
        <v>42679.0</v>
      </c>
      <c r="F604" s="13" t="str">
        <f t="shared" si="56"/>
        <v>Nov-2016</v>
      </c>
      <c r="G604" s="17" t="s">
        <v>25</v>
      </c>
      <c r="H604" s="16" t="s">
        <v>35</v>
      </c>
      <c r="I604" s="48" t="s">
        <v>340</v>
      </c>
      <c r="J604" s="16" t="s">
        <v>71</v>
      </c>
      <c r="K604" s="16" t="s">
        <v>9</v>
      </c>
      <c r="L604" s="16" t="s">
        <v>30</v>
      </c>
      <c r="M604" s="16"/>
      <c r="N604" s="16" t="s">
        <v>69</v>
      </c>
      <c r="O604" s="101"/>
      <c r="P604" s="101"/>
      <c r="Q604" s="102"/>
    </row>
    <row r="605">
      <c r="A605" s="140"/>
      <c r="B605" s="134" t="s">
        <v>34</v>
      </c>
      <c r="C605" s="134" t="s">
        <v>19</v>
      </c>
      <c r="D605" s="133" t="s">
        <v>334</v>
      </c>
      <c r="E605" s="154">
        <v>42679.0</v>
      </c>
      <c r="F605" s="22" t="str">
        <f t="shared" si="56"/>
        <v>Nov-2016</v>
      </c>
      <c r="G605" s="22" t="s">
        <v>20</v>
      </c>
      <c r="H605" s="25" t="s">
        <v>35</v>
      </c>
      <c r="I605" s="80" t="s">
        <v>267</v>
      </c>
      <c r="J605" s="25" t="s">
        <v>9</v>
      </c>
      <c r="K605" s="25" t="s">
        <v>9</v>
      </c>
      <c r="L605" s="25" t="s">
        <v>24</v>
      </c>
      <c r="M605" s="25" t="s">
        <v>24</v>
      </c>
      <c r="N605" s="25" t="s">
        <v>99</v>
      </c>
      <c r="Q605" s="99"/>
    </row>
    <row r="606">
      <c r="A606" s="141"/>
      <c r="B606" s="134" t="s">
        <v>34</v>
      </c>
      <c r="C606" s="134" t="s">
        <v>19</v>
      </c>
      <c r="D606" s="133" t="s">
        <v>334</v>
      </c>
      <c r="E606" s="156">
        <v>42679.0</v>
      </c>
      <c r="F606" s="52" t="str">
        <f t="shared" si="56"/>
        <v>Nov-2016</v>
      </c>
      <c r="G606" s="76" t="s">
        <v>25</v>
      </c>
      <c r="H606" s="55" t="s">
        <v>35</v>
      </c>
      <c r="I606" s="113" t="s">
        <v>267</v>
      </c>
      <c r="J606" s="55" t="s">
        <v>9</v>
      </c>
      <c r="K606" s="55" t="s">
        <v>9</v>
      </c>
      <c r="L606" s="55" t="s">
        <v>24</v>
      </c>
      <c r="M606" s="55"/>
      <c r="N606" s="55" t="s">
        <v>99</v>
      </c>
      <c r="O606" s="143"/>
      <c r="P606" s="143"/>
      <c r="Q606" s="144"/>
    </row>
    <row r="607">
      <c r="A607" s="107"/>
      <c r="B607" s="95"/>
      <c r="C607" s="95"/>
      <c r="D607" s="95"/>
      <c r="E607" s="95"/>
      <c r="I607" s="23"/>
    </row>
    <row r="608">
      <c r="A608" s="133" t="s">
        <v>341</v>
      </c>
      <c r="B608" s="134" t="s">
        <v>73</v>
      </c>
      <c r="C608" s="134" t="s">
        <v>84</v>
      </c>
      <c r="D608" s="133" t="s">
        <v>341</v>
      </c>
      <c r="E608" s="155">
        <v>42686.0</v>
      </c>
      <c r="F608" s="110" t="str">
        <f t="shared" ref="F608:F623" si="57">TEXT(E608, "mmm") &amp; "-" &amp; TEXT(E608, "yyyy") </f>
        <v>Nov-2016</v>
      </c>
      <c r="G608" s="110" t="s">
        <v>20</v>
      </c>
      <c r="H608" s="47" t="s">
        <v>35</v>
      </c>
      <c r="I608" s="79" t="s">
        <v>342</v>
      </c>
      <c r="J608" s="47" t="s">
        <v>86</v>
      </c>
      <c r="K608" s="47" t="s">
        <v>9</v>
      </c>
      <c r="L608" s="47" t="s">
        <v>30</v>
      </c>
      <c r="M608" s="47" t="s">
        <v>24</v>
      </c>
      <c r="N608" s="47" t="s">
        <v>98</v>
      </c>
      <c r="O608" s="152"/>
      <c r="P608" s="152"/>
      <c r="Q608" s="153"/>
    </row>
    <row r="609">
      <c r="A609" s="134" t="s">
        <v>73</v>
      </c>
      <c r="B609" s="134" t="s">
        <v>73</v>
      </c>
      <c r="C609" s="134" t="s">
        <v>84</v>
      </c>
      <c r="D609" s="133" t="s">
        <v>341</v>
      </c>
      <c r="E609" s="155">
        <v>42686.0</v>
      </c>
      <c r="F609" s="13" t="str">
        <f t="shared" si="57"/>
        <v>Nov-2016</v>
      </c>
      <c r="G609" s="17" t="s">
        <v>25</v>
      </c>
      <c r="H609" s="16" t="s">
        <v>35</v>
      </c>
      <c r="I609" s="48" t="s">
        <v>342</v>
      </c>
      <c r="J609" s="16" t="s">
        <v>86</v>
      </c>
      <c r="K609" s="16" t="s">
        <v>9</v>
      </c>
      <c r="L609" s="16" t="s">
        <v>24</v>
      </c>
      <c r="M609" s="16"/>
      <c r="N609" s="16" t="s">
        <v>98</v>
      </c>
      <c r="O609" s="101"/>
      <c r="P609" s="101"/>
      <c r="Q609" s="102"/>
    </row>
    <row r="610">
      <c r="A610" s="134" t="s">
        <v>289</v>
      </c>
      <c r="B610" s="134" t="s">
        <v>73</v>
      </c>
      <c r="C610" s="134" t="s">
        <v>84</v>
      </c>
      <c r="D610" s="133" t="s">
        <v>341</v>
      </c>
      <c r="E610" s="155">
        <v>42686.0</v>
      </c>
      <c r="F610" s="13" t="str">
        <f t="shared" si="57"/>
        <v>Nov-2016</v>
      </c>
      <c r="G610" s="16" t="s">
        <v>32</v>
      </c>
      <c r="H610" s="16" t="s">
        <v>35</v>
      </c>
      <c r="I610" s="48" t="s">
        <v>342</v>
      </c>
      <c r="J610" s="16" t="s">
        <v>86</v>
      </c>
      <c r="K610" s="16" t="s">
        <v>9</v>
      </c>
      <c r="L610" s="16" t="s">
        <v>24</v>
      </c>
      <c r="M610" s="16"/>
      <c r="N610" s="16" t="s">
        <v>29</v>
      </c>
      <c r="O610" s="101"/>
      <c r="P610" s="101"/>
      <c r="Q610" s="102"/>
    </row>
    <row r="611">
      <c r="A611" s="155">
        <v>42686.0</v>
      </c>
      <c r="B611" s="134" t="s">
        <v>73</v>
      </c>
      <c r="C611" s="134" t="s">
        <v>84</v>
      </c>
      <c r="D611" s="133" t="s">
        <v>341</v>
      </c>
      <c r="E611" s="155">
        <v>42686.0</v>
      </c>
      <c r="F611" s="22" t="str">
        <f t="shared" si="57"/>
        <v>Nov-2016</v>
      </c>
      <c r="G611" s="22" t="s">
        <v>20</v>
      </c>
      <c r="H611" s="25" t="s">
        <v>35</v>
      </c>
      <c r="I611" s="80" t="s">
        <v>343</v>
      </c>
      <c r="J611" s="25" t="s">
        <v>9</v>
      </c>
      <c r="K611" s="25" t="s">
        <v>9</v>
      </c>
      <c r="L611" s="25" t="s">
        <v>24</v>
      </c>
      <c r="M611" s="25" t="s">
        <v>24</v>
      </c>
      <c r="N611" s="25" t="s">
        <v>98</v>
      </c>
      <c r="Q611" s="99"/>
    </row>
    <row r="612">
      <c r="A612" s="134" t="s">
        <v>84</v>
      </c>
      <c r="B612" s="134" t="s">
        <v>73</v>
      </c>
      <c r="C612" s="134" t="s">
        <v>84</v>
      </c>
      <c r="D612" s="133" t="s">
        <v>341</v>
      </c>
      <c r="E612" s="155">
        <v>42686.0</v>
      </c>
      <c r="F612" s="22" t="str">
        <f t="shared" si="57"/>
        <v>Nov-2016</v>
      </c>
      <c r="G612" s="26" t="s">
        <v>25</v>
      </c>
      <c r="H612" s="25" t="s">
        <v>35</v>
      </c>
      <c r="I612" s="80" t="s">
        <v>343</v>
      </c>
      <c r="J612" s="25" t="s">
        <v>9</v>
      </c>
      <c r="K612" s="25" t="s">
        <v>9</v>
      </c>
      <c r="L612" s="25" t="s">
        <v>24</v>
      </c>
      <c r="M612" s="25"/>
      <c r="N612" s="25" t="s">
        <v>99</v>
      </c>
      <c r="Q612" s="99"/>
    </row>
    <row r="613">
      <c r="A613" s="140"/>
      <c r="B613" s="134" t="s">
        <v>73</v>
      </c>
      <c r="C613" s="134" t="s">
        <v>84</v>
      </c>
      <c r="D613" s="133" t="s">
        <v>341</v>
      </c>
      <c r="E613" s="155">
        <v>42686.0</v>
      </c>
      <c r="F613" s="13" t="str">
        <f t="shared" si="57"/>
        <v>Nov-2016</v>
      </c>
      <c r="G613" s="13" t="s">
        <v>20</v>
      </c>
      <c r="H613" s="16" t="s">
        <v>35</v>
      </c>
      <c r="I613" s="48" t="s">
        <v>288</v>
      </c>
      <c r="J613" s="16" t="s">
        <v>27</v>
      </c>
      <c r="K613" s="16" t="s">
        <v>9</v>
      </c>
      <c r="L613" s="16" t="s">
        <v>30</v>
      </c>
      <c r="M613" s="16" t="s">
        <v>30</v>
      </c>
      <c r="N613" s="16" t="s">
        <v>98</v>
      </c>
      <c r="O613" s="101"/>
      <c r="P613" s="101"/>
      <c r="Q613" s="102"/>
    </row>
    <row r="614">
      <c r="A614" s="140"/>
      <c r="B614" s="134" t="s">
        <v>73</v>
      </c>
      <c r="C614" s="134" t="s">
        <v>84</v>
      </c>
      <c r="D614" s="133" t="s">
        <v>341</v>
      </c>
      <c r="E614" s="155">
        <v>42686.0</v>
      </c>
      <c r="F614" s="13" t="str">
        <f t="shared" si="57"/>
        <v>Nov-2016</v>
      </c>
      <c r="G614" s="17" t="s">
        <v>25</v>
      </c>
      <c r="H614" s="16" t="s">
        <v>35</v>
      </c>
      <c r="I614" s="48" t="s">
        <v>288</v>
      </c>
      <c r="J614" s="16" t="s">
        <v>27</v>
      </c>
      <c r="K614" s="16" t="s">
        <v>9</v>
      </c>
      <c r="L614" s="16" t="s">
        <v>30</v>
      </c>
      <c r="M614" s="16"/>
      <c r="N614" s="16" t="s">
        <v>69</v>
      </c>
      <c r="O614" s="101"/>
      <c r="P614" s="101"/>
      <c r="Q614" s="102"/>
    </row>
    <row r="615">
      <c r="A615" s="140"/>
      <c r="B615" s="134" t="s">
        <v>73</v>
      </c>
      <c r="C615" s="134" t="s">
        <v>84</v>
      </c>
      <c r="D615" s="133" t="s">
        <v>341</v>
      </c>
      <c r="E615" s="155">
        <v>42686.0</v>
      </c>
      <c r="F615" s="22" t="str">
        <f t="shared" si="57"/>
        <v>Nov-2016</v>
      </c>
      <c r="G615" s="22" t="s">
        <v>20</v>
      </c>
      <c r="H615" s="25" t="s">
        <v>35</v>
      </c>
      <c r="I615" s="80" t="s">
        <v>112</v>
      </c>
      <c r="J615" s="25" t="s">
        <v>86</v>
      </c>
      <c r="K615" s="25" t="s">
        <v>9</v>
      </c>
      <c r="L615" s="25" t="s">
        <v>24</v>
      </c>
      <c r="M615" s="25" t="s">
        <v>24</v>
      </c>
      <c r="N615" s="25" t="s">
        <v>29</v>
      </c>
      <c r="Q615" s="99"/>
    </row>
    <row r="616">
      <c r="A616" s="140"/>
      <c r="B616" s="134" t="s">
        <v>73</v>
      </c>
      <c r="C616" s="134" t="s">
        <v>84</v>
      </c>
      <c r="D616" s="133" t="s">
        <v>341</v>
      </c>
      <c r="E616" s="155">
        <v>42686.0</v>
      </c>
      <c r="F616" s="22" t="str">
        <f t="shared" si="57"/>
        <v>Nov-2016</v>
      </c>
      <c r="G616" s="26" t="s">
        <v>25</v>
      </c>
      <c r="H616" s="25" t="s">
        <v>35</v>
      </c>
      <c r="I616" s="80" t="s">
        <v>112</v>
      </c>
      <c r="J616" s="25" t="s">
        <v>86</v>
      </c>
      <c r="K616" s="25" t="s">
        <v>9</v>
      </c>
      <c r="L616" s="25" t="s">
        <v>24</v>
      </c>
      <c r="M616" s="25"/>
      <c r="N616" s="25" t="s">
        <v>69</v>
      </c>
      <c r="Q616" s="99"/>
    </row>
    <row r="617">
      <c r="A617" s="140"/>
      <c r="B617" s="134" t="s">
        <v>73</v>
      </c>
      <c r="C617" s="134" t="s">
        <v>84</v>
      </c>
      <c r="D617" s="133" t="s">
        <v>341</v>
      </c>
      <c r="E617" s="155">
        <v>42686.0</v>
      </c>
      <c r="F617" s="13" t="str">
        <f t="shared" si="57"/>
        <v>Nov-2016</v>
      </c>
      <c r="G617" s="13" t="s">
        <v>20</v>
      </c>
      <c r="H617" s="16" t="s">
        <v>35</v>
      </c>
      <c r="I617" s="48" t="s">
        <v>103</v>
      </c>
      <c r="J617" s="16" t="s">
        <v>9</v>
      </c>
      <c r="K617" s="16" t="s">
        <v>9</v>
      </c>
      <c r="L617" s="16" t="s">
        <v>30</v>
      </c>
      <c r="M617" s="16" t="s">
        <v>24</v>
      </c>
      <c r="N617" s="16" t="s">
        <v>98</v>
      </c>
      <c r="O617" s="101"/>
      <c r="P617" s="101"/>
      <c r="Q617" s="102"/>
    </row>
    <row r="618">
      <c r="A618" s="140"/>
      <c r="B618" s="134" t="s">
        <v>73</v>
      </c>
      <c r="C618" s="134" t="s">
        <v>84</v>
      </c>
      <c r="D618" s="133" t="s">
        <v>341</v>
      </c>
      <c r="E618" s="155">
        <v>42686.0</v>
      </c>
      <c r="F618" s="13" t="str">
        <f t="shared" si="57"/>
        <v>Nov-2016</v>
      </c>
      <c r="G618" s="17" t="s">
        <v>25</v>
      </c>
      <c r="H618" s="16" t="s">
        <v>35</v>
      </c>
      <c r="I618" s="48" t="s">
        <v>103</v>
      </c>
      <c r="J618" s="16" t="s">
        <v>9</v>
      </c>
      <c r="K618" s="16" t="s">
        <v>9</v>
      </c>
      <c r="L618" s="16" t="s">
        <v>24</v>
      </c>
      <c r="M618" s="16"/>
      <c r="N618" s="16" t="s">
        <v>69</v>
      </c>
      <c r="O618" s="101"/>
      <c r="P618" s="101"/>
      <c r="Q618" s="102"/>
    </row>
    <row r="619">
      <c r="A619" s="140"/>
      <c r="B619" s="134" t="s">
        <v>73</v>
      </c>
      <c r="C619" s="134" t="s">
        <v>84</v>
      </c>
      <c r="D619" s="133" t="s">
        <v>341</v>
      </c>
      <c r="E619" s="155">
        <v>42686.0</v>
      </c>
      <c r="F619" s="13" t="str">
        <f t="shared" si="57"/>
        <v>Nov-2016</v>
      </c>
      <c r="G619" s="16" t="s">
        <v>32</v>
      </c>
      <c r="H619" s="16" t="s">
        <v>35</v>
      </c>
      <c r="I619" s="48" t="s">
        <v>103</v>
      </c>
      <c r="J619" s="16" t="s">
        <v>9</v>
      </c>
      <c r="K619" s="16" t="s">
        <v>9</v>
      </c>
      <c r="L619" s="16" t="s">
        <v>24</v>
      </c>
      <c r="M619" s="16"/>
      <c r="N619" s="16" t="s">
        <v>99</v>
      </c>
      <c r="O619" s="101"/>
      <c r="P619" s="101"/>
      <c r="Q619" s="102"/>
    </row>
    <row r="620">
      <c r="A620" s="140"/>
      <c r="B620" s="134" t="s">
        <v>73</v>
      </c>
      <c r="C620" s="134" t="s">
        <v>84</v>
      </c>
      <c r="D620" s="133" t="s">
        <v>341</v>
      </c>
      <c r="E620" s="155">
        <v>42686.0</v>
      </c>
      <c r="F620" s="22" t="str">
        <f t="shared" si="57"/>
        <v>Nov-2016</v>
      </c>
      <c r="G620" s="22" t="s">
        <v>20</v>
      </c>
      <c r="H620" s="25" t="s">
        <v>35</v>
      </c>
      <c r="I620" s="80" t="s">
        <v>229</v>
      </c>
      <c r="J620" s="25" t="s">
        <v>71</v>
      </c>
      <c r="K620" s="25" t="s">
        <v>9</v>
      </c>
      <c r="L620" s="25" t="s">
        <v>30</v>
      </c>
      <c r="M620" s="25" t="s">
        <v>30</v>
      </c>
      <c r="N620" s="25" t="s">
        <v>98</v>
      </c>
      <c r="Q620" s="99"/>
    </row>
    <row r="621">
      <c r="A621" s="140"/>
      <c r="B621" s="134" t="s">
        <v>73</v>
      </c>
      <c r="C621" s="134" t="s">
        <v>84</v>
      </c>
      <c r="D621" s="133" t="s">
        <v>341</v>
      </c>
      <c r="E621" s="155">
        <v>42686.0</v>
      </c>
      <c r="F621" s="22" t="str">
        <f t="shared" si="57"/>
        <v>Nov-2016</v>
      </c>
      <c r="G621" s="26" t="s">
        <v>25</v>
      </c>
      <c r="H621" s="25" t="s">
        <v>35</v>
      </c>
      <c r="I621" s="80" t="s">
        <v>229</v>
      </c>
      <c r="J621" s="25" t="s">
        <v>71</v>
      </c>
      <c r="K621" s="25" t="s">
        <v>9</v>
      </c>
      <c r="L621" s="25" t="s">
        <v>30</v>
      </c>
      <c r="M621" s="25"/>
      <c r="N621" s="25" t="s">
        <v>99</v>
      </c>
      <c r="Q621" s="99"/>
    </row>
    <row r="622">
      <c r="A622" s="140"/>
      <c r="B622" s="134" t="s">
        <v>73</v>
      </c>
      <c r="C622" s="134" t="s">
        <v>84</v>
      </c>
      <c r="D622" s="133" t="s">
        <v>341</v>
      </c>
      <c r="E622" s="155">
        <v>42686.0</v>
      </c>
      <c r="F622" s="13" t="str">
        <f t="shared" si="57"/>
        <v>Nov-2016</v>
      </c>
      <c r="G622" s="13" t="s">
        <v>20</v>
      </c>
      <c r="H622" s="16" t="s">
        <v>35</v>
      </c>
      <c r="I622" s="48" t="s">
        <v>142</v>
      </c>
      <c r="J622" s="16" t="s">
        <v>44</v>
      </c>
      <c r="K622" s="16" t="s">
        <v>9</v>
      </c>
      <c r="L622" s="16" t="s">
        <v>24</v>
      </c>
      <c r="M622" s="16" t="s">
        <v>24</v>
      </c>
      <c r="N622" s="16" t="s">
        <v>98</v>
      </c>
      <c r="O622" s="101"/>
      <c r="P622" s="101"/>
      <c r="Q622" s="102"/>
    </row>
    <row r="623">
      <c r="A623" s="141"/>
      <c r="B623" s="134" t="s">
        <v>73</v>
      </c>
      <c r="C623" s="134" t="s">
        <v>84</v>
      </c>
      <c r="D623" s="133" t="s">
        <v>341</v>
      </c>
      <c r="E623" s="155">
        <v>42686.0</v>
      </c>
      <c r="F623" s="35" t="str">
        <f t="shared" si="57"/>
        <v>Nov-2016</v>
      </c>
      <c r="G623" s="93" t="s">
        <v>25</v>
      </c>
      <c r="H623" s="38" t="s">
        <v>35</v>
      </c>
      <c r="I623" s="122" t="s">
        <v>142</v>
      </c>
      <c r="J623" s="38" t="s">
        <v>44</v>
      </c>
      <c r="K623" s="38" t="s">
        <v>9</v>
      </c>
      <c r="L623" s="38" t="s">
        <v>24</v>
      </c>
      <c r="M623" s="38"/>
      <c r="N623" s="38" t="s">
        <v>69</v>
      </c>
      <c r="O623" s="105"/>
      <c r="P623" s="105"/>
      <c r="Q623" s="106"/>
    </row>
    <row r="624">
      <c r="A624" s="107"/>
      <c r="B624" s="95"/>
      <c r="C624" s="95"/>
      <c r="D624" s="95"/>
      <c r="E624" s="95"/>
      <c r="I624" s="23"/>
    </row>
    <row r="625">
      <c r="A625" s="133" t="s">
        <v>344</v>
      </c>
      <c r="B625" s="134" t="s">
        <v>18</v>
      </c>
      <c r="C625" s="134" t="s">
        <v>74</v>
      </c>
      <c r="D625" s="133" t="s">
        <v>344</v>
      </c>
      <c r="E625" s="187">
        <v>42688.0</v>
      </c>
      <c r="F625" s="85" t="str">
        <f t="shared" ref="F625:F632" si="58">TEXT(E625, "mmm") &amp; "-" &amp; TEXT(E625, "yyyy") </f>
        <v>Nov-2016</v>
      </c>
      <c r="G625" s="85" t="s">
        <v>20</v>
      </c>
      <c r="H625" s="73" t="s">
        <v>35</v>
      </c>
      <c r="I625" s="86" t="s">
        <v>345</v>
      </c>
      <c r="J625" s="73" t="s">
        <v>9</v>
      </c>
      <c r="K625" s="73" t="s">
        <v>9</v>
      </c>
      <c r="L625" s="73" t="s">
        <v>30</v>
      </c>
      <c r="M625" s="73" t="s">
        <v>30</v>
      </c>
      <c r="N625" s="73" t="s">
        <v>98</v>
      </c>
      <c r="O625" s="165"/>
      <c r="P625" s="165"/>
      <c r="Q625" s="166"/>
    </row>
    <row r="626">
      <c r="A626" s="134" t="s">
        <v>18</v>
      </c>
      <c r="B626" s="134" t="s">
        <v>18</v>
      </c>
      <c r="C626" s="134" t="s">
        <v>74</v>
      </c>
      <c r="D626" s="133" t="s">
        <v>344</v>
      </c>
      <c r="E626" s="188">
        <v>42688.0</v>
      </c>
      <c r="F626" s="22" t="str">
        <f t="shared" si="58"/>
        <v>Nov-2016</v>
      </c>
      <c r="G626" s="26" t="s">
        <v>25</v>
      </c>
      <c r="H626" s="25" t="s">
        <v>35</v>
      </c>
      <c r="I626" s="80" t="s">
        <v>345</v>
      </c>
      <c r="J626" s="25" t="s">
        <v>9</v>
      </c>
      <c r="K626" s="25" t="s">
        <v>9</v>
      </c>
      <c r="L626" s="25" t="s">
        <v>30</v>
      </c>
      <c r="M626" s="25"/>
      <c r="N626" s="25" t="s">
        <v>99</v>
      </c>
      <c r="Q626" s="99"/>
    </row>
    <row r="627">
      <c r="A627" s="134" t="s">
        <v>303</v>
      </c>
      <c r="B627" s="134" t="s">
        <v>18</v>
      </c>
      <c r="C627" s="134" t="s">
        <v>74</v>
      </c>
      <c r="D627" s="133" t="s">
        <v>344</v>
      </c>
      <c r="E627" s="188">
        <v>42688.0</v>
      </c>
      <c r="F627" s="13" t="str">
        <f t="shared" si="58"/>
        <v>Nov-2016</v>
      </c>
      <c r="G627" s="13" t="s">
        <v>20</v>
      </c>
      <c r="H627" s="16" t="s">
        <v>35</v>
      </c>
      <c r="I627" s="48" t="s">
        <v>346</v>
      </c>
      <c r="J627" s="16" t="s">
        <v>27</v>
      </c>
      <c r="K627" s="16" t="s">
        <v>9</v>
      </c>
      <c r="L627" s="16" t="s">
        <v>24</v>
      </c>
      <c r="M627" s="16" t="s">
        <v>24</v>
      </c>
      <c r="N627" s="16" t="s">
        <v>98</v>
      </c>
      <c r="O627" s="101"/>
      <c r="P627" s="101"/>
      <c r="Q627" s="102"/>
    </row>
    <row r="628">
      <c r="A628" s="189">
        <v>42688.0</v>
      </c>
      <c r="B628" s="134" t="s">
        <v>18</v>
      </c>
      <c r="C628" s="134" t="s">
        <v>74</v>
      </c>
      <c r="D628" s="133" t="s">
        <v>344</v>
      </c>
      <c r="E628" s="188">
        <v>42688.0</v>
      </c>
      <c r="F628" s="13" t="str">
        <f t="shared" si="58"/>
        <v>Nov-2016</v>
      </c>
      <c r="G628" s="17" t="s">
        <v>25</v>
      </c>
      <c r="H628" s="16" t="s">
        <v>35</v>
      </c>
      <c r="I628" s="48" t="s">
        <v>346</v>
      </c>
      <c r="J628" s="16" t="s">
        <v>44</v>
      </c>
      <c r="K628" s="16" t="s">
        <v>9</v>
      </c>
      <c r="L628" s="16" t="s">
        <v>24</v>
      </c>
      <c r="M628" s="16"/>
      <c r="N628" s="16" t="s">
        <v>29</v>
      </c>
      <c r="O628" s="101"/>
      <c r="P628" s="101"/>
      <c r="Q628" s="102"/>
    </row>
    <row r="629">
      <c r="A629" s="134" t="s">
        <v>74</v>
      </c>
      <c r="B629" s="134" t="s">
        <v>18</v>
      </c>
      <c r="C629" s="134" t="s">
        <v>74</v>
      </c>
      <c r="D629" s="133" t="s">
        <v>344</v>
      </c>
      <c r="E629" s="188">
        <v>42688.0</v>
      </c>
      <c r="F629" s="22" t="str">
        <f t="shared" si="58"/>
        <v>Nov-2016</v>
      </c>
      <c r="G629" s="22" t="s">
        <v>20</v>
      </c>
      <c r="H629" s="25" t="s">
        <v>35</v>
      </c>
      <c r="I629" s="80" t="s">
        <v>347</v>
      </c>
      <c r="J629" s="25" t="s">
        <v>48</v>
      </c>
      <c r="K629" s="25" t="s">
        <v>9</v>
      </c>
      <c r="L629" s="25" t="s">
        <v>30</v>
      </c>
      <c r="M629" s="25" t="s">
        <v>30</v>
      </c>
      <c r="N629" s="25" t="s">
        <v>69</v>
      </c>
      <c r="Q629" s="99"/>
    </row>
    <row r="630">
      <c r="A630" s="140"/>
      <c r="B630" s="134" t="s">
        <v>18</v>
      </c>
      <c r="C630" s="134" t="s">
        <v>74</v>
      </c>
      <c r="D630" s="133" t="s">
        <v>344</v>
      </c>
      <c r="E630" s="188">
        <v>42688.0</v>
      </c>
      <c r="F630" s="22" t="str">
        <f t="shared" si="58"/>
        <v>Nov-2016</v>
      </c>
      <c r="G630" s="26" t="s">
        <v>25</v>
      </c>
      <c r="H630" s="25" t="s">
        <v>35</v>
      </c>
      <c r="I630" s="80" t="s">
        <v>347</v>
      </c>
      <c r="J630" s="25" t="s">
        <v>48</v>
      </c>
      <c r="K630" s="25" t="s">
        <v>9</v>
      </c>
      <c r="L630" s="25" t="s">
        <v>30</v>
      </c>
      <c r="M630" s="25"/>
      <c r="N630" s="25" t="s">
        <v>99</v>
      </c>
      <c r="Q630" s="99"/>
    </row>
    <row r="631">
      <c r="A631" s="140"/>
      <c r="B631" s="134" t="s">
        <v>18</v>
      </c>
      <c r="C631" s="134" t="s">
        <v>74</v>
      </c>
      <c r="D631" s="133" t="s">
        <v>344</v>
      </c>
      <c r="E631" s="188">
        <v>42688.0</v>
      </c>
      <c r="F631" s="13" t="str">
        <f t="shared" si="58"/>
        <v>Nov-2016</v>
      </c>
      <c r="G631" s="13" t="s">
        <v>20</v>
      </c>
      <c r="H631" s="16" t="s">
        <v>35</v>
      </c>
      <c r="I631" s="48" t="s">
        <v>294</v>
      </c>
      <c r="J631" s="16" t="s">
        <v>27</v>
      </c>
      <c r="K631" s="16" t="s">
        <v>9</v>
      </c>
      <c r="L631" s="16" t="s">
        <v>24</v>
      </c>
      <c r="M631" s="16" t="s">
        <v>24</v>
      </c>
      <c r="N631" s="16" t="s">
        <v>98</v>
      </c>
      <c r="O631" s="101"/>
      <c r="P631" s="101"/>
      <c r="Q631" s="102"/>
    </row>
    <row r="632">
      <c r="A632" s="141"/>
      <c r="B632" s="134" t="s">
        <v>18</v>
      </c>
      <c r="C632" s="134" t="s">
        <v>74</v>
      </c>
      <c r="D632" s="133" t="s">
        <v>344</v>
      </c>
      <c r="E632" s="190">
        <v>42688.0</v>
      </c>
      <c r="F632" s="35" t="str">
        <f t="shared" si="58"/>
        <v>Nov-2016</v>
      </c>
      <c r="G632" s="93" t="s">
        <v>25</v>
      </c>
      <c r="H632" s="38" t="s">
        <v>35</v>
      </c>
      <c r="I632" s="122" t="s">
        <v>294</v>
      </c>
      <c r="J632" s="38" t="s">
        <v>27</v>
      </c>
      <c r="K632" s="38" t="s">
        <v>9</v>
      </c>
      <c r="L632" s="38" t="s">
        <v>24</v>
      </c>
      <c r="M632" s="38"/>
      <c r="N632" s="38" t="s">
        <v>29</v>
      </c>
      <c r="O632" s="105"/>
      <c r="P632" s="105"/>
      <c r="Q632" s="106"/>
    </row>
    <row r="633">
      <c r="A633" s="107"/>
      <c r="B633" s="95"/>
      <c r="C633" s="95"/>
      <c r="D633" s="95"/>
      <c r="E633" s="95"/>
      <c r="I633" s="23"/>
    </row>
    <row r="634">
      <c r="A634" s="191" t="s">
        <v>348</v>
      </c>
      <c r="B634" s="192" t="s">
        <v>18</v>
      </c>
      <c r="C634" s="192" t="s">
        <v>116</v>
      </c>
      <c r="D634" s="191" t="s">
        <v>348</v>
      </c>
      <c r="E634" s="135">
        <v>42693.0</v>
      </c>
      <c r="F634" s="85" t="str">
        <f t="shared" ref="F634:F654" si="59">TEXT(E634, "mmm") &amp; "-" &amp; TEXT(E634, "yyyy") </f>
        <v>Nov-2016</v>
      </c>
      <c r="G634" s="85" t="s">
        <v>20</v>
      </c>
      <c r="H634" s="73" t="s">
        <v>287</v>
      </c>
      <c r="I634" s="86" t="s">
        <v>349</v>
      </c>
      <c r="J634" s="73" t="s">
        <v>71</v>
      </c>
      <c r="K634" s="73" t="s">
        <v>9</v>
      </c>
      <c r="L634" s="73" t="s">
        <v>30</v>
      </c>
      <c r="M634" s="73" t="s">
        <v>24</v>
      </c>
      <c r="N634" s="73" t="s">
        <v>99</v>
      </c>
      <c r="O634" s="165"/>
      <c r="P634" s="165"/>
      <c r="Q634" s="193" t="s">
        <v>56</v>
      </c>
    </row>
    <row r="635">
      <c r="A635" s="192" t="s">
        <v>18</v>
      </c>
      <c r="B635" s="192" t="s">
        <v>18</v>
      </c>
      <c r="C635" s="192" t="s">
        <v>116</v>
      </c>
      <c r="D635" s="191" t="s">
        <v>348</v>
      </c>
      <c r="E635" s="137">
        <v>42693.0</v>
      </c>
      <c r="F635" s="22" t="str">
        <f t="shared" si="59"/>
        <v>Nov-2016</v>
      </c>
      <c r="G635" s="26" t="s">
        <v>25</v>
      </c>
      <c r="H635" s="25" t="s">
        <v>287</v>
      </c>
      <c r="I635" s="80" t="s">
        <v>349</v>
      </c>
      <c r="J635" s="25" t="s">
        <v>338</v>
      </c>
      <c r="K635" s="25" t="s">
        <v>9</v>
      </c>
      <c r="L635" s="25" t="s">
        <v>24</v>
      </c>
      <c r="M635" s="25"/>
      <c r="N635" s="25" t="s">
        <v>69</v>
      </c>
      <c r="Q635" s="184" t="s">
        <v>56</v>
      </c>
    </row>
    <row r="636">
      <c r="A636" s="192" t="s">
        <v>350</v>
      </c>
      <c r="B636" s="192" t="s">
        <v>18</v>
      </c>
      <c r="C636" s="192" t="s">
        <v>116</v>
      </c>
      <c r="D636" s="191" t="s">
        <v>348</v>
      </c>
      <c r="E636" s="137">
        <v>42693.0</v>
      </c>
      <c r="F636" s="22" t="str">
        <f t="shared" si="59"/>
        <v>Nov-2016</v>
      </c>
      <c r="G636" s="25" t="s">
        <v>32</v>
      </c>
      <c r="H636" s="25" t="s">
        <v>287</v>
      </c>
      <c r="I636" s="80" t="s">
        <v>349</v>
      </c>
      <c r="J636" s="25" t="s">
        <v>71</v>
      </c>
      <c r="K636" s="25" t="s">
        <v>9</v>
      </c>
      <c r="L636" s="25" t="s">
        <v>24</v>
      </c>
      <c r="M636" s="25"/>
      <c r="N636" s="25" t="s">
        <v>98</v>
      </c>
      <c r="Q636" s="184" t="s">
        <v>56</v>
      </c>
    </row>
    <row r="637">
      <c r="A637" s="194">
        <v>42693.0</v>
      </c>
      <c r="B637" s="192" t="s">
        <v>18</v>
      </c>
      <c r="C637" s="192" t="s">
        <v>116</v>
      </c>
      <c r="D637" s="191" t="s">
        <v>348</v>
      </c>
      <c r="E637" s="137">
        <v>42693.0</v>
      </c>
      <c r="F637" s="13" t="str">
        <f t="shared" si="59"/>
        <v>Nov-2016</v>
      </c>
      <c r="G637" s="13" t="s">
        <v>20</v>
      </c>
      <c r="H637" s="16" t="s">
        <v>287</v>
      </c>
      <c r="I637" s="48" t="s">
        <v>351</v>
      </c>
      <c r="J637" s="16" t="s">
        <v>138</v>
      </c>
      <c r="K637" s="16" t="s">
        <v>9</v>
      </c>
      <c r="L637" s="16" t="s">
        <v>30</v>
      </c>
      <c r="M637" s="16" t="s">
        <v>30</v>
      </c>
      <c r="N637" s="16" t="s">
        <v>69</v>
      </c>
      <c r="O637" s="101"/>
      <c r="P637" s="101"/>
      <c r="Q637" s="102"/>
    </row>
    <row r="638">
      <c r="A638" s="192" t="s">
        <v>116</v>
      </c>
      <c r="B638" s="192" t="s">
        <v>18</v>
      </c>
      <c r="C638" s="192" t="s">
        <v>116</v>
      </c>
      <c r="D638" s="191" t="s">
        <v>348</v>
      </c>
      <c r="E638" s="137">
        <v>42693.0</v>
      </c>
      <c r="F638" s="13" t="str">
        <f t="shared" si="59"/>
        <v>Nov-2016</v>
      </c>
      <c r="G638" s="17" t="s">
        <v>25</v>
      </c>
      <c r="H638" s="16" t="s">
        <v>287</v>
      </c>
      <c r="I638" s="48" t="s">
        <v>351</v>
      </c>
      <c r="J638" s="16" t="s">
        <v>138</v>
      </c>
      <c r="K638" s="16" t="s">
        <v>9</v>
      </c>
      <c r="L638" s="16" t="s">
        <v>30</v>
      </c>
      <c r="M638" s="16"/>
      <c r="N638" s="16" t="s">
        <v>37</v>
      </c>
      <c r="O638" s="101"/>
      <c r="P638" s="101"/>
      <c r="Q638" s="102"/>
    </row>
    <row r="639">
      <c r="A639" s="195"/>
      <c r="B639" s="192" t="s">
        <v>18</v>
      </c>
      <c r="C639" s="192" t="s">
        <v>116</v>
      </c>
      <c r="D639" s="191" t="s">
        <v>348</v>
      </c>
      <c r="E639" s="137">
        <v>42693.0</v>
      </c>
      <c r="F639" s="22" t="str">
        <f t="shared" si="59"/>
        <v>Nov-2016</v>
      </c>
      <c r="G639" s="22" t="s">
        <v>20</v>
      </c>
      <c r="H639" s="25" t="s">
        <v>287</v>
      </c>
      <c r="I639" s="80" t="s">
        <v>352</v>
      </c>
      <c r="J639" s="25" t="s">
        <v>27</v>
      </c>
      <c r="K639" s="25" t="s">
        <v>9</v>
      </c>
      <c r="L639" s="25" t="s">
        <v>30</v>
      </c>
      <c r="M639" s="25" t="s">
        <v>30</v>
      </c>
      <c r="N639" s="25" t="s">
        <v>29</v>
      </c>
      <c r="Q639" s="99"/>
    </row>
    <row r="640">
      <c r="A640" s="195"/>
      <c r="B640" s="192" t="s">
        <v>18</v>
      </c>
      <c r="C640" s="192" t="s">
        <v>116</v>
      </c>
      <c r="D640" s="191" t="s">
        <v>348</v>
      </c>
      <c r="E640" s="137">
        <v>42693.0</v>
      </c>
      <c r="F640" s="22" t="str">
        <f t="shared" si="59"/>
        <v>Nov-2016</v>
      </c>
      <c r="G640" s="26" t="s">
        <v>25</v>
      </c>
      <c r="H640" s="25" t="s">
        <v>287</v>
      </c>
      <c r="I640" s="80" t="s">
        <v>352</v>
      </c>
      <c r="J640" s="25" t="s">
        <v>27</v>
      </c>
      <c r="K640" s="25" t="s">
        <v>9</v>
      </c>
      <c r="L640" s="25" t="s">
        <v>30</v>
      </c>
      <c r="M640" s="25"/>
      <c r="N640" s="25" t="s">
        <v>69</v>
      </c>
      <c r="Q640" s="99"/>
    </row>
    <row r="641">
      <c r="A641" s="195"/>
      <c r="B641" s="192" t="s">
        <v>18</v>
      </c>
      <c r="C641" s="192" t="s">
        <v>116</v>
      </c>
      <c r="D641" s="191" t="s">
        <v>348</v>
      </c>
      <c r="E641" s="137">
        <v>42693.0</v>
      </c>
      <c r="F641" s="13" t="str">
        <f t="shared" si="59"/>
        <v>Nov-2016</v>
      </c>
      <c r="G641" s="13" t="s">
        <v>20</v>
      </c>
      <c r="H641" s="16" t="s">
        <v>287</v>
      </c>
      <c r="I641" s="48" t="s">
        <v>256</v>
      </c>
      <c r="J641" s="16" t="s">
        <v>86</v>
      </c>
      <c r="K641" s="16" t="s">
        <v>9</v>
      </c>
      <c r="L641" s="16" t="s">
        <v>30</v>
      </c>
      <c r="M641" s="16" t="s">
        <v>30</v>
      </c>
      <c r="N641" s="16" t="s">
        <v>69</v>
      </c>
      <c r="O641" s="101"/>
      <c r="P641" s="101"/>
      <c r="Q641" s="102"/>
    </row>
    <row r="642">
      <c r="A642" s="195"/>
      <c r="B642" s="192" t="s">
        <v>18</v>
      </c>
      <c r="C642" s="192" t="s">
        <v>116</v>
      </c>
      <c r="D642" s="191" t="s">
        <v>348</v>
      </c>
      <c r="E642" s="137">
        <v>42693.0</v>
      </c>
      <c r="F642" s="13" t="str">
        <f t="shared" si="59"/>
        <v>Nov-2016</v>
      </c>
      <c r="G642" s="17" t="s">
        <v>25</v>
      </c>
      <c r="H642" s="16" t="s">
        <v>287</v>
      </c>
      <c r="I642" s="48" t="s">
        <v>256</v>
      </c>
      <c r="J642" s="16" t="s">
        <v>86</v>
      </c>
      <c r="K642" s="16" t="s">
        <v>9</v>
      </c>
      <c r="L642" s="16" t="s">
        <v>30</v>
      </c>
      <c r="M642" s="16"/>
      <c r="N642" s="16" t="s">
        <v>69</v>
      </c>
      <c r="O642" s="101"/>
      <c r="P642" s="101"/>
      <c r="Q642" s="102"/>
    </row>
    <row r="643">
      <c r="A643" s="195"/>
      <c r="B643" s="192" t="s">
        <v>18</v>
      </c>
      <c r="C643" s="192" t="s">
        <v>116</v>
      </c>
      <c r="D643" s="191" t="s">
        <v>348</v>
      </c>
      <c r="E643" s="137">
        <v>42693.0</v>
      </c>
      <c r="F643" s="22" t="str">
        <f t="shared" si="59"/>
        <v>Nov-2016</v>
      </c>
      <c r="G643" s="22" t="s">
        <v>20</v>
      </c>
      <c r="H643" s="25" t="s">
        <v>287</v>
      </c>
      <c r="I643" s="80" t="s">
        <v>353</v>
      </c>
      <c r="J643" s="25" t="s">
        <v>23</v>
      </c>
      <c r="K643" s="25" t="s">
        <v>9</v>
      </c>
      <c r="L643" s="25" t="s">
        <v>30</v>
      </c>
      <c r="M643" s="25" t="s">
        <v>30</v>
      </c>
      <c r="N643" s="25" t="s">
        <v>98</v>
      </c>
      <c r="Q643" s="99"/>
    </row>
    <row r="644">
      <c r="A644" s="195"/>
      <c r="B644" s="192" t="s">
        <v>18</v>
      </c>
      <c r="C644" s="192" t="s">
        <v>116</v>
      </c>
      <c r="D644" s="191" t="s">
        <v>348</v>
      </c>
      <c r="E644" s="137">
        <v>42693.0</v>
      </c>
      <c r="F644" s="22" t="str">
        <f t="shared" si="59"/>
        <v>Nov-2016</v>
      </c>
      <c r="G644" s="26" t="s">
        <v>25</v>
      </c>
      <c r="H644" s="25" t="s">
        <v>287</v>
      </c>
      <c r="I644" s="80" t="s">
        <v>353</v>
      </c>
      <c r="J644" s="25" t="s">
        <v>23</v>
      </c>
      <c r="K644" s="25" t="s">
        <v>9</v>
      </c>
      <c r="L644" s="25" t="s">
        <v>30</v>
      </c>
      <c r="M644" s="25"/>
      <c r="N644" s="25" t="s">
        <v>98</v>
      </c>
      <c r="Q644" s="99"/>
    </row>
    <row r="645">
      <c r="A645" s="195"/>
      <c r="B645" s="192" t="s">
        <v>18</v>
      </c>
      <c r="C645" s="192" t="s">
        <v>116</v>
      </c>
      <c r="D645" s="191" t="s">
        <v>348</v>
      </c>
      <c r="E645" s="137">
        <v>42693.0</v>
      </c>
      <c r="F645" s="13" t="str">
        <f t="shared" si="59"/>
        <v>Nov-2016</v>
      </c>
      <c r="G645" s="13" t="s">
        <v>20</v>
      </c>
      <c r="H645" s="16" t="s">
        <v>287</v>
      </c>
      <c r="I645" s="48" t="s">
        <v>354</v>
      </c>
      <c r="J645" s="16" t="s">
        <v>9</v>
      </c>
      <c r="K645" s="16" t="s">
        <v>9</v>
      </c>
      <c r="L645" s="16" t="s">
        <v>24</v>
      </c>
      <c r="M645" s="16" t="s">
        <v>24</v>
      </c>
      <c r="N645" s="16" t="s">
        <v>98</v>
      </c>
      <c r="O645" s="101"/>
      <c r="P645" s="101"/>
      <c r="Q645" s="102"/>
    </row>
    <row r="646">
      <c r="A646" s="195"/>
      <c r="B646" s="192" t="s">
        <v>18</v>
      </c>
      <c r="C646" s="192" t="s">
        <v>116</v>
      </c>
      <c r="D646" s="191" t="s">
        <v>348</v>
      </c>
      <c r="E646" s="137">
        <v>42693.0</v>
      </c>
      <c r="F646" s="13" t="str">
        <f t="shared" si="59"/>
        <v>Nov-2016</v>
      </c>
      <c r="G646" s="17" t="s">
        <v>25</v>
      </c>
      <c r="H646" s="16" t="s">
        <v>287</v>
      </c>
      <c r="I646" s="48" t="s">
        <v>354</v>
      </c>
      <c r="J646" s="16" t="s">
        <v>9</v>
      </c>
      <c r="K646" s="16" t="s">
        <v>9</v>
      </c>
      <c r="L646" s="16" t="s">
        <v>24</v>
      </c>
      <c r="M646" s="16"/>
      <c r="N646" s="16" t="s">
        <v>106</v>
      </c>
      <c r="O646" s="101"/>
      <c r="P646" s="101"/>
      <c r="Q646" s="102"/>
    </row>
    <row r="647">
      <c r="A647" s="195"/>
      <c r="B647" s="192" t="s">
        <v>18</v>
      </c>
      <c r="C647" s="192" t="s">
        <v>116</v>
      </c>
      <c r="D647" s="191" t="s">
        <v>348</v>
      </c>
      <c r="E647" s="137">
        <v>42693.0</v>
      </c>
      <c r="F647" s="22" t="str">
        <f t="shared" si="59"/>
        <v>Nov-2016</v>
      </c>
      <c r="G647" s="22" t="s">
        <v>20</v>
      </c>
      <c r="H647" s="25" t="s">
        <v>287</v>
      </c>
      <c r="I647" s="80" t="s">
        <v>355</v>
      </c>
      <c r="J647" s="25" t="s">
        <v>9</v>
      </c>
      <c r="K647" s="25" t="s">
        <v>9</v>
      </c>
      <c r="L647" s="25" t="s">
        <v>24</v>
      </c>
      <c r="M647" s="25" t="s">
        <v>24</v>
      </c>
      <c r="N647" s="25" t="s">
        <v>98</v>
      </c>
      <c r="Q647" s="99"/>
    </row>
    <row r="648">
      <c r="A648" s="195"/>
      <c r="B648" s="192" t="s">
        <v>18</v>
      </c>
      <c r="C648" s="192" t="s">
        <v>116</v>
      </c>
      <c r="D648" s="191" t="s">
        <v>348</v>
      </c>
      <c r="E648" s="137">
        <v>42693.0</v>
      </c>
      <c r="F648" s="22" t="str">
        <f t="shared" si="59"/>
        <v>Nov-2016</v>
      </c>
      <c r="G648" s="26" t="s">
        <v>25</v>
      </c>
      <c r="H648" s="25" t="s">
        <v>287</v>
      </c>
      <c r="I648" s="80" t="s">
        <v>355</v>
      </c>
      <c r="J648" s="25" t="s">
        <v>9</v>
      </c>
      <c r="K648" s="25" t="s">
        <v>9</v>
      </c>
      <c r="L648" s="25" t="s">
        <v>24</v>
      </c>
      <c r="M648" s="25"/>
      <c r="N648" s="25" t="s">
        <v>99</v>
      </c>
      <c r="Q648" s="99"/>
    </row>
    <row r="649">
      <c r="A649" s="195"/>
      <c r="B649" s="192" t="s">
        <v>18</v>
      </c>
      <c r="C649" s="192" t="s">
        <v>116</v>
      </c>
      <c r="D649" s="191" t="s">
        <v>348</v>
      </c>
      <c r="E649" s="137">
        <v>42693.0</v>
      </c>
      <c r="F649" s="13" t="str">
        <f t="shared" si="59"/>
        <v>Nov-2016</v>
      </c>
      <c r="G649" s="13" t="s">
        <v>20</v>
      </c>
      <c r="H649" s="16" t="s">
        <v>287</v>
      </c>
      <c r="I649" s="48" t="s">
        <v>356</v>
      </c>
      <c r="J649" s="16" t="s">
        <v>27</v>
      </c>
      <c r="K649" s="16" t="s">
        <v>9</v>
      </c>
      <c r="L649" s="16" t="s">
        <v>30</v>
      </c>
      <c r="M649" s="16" t="s">
        <v>30</v>
      </c>
      <c r="N649" s="16" t="s">
        <v>98</v>
      </c>
      <c r="O649" s="101"/>
      <c r="P649" s="101"/>
      <c r="Q649" s="102"/>
    </row>
    <row r="650">
      <c r="A650" s="195"/>
      <c r="B650" s="192" t="s">
        <v>18</v>
      </c>
      <c r="C650" s="192" t="s">
        <v>116</v>
      </c>
      <c r="D650" s="191" t="s">
        <v>348</v>
      </c>
      <c r="E650" s="137">
        <v>42693.0</v>
      </c>
      <c r="F650" s="13" t="str">
        <f t="shared" si="59"/>
        <v>Nov-2016</v>
      </c>
      <c r="G650" s="17" t="s">
        <v>25</v>
      </c>
      <c r="H650" s="16" t="s">
        <v>287</v>
      </c>
      <c r="I650" s="48" t="s">
        <v>356</v>
      </c>
      <c r="J650" s="16" t="s">
        <v>27</v>
      </c>
      <c r="K650" s="16" t="s">
        <v>9</v>
      </c>
      <c r="L650" s="16" t="s">
        <v>30</v>
      </c>
      <c r="M650" s="16"/>
      <c r="N650" s="16" t="s">
        <v>69</v>
      </c>
      <c r="O650" s="101"/>
      <c r="P650" s="101"/>
      <c r="Q650" s="102"/>
    </row>
    <row r="651">
      <c r="A651" s="195"/>
      <c r="B651" s="192" t="s">
        <v>18</v>
      </c>
      <c r="C651" s="192" t="s">
        <v>116</v>
      </c>
      <c r="D651" s="191" t="s">
        <v>348</v>
      </c>
      <c r="E651" s="137">
        <v>42693.0</v>
      </c>
      <c r="F651" s="22" t="str">
        <f t="shared" si="59"/>
        <v>Nov-2016</v>
      </c>
      <c r="G651" s="22" t="s">
        <v>20</v>
      </c>
      <c r="H651" s="25" t="s">
        <v>287</v>
      </c>
      <c r="I651" s="80" t="s">
        <v>233</v>
      </c>
      <c r="J651" s="25" t="s">
        <v>27</v>
      </c>
      <c r="K651" s="25" t="s">
        <v>9</v>
      </c>
      <c r="L651" s="25" t="s">
        <v>30</v>
      </c>
      <c r="M651" s="25" t="s">
        <v>30</v>
      </c>
      <c r="N651" s="25" t="s">
        <v>98</v>
      </c>
      <c r="Q651" s="99"/>
    </row>
    <row r="652">
      <c r="A652" s="195"/>
      <c r="B652" s="192" t="s">
        <v>18</v>
      </c>
      <c r="C652" s="192" t="s">
        <v>116</v>
      </c>
      <c r="D652" s="191" t="s">
        <v>348</v>
      </c>
      <c r="E652" s="137">
        <v>42693.0</v>
      </c>
      <c r="F652" s="22" t="str">
        <f t="shared" si="59"/>
        <v>Nov-2016</v>
      </c>
      <c r="G652" s="26" t="s">
        <v>25</v>
      </c>
      <c r="H652" s="25" t="s">
        <v>287</v>
      </c>
      <c r="I652" s="80" t="s">
        <v>233</v>
      </c>
      <c r="J652" s="25" t="s">
        <v>27</v>
      </c>
      <c r="K652" s="25" t="s">
        <v>9</v>
      </c>
      <c r="L652" s="25" t="s">
        <v>30</v>
      </c>
      <c r="M652" s="25"/>
      <c r="N652" s="25" t="s">
        <v>69</v>
      </c>
      <c r="Q652" s="99"/>
    </row>
    <row r="653">
      <c r="A653" s="195"/>
      <c r="B653" s="192" t="s">
        <v>18</v>
      </c>
      <c r="C653" s="192" t="s">
        <v>116</v>
      </c>
      <c r="D653" s="191" t="s">
        <v>348</v>
      </c>
      <c r="E653" s="137">
        <v>42693.0</v>
      </c>
      <c r="F653" s="13" t="str">
        <f t="shared" si="59"/>
        <v>Nov-2016</v>
      </c>
      <c r="G653" s="13" t="s">
        <v>20</v>
      </c>
      <c r="H653" s="16" t="s">
        <v>357</v>
      </c>
      <c r="I653" s="48" t="s">
        <v>358</v>
      </c>
      <c r="J653" s="16" t="s">
        <v>23</v>
      </c>
      <c r="K653" s="16" t="s">
        <v>9</v>
      </c>
      <c r="L653" s="16" t="s">
        <v>24</v>
      </c>
      <c r="M653" s="16" t="s">
        <v>24</v>
      </c>
      <c r="N653" s="16" t="s">
        <v>98</v>
      </c>
      <c r="O653" s="101"/>
      <c r="P653" s="101"/>
      <c r="Q653" s="102"/>
    </row>
    <row r="654">
      <c r="A654" s="196"/>
      <c r="B654" s="192" t="s">
        <v>18</v>
      </c>
      <c r="C654" s="192" t="s">
        <v>116</v>
      </c>
      <c r="D654" s="191" t="s">
        <v>348</v>
      </c>
      <c r="E654" s="142">
        <v>42693.0</v>
      </c>
      <c r="F654" s="35" t="str">
        <f t="shared" si="59"/>
        <v>Nov-2016</v>
      </c>
      <c r="G654" s="93" t="s">
        <v>25</v>
      </c>
      <c r="H654" s="38" t="s">
        <v>357</v>
      </c>
      <c r="I654" s="122" t="s">
        <v>358</v>
      </c>
      <c r="J654" s="38" t="s">
        <v>23</v>
      </c>
      <c r="K654" s="38" t="s">
        <v>9</v>
      </c>
      <c r="L654" s="38" t="s">
        <v>24</v>
      </c>
      <c r="M654" s="38"/>
      <c r="N654" s="38" t="s">
        <v>106</v>
      </c>
      <c r="O654" s="105"/>
      <c r="P654" s="105"/>
      <c r="Q654" s="106"/>
    </row>
    <row r="655">
      <c r="A655" s="107"/>
      <c r="B655" s="95"/>
      <c r="C655" s="95"/>
      <c r="D655" s="95"/>
      <c r="E655" s="95"/>
      <c r="I655" s="23"/>
    </row>
    <row r="656">
      <c r="A656" s="133" t="s">
        <v>359</v>
      </c>
      <c r="B656" s="134" t="s">
        <v>18</v>
      </c>
      <c r="C656" s="134" t="s">
        <v>74</v>
      </c>
      <c r="D656" s="133" t="s">
        <v>359</v>
      </c>
      <c r="E656" s="187">
        <v>42704.0</v>
      </c>
      <c r="F656" s="85" t="str">
        <f t="shared" ref="F656:F667" si="60">TEXT(E656, "mmm") &amp; "-" &amp; TEXT(E656, "yyyy") </f>
        <v>Nov-2016</v>
      </c>
      <c r="G656" s="85" t="s">
        <v>20</v>
      </c>
      <c r="H656" s="73" t="s">
        <v>35</v>
      </c>
      <c r="I656" s="86" t="s">
        <v>276</v>
      </c>
      <c r="J656" s="73" t="s">
        <v>48</v>
      </c>
      <c r="K656" s="73" t="s">
        <v>9</v>
      </c>
      <c r="L656" s="73" t="s">
        <v>30</v>
      </c>
      <c r="M656" s="73" t="s">
        <v>30</v>
      </c>
      <c r="N656" s="73" t="s">
        <v>98</v>
      </c>
      <c r="O656" s="165"/>
      <c r="P656" s="165"/>
      <c r="Q656" s="166"/>
    </row>
    <row r="657">
      <c r="A657" s="134" t="s">
        <v>18</v>
      </c>
      <c r="B657" s="134" t="s">
        <v>18</v>
      </c>
      <c r="C657" s="134" t="s">
        <v>74</v>
      </c>
      <c r="D657" s="133" t="s">
        <v>359</v>
      </c>
      <c r="E657" s="187">
        <v>42704.0</v>
      </c>
      <c r="F657" s="22" t="str">
        <f t="shared" si="60"/>
        <v>Nov-2016</v>
      </c>
      <c r="G657" s="26" t="s">
        <v>25</v>
      </c>
      <c r="H657" s="25" t="s">
        <v>35</v>
      </c>
      <c r="I657" s="80" t="s">
        <v>276</v>
      </c>
      <c r="J657" s="25" t="s">
        <v>48</v>
      </c>
      <c r="K657" s="25" t="s">
        <v>9</v>
      </c>
      <c r="L657" s="25" t="s">
        <v>30</v>
      </c>
      <c r="M657" s="25"/>
      <c r="N657" s="25" t="s">
        <v>99</v>
      </c>
      <c r="Q657" s="99"/>
    </row>
    <row r="658">
      <c r="A658" s="134" t="s">
        <v>331</v>
      </c>
      <c r="B658" s="134" t="s">
        <v>18</v>
      </c>
      <c r="C658" s="134" t="s">
        <v>74</v>
      </c>
      <c r="D658" s="133" t="s">
        <v>359</v>
      </c>
      <c r="E658" s="187">
        <v>42704.0</v>
      </c>
      <c r="F658" s="13" t="str">
        <f t="shared" si="60"/>
        <v>Nov-2016</v>
      </c>
      <c r="G658" s="13" t="s">
        <v>20</v>
      </c>
      <c r="H658" s="16" t="s">
        <v>35</v>
      </c>
      <c r="I658" s="48" t="s">
        <v>184</v>
      </c>
      <c r="J658" s="16" t="s">
        <v>9</v>
      </c>
      <c r="K658" s="16" t="s">
        <v>9</v>
      </c>
      <c r="L658" s="16" t="s">
        <v>24</v>
      </c>
      <c r="M658" s="16" t="s">
        <v>24</v>
      </c>
      <c r="N658" s="16" t="s">
        <v>98</v>
      </c>
      <c r="O658" s="101"/>
      <c r="P658" s="101"/>
      <c r="Q658" s="102"/>
    </row>
    <row r="659">
      <c r="A659" s="189">
        <v>42704.0</v>
      </c>
      <c r="B659" s="134" t="s">
        <v>18</v>
      </c>
      <c r="C659" s="134" t="s">
        <v>74</v>
      </c>
      <c r="D659" s="133" t="s">
        <v>359</v>
      </c>
      <c r="E659" s="187">
        <v>42704.0</v>
      </c>
      <c r="F659" s="13" t="str">
        <f t="shared" si="60"/>
        <v>Nov-2016</v>
      </c>
      <c r="G659" s="17" t="s">
        <v>25</v>
      </c>
      <c r="H659" s="16" t="s">
        <v>35</v>
      </c>
      <c r="I659" s="48" t="s">
        <v>184</v>
      </c>
      <c r="J659" s="16" t="s">
        <v>44</v>
      </c>
      <c r="K659" s="16" t="s">
        <v>9</v>
      </c>
      <c r="L659" s="16" t="s">
        <v>30</v>
      </c>
      <c r="M659" s="16"/>
      <c r="N659" s="16" t="s">
        <v>99</v>
      </c>
      <c r="O659" s="101"/>
      <c r="P659" s="101"/>
      <c r="Q659" s="102"/>
    </row>
    <row r="660">
      <c r="A660" s="134" t="s">
        <v>74</v>
      </c>
      <c r="B660" s="134" t="s">
        <v>18</v>
      </c>
      <c r="C660" s="134" t="s">
        <v>74</v>
      </c>
      <c r="D660" s="133" t="s">
        <v>359</v>
      </c>
      <c r="E660" s="187">
        <v>42704.0</v>
      </c>
      <c r="F660" s="13" t="str">
        <f t="shared" si="60"/>
        <v>Nov-2016</v>
      </c>
      <c r="G660" s="16" t="s">
        <v>32</v>
      </c>
      <c r="H660" s="16" t="s">
        <v>35</v>
      </c>
      <c r="I660" s="48" t="s">
        <v>184</v>
      </c>
      <c r="J660" s="16" t="s">
        <v>44</v>
      </c>
      <c r="K660" s="16" t="s">
        <v>9</v>
      </c>
      <c r="L660" s="16" t="s">
        <v>24</v>
      </c>
      <c r="M660" s="16"/>
      <c r="N660" s="16" t="s">
        <v>69</v>
      </c>
      <c r="O660" s="101"/>
      <c r="P660" s="101"/>
      <c r="Q660" s="102"/>
    </row>
    <row r="661">
      <c r="A661" s="140"/>
      <c r="B661" s="134" t="s">
        <v>18</v>
      </c>
      <c r="C661" s="134" t="s">
        <v>74</v>
      </c>
      <c r="D661" s="133" t="s">
        <v>359</v>
      </c>
      <c r="E661" s="187">
        <v>42704.0</v>
      </c>
      <c r="F661" s="22" t="str">
        <f t="shared" si="60"/>
        <v>Nov-2016</v>
      </c>
      <c r="G661" s="22" t="s">
        <v>20</v>
      </c>
      <c r="H661" s="25" t="s">
        <v>35</v>
      </c>
      <c r="I661" s="80" t="s">
        <v>360</v>
      </c>
      <c r="J661" s="25" t="s">
        <v>216</v>
      </c>
      <c r="K661" s="25" t="s">
        <v>9</v>
      </c>
      <c r="L661" s="25" t="s">
        <v>30</v>
      </c>
      <c r="M661" s="25" t="s">
        <v>30</v>
      </c>
      <c r="N661" s="25" t="s">
        <v>69</v>
      </c>
      <c r="Q661" s="99"/>
    </row>
    <row r="662">
      <c r="A662" s="140"/>
      <c r="B662" s="134" t="s">
        <v>18</v>
      </c>
      <c r="C662" s="134" t="s">
        <v>74</v>
      </c>
      <c r="D662" s="133" t="s">
        <v>359</v>
      </c>
      <c r="E662" s="187">
        <v>42704.0</v>
      </c>
      <c r="F662" s="22" t="str">
        <f t="shared" si="60"/>
        <v>Nov-2016</v>
      </c>
      <c r="G662" s="26" t="s">
        <v>25</v>
      </c>
      <c r="H662" s="25" t="s">
        <v>35</v>
      </c>
      <c r="I662" s="80" t="s">
        <v>360</v>
      </c>
      <c r="J662" s="25" t="s">
        <v>44</v>
      </c>
      <c r="K662" s="25" t="s">
        <v>9</v>
      </c>
      <c r="L662" s="25" t="s">
        <v>30</v>
      </c>
      <c r="M662" s="25"/>
      <c r="N662" s="25" t="s">
        <v>69</v>
      </c>
      <c r="Q662" s="99"/>
    </row>
    <row r="663">
      <c r="A663" s="140"/>
      <c r="B663" s="134" t="s">
        <v>18</v>
      </c>
      <c r="C663" s="134" t="s">
        <v>74</v>
      </c>
      <c r="D663" s="133" t="s">
        <v>359</v>
      </c>
      <c r="E663" s="187">
        <v>42704.0</v>
      </c>
      <c r="F663" s="13" t="str">
        <f t="shared" si="60"/>
        <v>Nov-2016</v>
      </c>
      <c r="G663" s="13" t="s">
        <v>20</v>
      </c>
      <c r="H663" s="16" t="s">
        <v>35</v>
      </c>
      <c r="I663" s="48" t="s">
        <v>361</v>
      </c>
      <c r="J663" s="16" t="s">
        <v>44</v>
      </c>
      <c r="K663" s="16" t="s">
        <v>9</v>
      </c>
      <c r="L663" s="16" t="s">
        <v>30</v>
      </c>
      <c r="M663" s="16" t="s">
        <v>30</v>
      </c>
      <c r="N663" s="16" t="s">
        <v>98</v>
      </c>
      <c r="O663" s="101"/>
      <c r="P663" s="101"/>
      <c r="Q663" s="102"/>
    </row>
    <row r="664">
      <c r="A664" s="140"/>
      <c r="B664" s="134" t="s">
        <v>18</v>
      </c>
      <c r="C664" s="134" t="s">
        <v>74</v>
      </c>
      <c r="D664" s="133" t="s">
        <v>359</v>
      </c>
      <c r="E664" s="187">
        <v>42704.0</v>
      </c>
      <c r="F664" s="13" t="str">
        <f t="shared" si="60"/>
        <v>Nov-2016</v>
      </c>
      <c r="G664" s="17" t="s">
        <v>25</v>
      </c>
      <c r="H664" s="16" t="s">
        <v>35</v>
      </c>
      <c r="I664" s="48" t="s">
        <v>361</v>
      </c>
      <c r="J664" s="16" t="s">
        <v>44</v>
      </c>
      <c r="K664" s="16" t="s">
        <v>9</v>
      </c>
      <c r="L664" s="16" t="s">
        <v>24</v>
      </c>
      <c r="M664" s="16"/>
      <c r="N664" s="16" t="s">
        <v>69</v>
      </c>
      <c r="O664" s="101"/>
      <c r="P664" s="101"/>
      <c r="Q664" s="102"/>
    </row>
    <row r="665">
      <c r="A665" s="140"/>
      <c r="B665" s="134" t="s">
        <v>18</v>
      </c>
      <c r="C665" s="134" t="s">
        <v>74</v>
      </c>
      <c r="D665" s="133" t="s">
        <v>359</v>
      </c>
      <c r="E665" s="187">
        <v>42704.0</v>
      </c>
      <c r="F665" s="13" t="str">
        <f t="shared" si="60"/>
        <v>Nov-2016</v>
      </c>
      <c r="G665" s="16" t="s">
        <v>32</v>
      </c>
      <c r="H665" s="16" t="s">
        <v>35</v>
      </c>
      <c r="I665" s="48" t="s">
        <v>361</v>
      </c>
      <c r="J665" s="16" t="s">
        <v>44</v>
      </c>
      <c r="K665" s="16" t="s">
        <v>9</v>
      </c>
      <c r="L665" s="16" t="s">
        <v>30</v>
      </c>
      <c r="M665" s="16"/>
      <c r="N665" s="16" t="s">
        <v>69</v>
      </c>
      <c r="O665" s="101"/>
      <c r="P665" s="101"/>
      <c r="Q665" s="102"/>
    </row>
    <row r="666">
      <c r="A666" s="140"/>
      <c r="B666" s="134" t="s">
        <v>18</v>
      </c>
      <c r="C666" s="134" t="s">
        <v>74</v>
      </c>
      <c r="D666" s="133" t="s">
        <v>359</v>
      </c>
      <c r="E666" s="187">
        <v>42704.0</v>
      </c>
      <c r="F666" s="22" t="str">
        <f t="shared" si="60"/>
        <v>Nov-2016</v>
      </c>
      <c r="G666" s="22" t="s">
        <v>20</v>
      </c>
      <c r="H666" s="25" t="s">
        <v>35</v>
      </c>
      <c r="I666" s="80" t="s">
        <v>354</v>
      </c>
      <c r="J666" s="25" t="s">
        <v>9</v>
      </c>
      <c r="K666" s="25" t="s">
        <v>9</v>
      </c>
      <c r="L666" s="25" t="s">
        <v>24</v>
      </c>
      <c r="M666" s="25" t="s">
        <v>24</v>
      </c>
      <c r="N666" s="25" t="s">
        <v>98</v>
      </c>
      <c r="Q666" s="99"/>
    </row>
    <row r="667">
      <c r="A667" s="141"/>
      <c r="B667" s="134" t="s">
        <v>18</v>
      </c>
      <c r="C667" s="134" t="s">
        <v>74</v>
      </c>
      <c r="D667" s="133" t="s">
        <v>359</v>
      </c>
      <c r="E667" s="197">
        <v>42704.0</v>
      </c>
      <c r="F667" s="52" t="str">
        <f t="shared" si="60"/>
        <v>Nov-2016</v>
      </c>
      <c r="G667" s="76" t="s">
        <v>25</v>
      </c>
      <c r="H667" s="55" t="s">
        <v>35</v>
      </c>
      <c r="I667" s="113" t="s">
        <v>354</v>
      </c>
      <c r="J667" s="55" t="s">
        <v>9</v>
      </c>
      <c r="K667" s="55" t="s">
        <v>9</v>
      </c>
      <c r="L667" s="55" t="s">
        <v>24</v>
      </c>
      <c r="M667" s="55"/>
      <c r="N667" s="55" t="s">
        <v>69</v>
      </c>
      <c r="O667" s="143"/>
      <c r="P667" s="143"/>
      <c r="Q667" s="144"/>
    </row>
    <row r="668">
      <c r="A668" s="107"/>
      <c r="B668" s="95"/>
      <c r="C668" s="95"/>
      <c r="D668" s="95"/>
      <c r="E668" s="95"/>
      <c r="I668" s="23"/>
    </row>
    <row r="669">
      <c r="A669" s="133" t="s">
        <v>362</v>
      </c>
      <c r="B669" s="134" t="s">
        <v>18</v>
      </c>
      <c r="C669" s="134" t="s">
        <v>74</v>
      </c>
      <c r="D669" s="133" t="s">
        <v>362</v>
      </c>
      <c r="E669" s="187">
        <v>42711.0</v>
      </c>
      <c r="F669" s="85" t="str">
        <f t="shared" ref="F669:F678" si="61">TEXT(E669, "mmm") &amp; "-" &amp; TEXT(E669, "yyyy") </f>
        <v>Dec-2016</v>
      </c>
      <c r="G669" s="85" t="s">
        <v>20</v>
      </c>
      <c r="H669" s="73" t="s">
        <v>35</v>
      </c>
      <c r="I669" s="86" t="s">
        <v>363</v>
      </c>
      <c r="J669" s="73" t="s">
        <v>44</v>
      </c>
      <c r="K669" s="73" t="s">
        <v>9</v>
      </c>
      <c r="L669" s="73" t="s">
        <v>30</v>
      </c>
      <c r="M669" s="73" t="s">
        <v>30</v>
      </c>
      <c r="N669" s="73" t="s">
        <v>69</v>
      </c>
      <c r="O669" s="165"/>
      <c r="P669" s="165"/>
      <c r="Q669" s="166"/>
    </row>
    <row r="670">
      <c r="A670" s="134" t="s">
        <v>18</v>
      </c>
      <c r="B670" s="134" t="s">
        <v>18</v>
      </c>
      <c r="C670" s="134" t="s">
        <v>74</v>
      </c>
      <c r="D670" s="133" t="s">
        <v>362</v>
      </c>
      <c r="E670" s="187">
        <v>42711.0</v>
      </c>
      <c r="F670" s="22" t="str">
        <f t="shared" si="61"/>
        <v>Dec-2016</v>
      </c>
      <c r="G670" s="26" t="s">
        <v>25</v>
      </c>
      <c r="H670" s="25" t="s">
        <v>35</v>
      </c>
      <c r="I670" s="80" t="s">
        <v>363</v>
      </c>
      <c r="J670" s="25" t="s">
        <v>44</v>
      </c>
      <c r="K670" s="25" t="s">
        <v>9</v>
      </c>
      <c r="L670" s="25" t="s">
        <v>30</v>
      </c>
      <c r="M670" s="25"/>
      <c r="N670" s="25" t="s">
        <v>69</v>
      </c>
      <c r="Q670" s="99"/>
    </row>
    <row r="671">
      <c r="A671" s="134" t="s">
        <v>331</v>
      </c>
      <c r="B671" s="134" t="s">
        <v>18</v>
      </c>
      <c r="C671" s="134" t="s">
        <v>74</v>
      </c>
      <c r="D671" s="133" t="s">
        <v>362</v>
      </c>
      <c r="E671" s="187">
        <v>42711.0</v>
      </c>
      <c r="F671" s="13" t="str">
        <f t="shared" si="61"/>
        <v>Dec-2016</v>
      </c>
      <c r="G671" s="13" t="s">
        <v>20</v>
      </c>
      <c r="H671" s="16" t="s">
        <v>35</v>
      </c>
      <c r="I671" s="48" t="s">
        <v>364</v>
      </c>
      <c r="J671" s="16" t="s">
        <v>86</v>
      </c>
      <c r="K671" s="16" t="s">
        <v>9</v>
      </c>
      <c r="L671" s="16" t="s">
        <v>24</v>
      </c>
      <c r="M671" s="16" t="s">
        <v>24</v>
      </c>
      <c r="N671" s="16" t="s">
        <v>69</v>
      </c>
      <c r="O671" s="101"/>
      <c r="P671" s="101"/>
      <c r="Q671" s="102"/>
    </row>
    <row r="672">
      <c r="A672" s="189">
        <v>42711.0</v>
      </c>
      <c r="B672" s="134" t="s">
        <v>18</v>
      </c>
      <c r="C672" s="134" t="s">
        <v>74</v>
      </c>
      <c r="D672" s="133" t="s">
        <v>362</v>
      </c>
      <c r="E672" s="187">
        <v>42711.0</v>
      </c>
      <c r="F672" s="13" t="str">
        <f t="shared" si="61"/>
        <v>Dec-2016</v>
      </c>
      <c r="G672" s="17" t="s">
        <v>25</v>
      </c>
      <c r="H672" s="16" t="s">
        <v>35</v>
      </c>
      <c r="I672" s="48" t="s">
        <v>364</v>
      </c>
      <c r="J672" s="16" t="s">
        <v>86</v>
      </c>
      <c r="K672" s="16" t="s">
        <v>9</v>
      </c>
      <c r="L672" s="16" t="s">
        <v>24</v>
      </c>
      <c r="M672" s="16"/>
      <c r="N672" s="16" t="s">
        <v>29</v>
      </c>
      <c r="O672" s="101"/>
      <c r="P672" s="101"/>
      <c r="Q672" s="102"/>
    </row>
    <row r="673">
      <c r="A673" s="134" t="s">
        <v>74</v>
      </c>
      <c r="B673" s="134" t="s">
        <v>18</v>
      </c>
      <c r="C673" s="134" t="s">
        <v>74</v>
      </c>
      <c r="D673" s="133" t="s">
        <v>362</v>
      </c>
      <c r="E673" s="187">
        <v>42711.0</v>
      </c>
      <c r="F673" s="22" t="str">
        <f t="shared" si="61"/>
        <v>Dec-2016</v>
      </c>
      <c r="G673" s="22" t="s">
        <v>20</v>
      </c>
      <c r="H673" s="25" t="s">
        <v>35</v>
      </c>
      <c r="I673" s="80" t="s">
        <v>365</v>
      </c>
      <c r="J673" s="25" t="s">
        <v>86</v>
      </c>
      <c r="K673" s="25" t="s">
        <v>9</v>
      </c>
      <c r="L673" s="25" t="s">
        <v>30</v>
      </c>
      <c r="M673" s="25" t="s">
        <v>30</v>
      </c>
      <c r="N673" s="25" t="s">
        <v>69</v>
      </c>
      <c r="Q673" s="99"/>
    </row>
    <row r="674">
      <c r="A674" s="140"/>
      <c r="B674" s="134" t="s">
        <v>18</v>
      </c>
      <c r="C674" s="134" t="s">
        <v>74</v>
      </c>
      <c r="D674" s="133" t="s">
        <v>362</v>
      </c>
      <c r="E674" s="187">
        <v>42711.0</v>
      </c>
      <c r="F674" s="22" t="str">
        <f t="shared" si="61"/>
        <v>Dec-2016</v>
      </c>
      <c r="G674" s="26" t="s">
        <v>25</v>
      </c>
      <c r="H674" s="25" t="s">
        <v>35</v>
      </c>
      <c r="I674" s="80" t="s">
        <v>365</v>
      </c>
      <c r="J674" s="25" t="s">
        <v>86</v>
      </c>
      <c r="K674" s="25" t="s">
        <v>9</v>
      </c>
      <c r="L674" s="25" t="s">
        <v>30</v>
      </c>
      <c r="M674" s="25"/>
      <c r="N674" s="25" t="s">
        <v>106</v>
      </c>
      <c r="Q674" s="99"/>
    </row>
    <row r="675">
      <c r="A675" s="140"/>
      <c r="B675" s="134" t="s">
        <v>18</v>
      </c>
      <c r="C675" s="134" t="s">
        <v>74</v>
      </c>
      <c r="D675" s="133" t="s">
        <v>362</v>
      </c>
      <c r="E675" s="187">
        <v>42711.0</v>
      </c>
      <c r="F675" s="13" t="str">
        <f t="shared" si="61"/>
        <v>Dec-2016</v>
      </c>
      <c r="G675" s="13" t="s">
        <v>20</v>
      </c>
      <c r="H675" s="16" t="s">
        <v>35</v>
      </c>
      <c r="I675" s="48" t="s">
        <v>127</v>
      </c>
      <c r="J675" s="16" t="s">
        <v>44</v>
      </c>
      <c r="K675" s="16" t="s">
        <v>9</v>
      </c>
      <c r="L675" s="16" t="s">
        <v>30</v>
      </c>
      <c r="M675" s="16" t="s">
        <v>30</v>
      </c>
      <c r="N675" s="16" t="s">
        <v>98</v>
      </c>
      <c r="O675" s="101"/>
      <c r="P675" s="101"/>
      <c r="Q675" s="102"/>
    </row>
    <row r="676">
      <c r="A676" s="140"/>
      <c r="B676" s="134" t="s">
        <v>18</v>
      </c>
      <c r="C676" s="134" t="s">
        <v>74</v>
      </c>
      <c r="D676" s="133" t="s">
        <v>362</v>
      </c>
      <c r="E676" s="187">
        <v>42711.0</v>
      </c>
      <c r="F676" s="13" t="str">
        <f t="shared" si="61"/>
        <v>Dec-2016</v>
      </c>
      <c r="G676" s="17" t="s">
        <v>25</v>
      </c>
      <c r="H676" s="16" t="s">
        <v>35</v>
      </c>
      <c r="I676" s="48" t="s">
        <v>127</v>
      </c>
      <c r="J676" s="16" t="s">
        <v>44</v>
      </c>
      <c r="K676" s="16" t="s">
        <v>9</v>
      </c>
      <c r="L676" s="16" t="s">
        <v>30</v>
      </c>
      <c r="M676" s="16"/>
      <c r="N676" s="16" t="s">
        <v>69</v>
      </c>
      <c r="O676" s="101"/>
      <c r="P676" s="101"/>
      <c r="Q676" s="102"/>
    </row>
    <row r="677">
      <c r="A677" s="140"/>
      <c r="B677" s="134" t="s">
        <v>18</v>
      </c>
      <c r="C677" s="134" t="s">
        <v>74</v>
      </c>
      <c r="D677" s="133" t="s">
        <v>362</v>
      </c>
      <c r="E677" s="187">
        <v>42711.0</v>
      </c>
      <c r="F677" s="22" t="str">
        <f t="shared" si="61"/>
        <v>Dec-2016</v>
      </c>
      <c r="G677" s="22" t="s">
        <v>20</v>
      </c>
      <c r="H677" s="25" t="s">
        <v>35</v>
      </c>
      <c r="I677" s="80" t="s">
        <v>346</v>
      </c>
      <c r="J677" s="25" t="s">
        <v>44</v>
      </c>
      <c r="K677" s="25" t="s">
        <v>9</v>
      </c>
      <c r="L677" s="25" t="s">
        <v>24</v>
      </c>
      <c r="M677" s="25" t="s">
        <v>24</v>
      </c>
      <c r="N677" s="25" t="s">
        <v>98</v>
      </c>
      <c r="Q677" s="99"/>
    </row>
    <row r="678">
      <c r="A678" s="141"/>
      <c r="B678" s="134" t="s">
        <v>18</v>
      </c>
      <c r="C678" s="134" t="s">
        <v>74</v>
      </c>
      <c r="D678" s="133" t="s">
        <v>362</v>
      </c>
      <c r="E678" s="187">
        <v>42711.0</v>
      </c>
      <c r="F678" s="52" t="str">
        <f t="shared" si="61"/>
        <v>Dec-2016</v>
      </c>
      <c r="G678" s="76" t="s">
        <v>25</v>
      </c>
      <c r="H678" s="55" t="s">
        <v>35</v>
      </c>
      <c r="I678" s="113" t="s">
        <v>346</v>
      </c>
      <c r="J678" s="55" t="s">
        <v>44</v>
      </c>
      <c r="K678" s="55" t="s">
        <v>9</v>
      </c>
      <c r="L678" s="55" t="s">
        <v>24</v>
      </c>
      <c r="M678" s="55"/>
      <c r="N678" s="55" t="s">
        <v>98</v>
      </c>
      <c r="O678" s="143"/>
      <c r="P678" s="143"/>
      <c r="Q678" s="144"/>
    </row>
    <row r="679">
      <c r="A679" s="107"/>
      <c r="B679" s="95"/>
      <c r="C679" s="95"/>
      <c r="D679" s="95"/>
      <c r="E679" s="95"/>
      <c r="I679" s="23"/>
    </row>
    <row r="680">
      <c r="A680" s="133" t="s">
        <v>366</v>
      </c>
      <c r="B680" s="134" t="s">
        <v>151</v>
      </c>
      <c r="C680" s="134" t="s">
        <v>74</v>
      </c>
      <c r="D680" s="133" t="s">
        <v>366</v>
      </c>
      <c r="E680" s="198">
        <v>42713.0</v>
      </c>
      <c r="F680" s="110" t="str">
        <f t="shared" ref="F680:F692" si="62">TEXT(E680, "mmm") &amp; "-" &amp; TEXT(E680, "yyyy") </f>
        <v>Dec-2016</v>
      </c>
      <c r="G680" s="110" t="s">
        <v>20</v>
      </c>
      <c r="H680" s="47" t="s">
        <v>35</v>
      </c>
      <c r="I680" s="79" t="s">
        <v>367</v>
      </c>
      <c r="J680" s="47" t="s">
        <v>71</v>
      </c>
      <c r="K680" s="47" t="s">
        <v>9</v>
      </c>
      <c r="L680" s="47" t="s">
        <v>24</v>
      </c>
      <c r="M680" s="47" t="s">
        <v>24</v>
      </c>
      <c r="N680" s="47" t="s">
        <v>98</v>
      </c>
      <c r="O680" s="152"/>
      <c r="P680" s="152"/>
      <c r="Q680" s="153"/>
    </row>
    <row r="681">
      <c r="A681" s="134" t="s">
        <v>151</v>
      </c>
      <c r="B681" s="134" t="s">
        <v>151</v>
      </c>
      <c r="C681" s="134" t="s">
        <v>74</v>
      </c>
      <c r="D681" s="133" t="s">
        <v>366</v>
      </c>
      <c r="E681" s="199">
        <v>42713.0</v>
      </c>
      <c r="F681" s="13" t="str">
        <f t="shared" si="62"/>
        <v>Dec-2016</v>
      </c>
      <c r="G681" s="17" t="s">
        <v>25</v>
      </c>
      <c r="H681" s="16" t="s">
        <v>35</v>
      </c>
      <c r="I681" s="48" t="s">
        <v>367</v>
      </c>
      <c r="J681" s="16" t="s">
        <v>71</v>
      </c>
      <c r="K681" s="16" t="s">
        <v>9</v>
      </c>
      <c r="L681" s="16" t="s">
        <v>30</v>
      </c>
      <c r="M681" s="16"/>
      <c r="N681" s="16" t="s">
        <v>69</v>
      </c>
      <c r="O681" s="101"/>
      <c r="P681" s="101"/>
      <c r="Q681" s="102"/>
    </row>
    <row r="682">
      <c r="A682" s="134" t="s">
        <v>368</v>
      </c>
      <c r="B682" s="134" t="s">
        <v>151</v>
      </c>
      <c r="C682" s="134" t="s">
        <v>74</v>
      </c>
      <c r="D682" s="133" t="s">
        <v>366</v>
      </c>
      <c r="E682" s="199">
        <v>42713.0</v>
      </c>
      <c r="F682" s="13" t="str">
        <f t="shared" si="62"/>
        <v>Dec-2016</v>
      </c>
      <c r="G682" s="16" t="s">
        <v>32</v>
      </c>
      <c r="H682" s="16" t="s">
        <v>35</v>
      </c>
      <c r="I682" s="48" t="s">
        <v>367</v>
      </c>
      <c r="J682" s="16" t="s">
        <v>71</v>
      </c>
      <c r="K682" s="16" t="s">
        <v>9</v>
      </c>
      <c r="L682" s="16" t="s">
        <v>24</v>
      </c>
      <c r="M682" s="16"/>
      <c r="N682" s="16" t="s">
        <v>29</v>
      </c>
      <c r="O682" s="101"/>
      <c r="P682" s="101"/>
      <c r="Q682" s="102"/>
    </row>
    <row r="683">
      <c r="A683" s="189">
        <v>42713.0</v>
      </c>
      <c r="B683" s="134" t="s">
        <v>151</v>
      </c>
      <c r="C683" s="134" t="s">
        <v>74</v>
      </c>
      <c r="D683" s="133" t="s">
        <v>366</v>
      </c>
      <c r="E683" s="188">
        <v>42713.0</v>
      </c>
      <c r="F683" s="22" t="str">
        <f t="shared" si="62"/>
        <v>Dec-2016</v>
      </c>
      <c r="G683" s="22" t="s">
        <v>20</v>
      </c>
      <c r="H683" s="25" t="s">
        <v>35</v>
      </c>
      <c r="I683" s="80" t="s">
        <v>356</v>
      </c>
      <c r="J683" s="25" t="s">
        <v>27</v>
      </c>
      <c r="K683" s="25" t="s">
        <v>9</v>
      </c>
      <c r="L683" s="25" t="s">
        <v>30</v>
      </c>
      <c r="M683" s="25" t="s">
        <v>30</v>
      </c>
      <c r="N683" s="25" t="s">
        <v>98</v>
      </c>
      <c r="Q683" s="99"/>
    </row>
    <row r="684">
      <c r="A684" s="134" t="s">
        <v>74</v>
      </c>
      <c r="B684" s="134" t="s">
        <v>151</v>
      </c>
      <c r="C684" s="134" t="s">
        <v>74</v>
      </c>
      <c r="D684" s="133" t="s">
        <v>366</v>
      </c>
      <c r="E684" s="188">
        <v>42713.0</v>
      </c>
      <c r="F684" s="22" t="str">
        <f t="shared" si="62"/>
        <v>Dec-2016</v>
      </c>
      <c r="G684" s="26" t="s">
        <v>25</v>
      </c>
      <c r="H684" s="25" t="s">
        <v>35</v>
      </c>
      <c r="I684" s="80" t="s">
        <v>356</v>
      </c>
      <c r="J684" s="25" t="s">
        <v>27</v>
      </c>
      <c r="K684" s="25" t="s">
        <v>9</v>
      </c>
      <c r="L684" s="25" t="s">
        <v>30</v>
      </c>
      <c r="M684" s="25"/>
      <c r="N684" s="25" t="s">
        <v>98</v>
      </c>
      <c r="Q684" s="99"/>
    </row>
    <row r="685">
      <c r="A685" s="140"/>
      <c r="B685" s="134" t="s">
        <v>151</v>
      </c>
      <c r="C685" s="134" t="s">
        <v>74</v>
      </c>
      <c r="D685" s="133" t="s">
        <v>366</v>
      </c>
      <c r="E685" s="199">
        <v>42713.0</v>
      </c>
      <c r="F685" s="13" t="str">
        <f t="shared" si="62"/>
        <v>Dec-2016</v>
      </c>
      <c r="G685" s="13" t="s">
        <v>20</v>
      </c>
      <c r="H685" s="16" t="s">
        <v>35</v>
      </c>
      <c r="I685" s="48" t="s">
        <v>291</v>
      </c>
      <c r="J685" s="16" t="s">
        <v>44</v>
      </c>
      <c r="K685" s="16" t="s">
        <v>9</v>
      </c>
      <c r="L685" s="16" t="s">
        <v>24</v>
      </c>
      <c r="M685" s="16" t="s">
        <v>30</v>
      </c>
      <c r="N685" s="16" t="s">
        <v>98</v>
      </c>
      <c r="O685" s="101"/>
      <c r="P685" s="101"/>
      <c r="Q685" s="102"/>
    </row>
    <row r="686">
      <c r="A686" s="140"/>
      <c r="B686" s="134" t="s">
        <v>151</v>
      </c>
      <c r="C686" s="134" t="s">
        <v>74</v>
      </c>
      <c r="D686" s="133" t="s">
        <v>366</v>
      </c>
      <c r="E686" s="199">
        <v>42713.0</v>
      </c>
      <c r="F686" s="13" t="str">
        <f t="shared" si="62"/>
        <v>Dec-2016</v>
      </c>
      <c r="G686" s="17" t="s">
        <v>25</v>
      </c>
      <c r="H686" s="16" t="s">
        <v>35</v>
      </c>
      <c r="I686" s="48" t="s">
        <v>291</v>
      </c>
      <c r="J686" s="16" t="s">
        <v>44</v>
      </c>
      <c r="K686" s="16" t="s">
        <v>9</v>
      </c>
      <c r="L686" s="16" t="s">
        <v>30</v>
      </c>
      <c r="M686" s="16"/>
      <c r="N686" s="16" t="s">
        <v>69</v>
      </c>
      <c r="O686" s="101"/>
      <c r="P686" s="101"/>
      <c r="Q686" s="102"/>
    </row>
    <row r="687">
      <c r="A687" s="140"/>
      <c r="B687" s="134" t="s">
        <v>151</v>
      </c>
      <c r="C687" s="134" t="s">
        <v>74</v>
      </c>
      <c r="D687" s="133" t="s">
        <v>366</v>
      </c>
      <c r="E687" s="199">
        <v>42713.0</v>
      </c>
      <c r="F687" s="13" t="str">
        <f t="shared" si="62"/>
        <v>Dec-2016</v>
      </c>
      <c r="G687" s="16" t="s">
        <v>32</v>
      </c>
      <c r="H687" s="16" t="s">
        <v>35</v>
      </c>
      <c r="I687" s="48" t="s">
        <v>291</v>
      </c>
      <c r="J687" s="16" t="s">
        <v>44</v>
      </c>
      <c r="K687" s="16" t="s">
        <v>9</v>
      </c>
      <c r="L687" s="16" t="s">
        <v>30</v>
      </c>
      <c r="M687" s="16"/>
      <c r="N687" s="16" t="s">
        <v>69</v>
      </c>
      <c r="O687" s="101"/>
      <c r="P687" s="101"/>
      <c r="Q687" s="102"/>
    </row>
    <row r="688">
      <c r="A688" s="140"/>
      <c r="B688" s="134" t="s">
        <v>151</v>
      </c>
      <c r="C688" s="134" t="s">
        <v>74</v>
      </c>
      <c r="D688" s="133" t="s">
        <v>366</v>
      </c>
      <c r="E688" s="188">
        <v>42713.0</v>
      </c>
      <c r="F688" s="22" t="str">
        <f t="shared" si="62"/>
        <v>Dec-2016</v>
      </c>
      <c r="G688" s="22" t="s">
        <v>20</v>
      </c>
      <c r="H688" s="25" t="s">
        <v>35</v>
      </c>
      <c r="I688" s="80" t="s">
        <v>369</v>
      </c>
      <c r="J688" s="25" t="s">
        <v>97</v>
      </c>
      <c r="K688" s="25" t="s">
        <v>9</v>
      </c>
      <c r="L688" s="25" t="s">
        <v>30</v>
      </c>
      <c r="M688" s="25" t="s">
        <v>30</v>
      </c>
      <c r="N688" s="25" t="s">
        <v>98</v>
      </c>
      <c r="Q688" s="99"/>
    </row>
    <row r="689">
      <c r="A689" s="140"/>
      <c r="B689" s="134" t="s">
        <v>151</v>
      </c>
      <c r="C689" s="134" t="s">
        <v>74</v>
      </c>
      <c r="D689" s="133" t="s">
        <v>366</v>
      </c>
      <c r="E689" s="188">
        <v>42713.0</v>
      </c>
      <c r="F689" s="22" t="str">
        <f t="shared" si="62"/>
        <v>Dec-2016</v>
      </c>
      <c r="G689" s="26" t="s">
        <v>25</v>
      </c>
      <c r="H689" s="25" t="s">
        <v>35</v>
      </c>
      <c r="I689" s="80" t="s">
        <v>369</v>
      </c>
      <c r="J689" s="25" t="s">
        <v>48</v>
      </c>
      <c r="K689" s="25" t="s">
        <v>9</v>
      </c>
      <c r="L689" s="25" t="s">
        <v>24</v>
      </c>
      <c r="M689" s="25"/>
      <c r="N689" s="25" t="s">
        <v>37</v>
      </c>
      <c r="Q689" s="99"/>
    </row>
    <row r="690">
      <c r="A690" s="140"/>
      <c r="B690" s="134" t="s">
        <v>151</v>
      </c>
      <c r="C690" s="134" t="s">
        <v>74</v>
      </c>
      <c r="D690" s="133" t="s">
        <v>366</v>
      </c>
      <c r="E690" s="188">
        <v>42713.0</v>
      </c>
      <c r="F690" s="22" t="str">
        <f t="shared" si="62"/>
        <v>Dec-2016</v>
      </c>
      <c r="G690" s="25" t="s">
        <v>32</v>
      </c>
      <c r="H690" s="25" t="s">
        <v>35</v>
      </c>
      <c r="I690" s="80" t="s">
        <v>369</v>
      </c>
      <c r="J690" s="25" t="s">
        <v>23</v>
      </c>
      <c r="K690" s="25" t="s">
        <v>9</v>
      </c>
      <c r="L690" s="25" t="s">
        <v>30</v>
      </c>
      <c r="M690" s="25"/>
      <c r="N690" s="25" t="s">
        <v>106</v>
      </c>
      <c r="Q690" s="99"/>
    </row>
    <row r="691">
      <c r="A691" s="140"/>
      <c r="B691" s="134" t="s">
        <v>151</v>
      </c>
      <c r="C691" s="134" t="s">
        <v>74</v>
      </c>
      <c r="D691" s="133" t="s">
        <v>366</v>
      </c>
      <c r="E691" s="199">
        <v>42713.0</v>
      </c>
      <c r="F691" s="13" t="str">
        <f t="shared" si="62"/>
        <v>Dec-2016</v>
      </c>
      <c r="G691" s="13" t="s">
        <v>20</v>
      </c>
      <c r="H691" s="16" t="s">
        <v>35</v>
      </c>
      <c r="I691" s="48" t="s">
        <v>367</v>
      </c>
      <c r="J691" s="16" t="s">
        <v>71</v>
      </c>
      <c r="K691" s="16" t="s">
        <v>9</v>
      </c>
      <c r="L691" s="16" t="s">
        <v>24</v>
      </c>
      <c r="M691" s="16" t="s">
        <v>24</v>
      </c>
      <c r="N691" s="16" t="s">
        <v>98</v>
      </c>
      <c r="O691" s="101"/>
      <c r="P691" s="101"/>
      <c r="Q691" s="102"/>
    </row>
    <row r="692">
      <c r="A692" s="141"/>
      <c r="B692" s="134" t="s">
        <v>151</v>
      </c>
      <c r="C692" s="134" t="s">
        <v>74</v>
      </c>
      <c r="D692" s="133" t="s">
        <v>366</v>
      </c>
      <c r="E692" s="200">
        <v>42713.0</v>
      </c>
      <c r="F692" s="35" t="str">
        <f t="shared" si="62"/>
        <v>Dec-2016</v>
      </c>
      <c r="G692" s="93" t="s">
        <v>25</v>
      </c>
      <c r="H692" s="38" t="s">
        <v>35</v>
      </c>
      <c r="I692" s="122" t="s">
        <v>367</v>
      </c>
      <c r="J692" s="38" t="s">
        <v>71</v>
      </c>
      <c r="K692" s="38" t="s">
        <v>9</v>
      </c>
      <c r="L692" s="38" t="s">
        <v>24</v>
      </c>
      <c r="M692" s="38"/>
      <c r="N692" s="38" t="s">
        <v>69</v>
      </c>
      <c r="O692" s="105"/>
      <c r="P692" s="105"/>
      <c r="Q692" s="106"/>
    </row>
    <row r="693">
      <c r="A693" s="107"/>
      <c r="B693" s="188"/>
      <c r="C693" s="188"/>
      <c r="D693" s="188"/>
      <c r="E693" s="188"/>
      <c r="F693" s="22"/>
      <c r="I693" s="23"/>
    </row>
    <row r="694">
      <c r="A694" s="133" t="s">
        <v>370</v>
      </c>
      <c r="B694" s="134" t="s">
        <v>18</v>
      </c>
      <c r="C694" s="134" t="s">
        <v>74</v>
      </c>
      <c r="D694" s="133" t="s">
        <v>370</v>
      </c>
      <c r="E694" s="189">
        <v>42718.0</v>
      </c>
      <c r="F694" s="85" t="str">
        <f t="shared" ref="F694:F703" si="63">TEXT(E694, "mmm") &amp; "-" &amp; TEXT(E694, "yyyy") </f>
        <v>Dec-2016</v>
      </c>
      <c r="G694" s="85" t="s">
        <v>20</v>
      </c>
      <c r="H694" s="73" t="s">
        <v>35</v>
      </c>
      <c r="I694" s="86" t="s">
        <v>371</v>
      </c>
      <c r="J694" s="73" t="s">
        <v>44</v>
      </c>
      <c r="K694" s="73" t="s">
        <v>9</v>
      </c>
      <c r="L694" s="73" t="s">
        <v>30</v>
      </c>
      <c r="M694" s="73" t="s">
        <v>30</v>
      </c>
      <c r="N694" s="73" t="s">
        <v>98</v>
      </c>
      <c r="O694" s="165"/>
      <c r="P694" s="165"/>
      <c r="Q694" s="166"/>
    </row>
    <row r="695">
      <c r="A695" s="134" t="s">
        <v>18</v>
      </c>
      <c r="B695" s="134" t="s">
        <v>18</v>
      </c>
      <c r="C695" s="134" t="s">
        <v>74</v>
      </c>
      <c r="D695" s="133" t="s">
        <v>370</v>
      </c>
      <c r="E695" s="189">
        <v>42718.0</v>
      </c>
      <c r="F695" s="22" t="str">
        <f t="shared" si="63"/>
        <v>Dec-2016</v>
      </c>
      <c r="G695" s="26" t="s">
        <v>25</v>
      </c>
      <c r="H695" s="25" t="s">
        <v>35</v>
      </c>
      <c r="I695" s="80" t="s">
        <v>371</v>
      </c>
      <c r="J695" s="25" t="s">
        <v>44</v>
      </c>
      <c r="K695" s="25" t="s">
        <v>9</v>
      </c>
      <c r="L695" s="25" t="s">
        <v>30</v>
      </c>
      <c r="M695" s="25"/>
      <c r="N695" s="25" t="s">
        <v>106</v>
      </c>
      <c r="Q695" s="99"/>
    </row>
    <row r="696">
      <c r="A696" s="134" t="s">
        <v>331</v>
      </c>
      <c r="B696" s="134" t="s">
        <v>18</v>
      </c>
      <c r="C696" s="134" t="s">
        <v>74</v>
      </c>
      <c r="D696" s="133" t="s">
        <v>370</v>
      </c>
      <c r="E696" s="189">
        <v>42718.0</v>
      </c>
      <c r="F696" s="13" t="str">
        <f t="shared" si="63"/>
        <v>Dec-2016</v>
      </c>
      <c r="G696" s="13" t="s">
        <v>20</v>
      </c>
      <c r="H696" s="16" t="s">
        <v>35</v>
      </c>
      <c r="I696" s="48" t="s">
        <v>194</v>
      </c>
      <c r="J696" s="16" t="s">
        <v>23</v>
      </c>
      <c r="K696" s="16" t="s">
        <v>9</v>
      </c>
      <c r="L696" s="16" t="s">
        <v>24</v>
      </c>
      <c r="M696" s="16" t="s">
        <v>24</v>
      </c>
      <c r="N696" s="16" t="s">
        <v>98</v>
      </c>
      <c r="O696" s="101"/>
      <c r="P696" s="101"/>
      <c r="Q696" s="102"/>
    </row>
    <row r="697">
      <c r="A697" s="189">
        <v>42718.0</v>
      </c>
      <c r="B697" s="134" t="s">
        <v>18</v>
      </c>
      <c r="C697" s="134" t="s">
        <v>74</v>
      </c>
      <c r="D697" s="133" t="s">
        <v>370</v>
      </c>
      <c r="E697" s="189">
        <v>42718.0</v>
      </c>
      <c r="F697" s="13" t="str">
        <f t="shared" si="63"/>
        <v>Dec-2016</v>
      </c>
      <c r="G697" s="17" t="s">
        <v>25</v>
      </c>
      <c r="H697" s="16" t="s">
        <v>35</v>
      </c>
      <c r="I697" s="48" t="s">
        <v>194</v>
      </c>
      <c r="J697" s="16" t="s">
        <v>23</v>
      </c>
      <c r="K697" s="16" t="s">
        <v>9</v>
      </c>
      <c r="L697" s="16" t="s">
        <v>24</v>
      </c>
      <c r="M697" s="16"/>
      <c r="N697" s="16" t="s">
        <v>69</v>
      </c>
      <c r="O697" s="101"/>
      <c r="P697" s="101"/>
      <c r="Q697" s="102"/>
    </row>
    <row r="698">
      <c r="A698" s="134" t="s">
        <v>74</v>
      </c>
      <c r="B698" s="134" t="s">
        <v>18</v>
      </c>
      <c r="C698" s="134" t="s">
        <v>74</v>
      </c>
      <c r="D698" s="133" t="s">
        <v>370</v>
      </c>
      <c r="E698" s="189">
        <v>42718.0</v>
      </c>
      <c r="F698" s="22" t="str">
        <f t="shared" si="63"/>
        <v>Dec-2016</v>
      </c>
      <c r="G698" s="22" t="s">
        <v>20</v>
      </c>
      <c r="H698" s="25" t="s">
        <v>35</v>
      </c>
      <c r="I698" s="80" t="s">
        <v>372</v>
      </c>
      <c r="J698" s="25" t="s">
        <v>64</v>
      </c>
      <c r="K698" s="25" t="s">
        <v>9</v>
      </c>
      <c r="L698" s="25" t="s">
        <v>24</v>
      </c>
      <c r="M698" s="25" t="s">
        <v>30</v>
      </c>
      <c r="N698" s="25" t="s">
        <v>98</v>
      </c>
      <c r="Q698" s="99"/>
    </row>
    <row r="699">
      <c r="A699" s="140"/>
      <c r="B699" s="134" t="s">
        <v>18</v>
      </c>
      <c r="C699" s="134" t="s">
        <v>74</v>
      </c>
      <c r="D699" s="133" t="s">
        <v>370</v>
      </c>
      <c r="E699" s="189">
        <v>42718.0</v>
      </c>
      <c r="F699" s="22" t="str">
        <f t="shared" si="63"/>
        <v>Dec-2016</v>
      </c>
      <c r="G699" s="26" t="s">
        <v>25</v>
      </c>
      <c r="H699" s="25" t="s">
        <v>35</v>
      </c>
      <c r="I699" s="80" t="s">
        <v>372</v>
      </c>
      <c r="J699" s="25" t="s">
        <v>64</v>
      </c>
      <c r="K699" s="25" t="s">
        <v>9</v>
      </c>
      <c r="L699" s="25" t="s">
        <v>30</v>
      </c>
      <c r="M699" s="25"/>
      <c r="N699" s="25" t="s">
        <v>106</v>
      </c>
      <c r="Q699" s="99"/>
    </row>
    <row r="700">
      <c r="A700" s="140"/>
      <c r="B700" s="134" t="s">
        <v>18</v>
      </c>
      <c r="C700" s="134" t="s">
        <v>74</v>
      </c>
      <c r="D700" s="133" t="s">
        <v>370</v>
      </c>
      <c r="E700" s="189">
        <v>42718.0</v>
      </c>
      <c r="F700" s="21" t="str">
        <f t="shared" si="63"/>
        <v>Dec-2016</v>
      </c>
      <c r="G700" s="21" t="s">
        <v>20</v>
      </c>
      <c r="H700" s="119" t="s">
        <v>35</v>
      </c>
      <c r="I700" s="126" t="s">
        <v>372</v>
      </c>
      <c r="J700" s="119" t="s">
        <v>64</v>
      </c>
      <c r="K700" s="119" t="s">
        <v>9</v>
      </c>
      <c r="L700" s="119" t="s">
        <v>30</v>
      </c>
      <c r="M700" s="119"/>
      <c r="N700" s="119" t="s">
        <v>98</v>
      </c>
      <c r="O700" s="174"/>
      <c r="P700" s="174"/>
      <c r="Q700" s="175"/>
    </row>
    <row r="701">
      <c r="A701" s="140"/>
      <c r="B701" s="134" t="s">
        <v>18</v>
      </c>
      <c r="C701" s="134" t="s">
        <v>74</v>
      </c>
      <c r="D701" s="133" t="s">
        <v>370</v>
      </c>
      <c r="E701" s="189">
        <v>42718.0</v>
      </c>
      <c r="F701" s="13" t="str">
        <f t="shared" si="63"/>
        <v>Dec-2016</v>
      </c>
      <c r="G701" s="17" t="s">
        <v>25</v>
      </c>
      <c r="H701" s="16" t="s">
        <v>35</v>
      </c>
      <c r="I701" s="48" t="s">
        <v>165</v>
      </c>
      <c r="J701" s="16" t="s">
        <v>9</v>
      </c>
      <c r="K701" s="16" t="s">
        <v>9</v>
      </c>
      <c r="L701" s="16" t="s">
        <v>30</v>
      </c>
      <c r="M701" s="16" t="s">
        <v>24</v>
      </c>
      <c r="N701" s="16" t="s">
        <v>98</v>
      </c>
      <c r="O701" s="101"/>
      <c r="P701" s="101"/>
      <c r="Q701" s="102"/>
    </row>
    <row r="702">
      <c r="A702" s="140"/>
      <c r="B702" s="134" t="s">
        <v>18</v>
      </c>
      <c r="C702" s="134" t="s">
        <v>74</v>
      </c>
      <c r="D702" s="133" t="s">
        <v>370</v>
      </c>
      <c r="E702" s="189">
        <v>42718.0</v>
      </c>
      <c r="F702" s="13" t="str">
        <f t="shared" si="63"/>
        <v>Dec-2016</v>
      </c>
      <c r="G702" s="13" t="s">
        <v>20</v>
      </c>
      <c r="H702" s="16" t="s">
        <v>35</v>
      </c>
      <c r="I702" s="48" t="s">
        <v>165</v>
      </c>
      <c r="J702" s="16" t="s">
        <v>9</v>
      </c>
      <c r="K702" s="16" t="s">
        <v>9</v>
      </c>
      <c r="L702" s="16" t="s">
        <v>24</v>
      </c>
      <c r="M702" s="16"/>
      <c r="N702" s="16" t="s">
        <v>106</v>
      </c>
      <c r="O702" s="101"/>
      <c r="P702" s="101"/>
      <c r="Q702" s="102"/>
    </row>
    <row r="703">
      <c r="A703" s="141"/>
      <c r="B703" s="134" t="s">
        <v>18</v>
      </c>
      <c r="C703" s="134" t="s">
        <v>74</v>
      </c>
      <c r="D703" s="133" t="s">
        <v>370</v>
      </c>
      <c r="E703" s="189">
        <v>42718.0</v>
      </c>
      <c r="F703" s="35" t="str">
        <f t="shared" si="63"/>
        <v>Dec-2016</v>
      </c>
      <c r="G703" s="93" t="s">
        <v>25</v>
      </c>
      <c r="H703" s="38" t="s">
        <v>35</v>
      </c>
      <c r="I703" s="122" t="s">
        <v>165</v>
      </c>
      <c r="J703" s="38" t="s">
        <v>9</v>
      </c>
      <c r="K703" s="38" t="s">
        <v>9</v>
      </c>
      <c r="L703" s="38" t="s">
        <v>24</v>
      </c>
      <c r="M703" s="38"/>
      <c r="N703" s="38" t="s">
        <v>99</v>
      </c>
      <c r="O703" s="105"/>
      <c r="P703" s="105"/>
      <c r="Q703" s="106"/>
    </row>
    <row r="704">
      <c r="A704" s="107"/>
      <c r="B704" s="95"/>
      <c r="C704" s="95"/>
      <c r="D704" s="95"/>
      <c r="E704" s="95"/>
      <c r="I704" s="23"/>
      <c r="J704" s="25" t="s">
        <v>373</v>
      </c>
    </row>
    <row r="705">
      <c r="A705" s="133" t="s">
        <v>374</v>
      </c>
      <c r="B705" s="134" t="s">
        <v>18</v>
      </c>
      <c r="C705" s="134" t="s">
        <v>74</v>
      </c>
      <c r="D705" s="133" t="s">
        <v>374</v>
      </c>
      <c r="E705" s="189">
        <v>42739.0</v>
      </c>
      <c r="F705" s="85" t="str">
        <f t="shared" ref="F705:F711" si="64">TEXT(E705, "mmm") &amp; "-" &amp; TEXT(E705, "yyyy") </f>
        <v>Jan-2017</v>
      </c>
      <c r="G705" s="85" t="s">
        <v>20</v>
      </c>
      <c r="H705" s="73" t="s">
        <v>35</v>
      </c>
      <c r="I705" s="86" t="s">
        <v>270</v>
      </c>
      <c r="J705" s="73" t="s">
        <v>27</v>
      </c>
      <c r="K705" s="73" t="s">
        <v>9</v>
      </c>
      <c r="L705" s="73" t="s">
        <v>30</v>
      </c>
      <c r="M705" s="73" t="s">
        <v>30</v>
      </c>
      <c r="N705" s="73" t="s">
        <v>37</v>
      </c>
      <c r="O705" s="165"/>
      <c r="P705" s="165"/>
      <c r="Q705" s="166"/>
    </row>
    <row r="706">
      <c r="A706" s="134" t="s">
        <v>18</v>
      </c>
      <c r="B706" s="134" t="s">
        <v>18</v>
      </c>
      <c r="C706" s="134" t="s">
        <v>74</v>
      </c>
      <c r="D706" s="133" t="s">
        <v>374</v>
      </c>
      <c r="E706" s="189">
        <v>42739.0</v>
      </c>
      <c r="F706" s="22" t="str">
        <f t="shared" si="64"/>
        <v>Jan-2017</v>
      </c>
      <c r="G706" s="26" t="s">
        <v>25</v>
      </c>
      <c r="H706" s="25" t="s">
        <v>35</v>
      </c>
      <c r="I706" s="80" t="s">
        <v>270</v>
      </c>
      <c r="J706" s="25" t="s">
        <v>27</v>
      </c>
      <c r="K706" s="25" t="s">
        <v>9</v>
      </c>
      <c r="L706" s="25" t="s">
        <v>30</v>
      </c>
      <c r="M706" s="25"/>
      <c r="N706" s="25" t="s">
        <v>98</v>
      </c>
      <c r="Q706" s="99"/>
    </row>
    <row r="707">
      <c r="A707" s="134" t="s">
        <v>331</v>
      </c>
      <c r="B707" s="134" t="s">
        <v>18</v>
      </c>
      <c r="C707" s="134" t="s">
        <v>74</v>
      </c>
      <c r="D707" s="133" t="s">
        <v>374</v>
      </c>
      <c r="E707" s="189">
        <v>42739.0</v>
      </c>
      <c r="F707" s="13" t="str">
        <f t="shared" si="64"/>
        <v>Jan-2017</v>
      </c>
      <c r="G707" s="13" t="s">
        <v>20</v>
      </c>
      <c r="H707" s="16" t="s">
        <v>35</v>
      </c>
      <c r="I707" s="48" t="s">
        <v>375</v>
      </c>
      <c r="J707" s="16" t="s">
        <v>48</v>
      </c>
      <c r="K707" s="16" t="s">
        <v>9</v>
      </c>
      <c r="L707" s="16" t="s">
        <v>24</v>
      </c>
      <c r="M707" s="16" t="s">
        <v>24</v>
      </c>
      <c r="N707" s="16" t="s">
        <v>98</v>
      </c>
      <c r="O707" s="101"/>
      <c r="P707" s="101"/>
      <c r="Q707" s="102"/>
    </row>
    <row r="708">
      <c r="A708" s="189">
        <v>42739.0</v>
      </c>
      <c r="B708" s="134" t="s">
        <v>18</v>
      </c>
      <c r="C708" s="134" t="s">
        <v>74</v>
      </c>
      <c r="D708" s="133" t="s">
        <v>374</v>
      </c>
      <c r="E708" s="189">
        <v>42739.0</v>
      </c>
      <c r="F708" s="13" t="str">
        <f t="shared" si="64"/>
        <v>Jan-2017</v>
      </c>
      <c r="G708" s="17" t="s">
        <v>25</v>
      </c>
      <c r="H708" s="16" t="s">
        <v>35</v>
      </c>
      <c r="I708" s="48" t="s">
        <v>375</v>
      </c>
      <c r="J708" s="16" t="s">
        <v>48</v>
      </c>
      <c r="K708" s="16" t="s">
        <v>9</v>
      </c>
      <c r="L708" s="16" t="s">
        <v>24</v>
      </c>
      <c r="M708" s="16"/>
      <c r="N708" s="16" t="s">
        <v>106</v>
      </c>
      <c r="O708" s="101"/>
      <c r="P708" s="101"/>
      <c r="Q708" s="102"/>
    </row>
    <row r="709">
      <c r="A709" s="134" t="s">
        <v>74</v>
      </c>
      <c r="B709" s="134" t="s">
        <v>18</v>
      </c>
      <c r="C709" s="134" t="s">
        <v>74</v>
      </c>
      <c r="D709" s="133" t="s">
        <v>374</v>
      </c>
      <c r="E709" s="189">
        <v>42739.0</v>
      </c>
      <c r="F709" s="22" t="str">
        <f t="shared" si="64"/>
        <v>Jan-2017</v>
      </c>
      <c r="G709" s="22" t="s">
        <v>20</v>
      </c>
      <c r="H709" s="25" t="s">
        <v>35</v>
      </c>
      <c r="I709" s="80" t="s">
        <v>376</v>
      </c>
      <c r="J709" s="25" t="s">
        <v>97</v>
      </c>
      <c r="K709" s="25" t="s">
        <v>9</v>
      </c>
      <c r="L709" s="25" t="s">
        <v>24</v>
      </c>
      <c r="M709" s="25" t="s">
        <v>24</v>
      </c>
      <c r="N709" s="25" t="s">
        <v>98</v>
      </c>
      <c r="Q709" s="99"/>
    </row>
    <row r="710">
      <c r="A710" s="140"/>
      <c r="B710" s="134" t="s">
        <v>18</v>
      </c>
      <c r="C710" s="134" t="s">
        <v>74</v>
      </c>
      <c r="D710" s="133" t="s">
        <v>374</v>
      </c>
      <c r="E710" s="189">
        <v>42739.0</v>
      </c>
      <c r="F710" s="22" t="str">
        <f t="shared" si="64"/>
        <v>Jan-2017</v>
      </c>
      <c r="G710" s="26" t="s">
        <v>25</v>
      </c>
      <c r="H710" s="25" t="s">
        <v>35</v>
      </c>
      <c r="I710" s="80" t="s">
        <v>376</v>
      </c>
      <c r="J710" s="25" t="s">
        <v>97</v>
      </c>
      <c r="K710" s="25" t="s">
        <v>9</v>
      </c>
      <c r="L710" s="25" t="s">
        <v>30</v>
      </c>
      <c r="M710" s="25"/>
      <c r="N710" s="25" t="s">
        <v>29</v>
      </c>
      <c r="Q710" s="99"/>
    </row>
    <row r="711">
      <c r="A711" s="141"/>
      <c r="B711" s="134" t="s">
        <v>18</v>
      </c>
      <c r="C711" s="134" t="s">
        <v>74</v>
      </c>
      <c r="D711" s="133" t="s">
        <v>374</v>
      </c>
      <c r="E711" s="201">
        <v>42739.0</v>
      </c>
      <c r="F711" s="51" t="str">
        <f t="shared" si="64"/>
        <v>Jan-2017</v>
      </c>
      <c r="G711" s="129" t="s">
        <v>32</v>
      </c>
      <c r="H711" s="114" t="s">
        <v>35</v>
      </c>
      <c r="I711" s="130" t="s">
        <v>376</v>
      </c>
      <c r="J711" s="114" t="s">
        <v>97</v>
      </c>
      <c r="K711" s="114" t="s">
        <v>9</v>
      </c>
      <c r="L711" s="114" t="s">
        <v>24</v>
      </c>
      <c r="M711" s="114"/>
      <c r="N711" s="114" t="s">
        <v>37</v>
      </c>
      <c r="O711" s="202"/>
      <c r="P711" s="202"/>
      <c r="Q711" s="203"/>
    </row>
    <row r="712">
      <c r="A712" s="107"/>
      <c r="B712" s="95"/>
      <c r="C712" s="95"/>
      <c r="D712" s="95"/>
      <c r="E712" s="95"/>
      <c r="I712" s="23"/>
    </row>
    <row r="713">
      <c r="A713" s="133" t="s">
        <v>377</v>
      </c>
      <c r="B713" s="134" t="s">
        <v>73</v>
      </c>
      <c r="C713" s="134" t="s">
        <v>84</v>
      </c>
      <c r="D713" s="133" t="s">
        <v>377</v>
      </c>
      <c r="E713" s="151">
        <v>42742.0</v>
      </c>
      <c r="F713" s="110" t="str">
        <f t="shared" ref="F713:F724" si="65">TEXT(E713, "mmm") &amp; "-" &amp; TEXT(E713, "yyyy") </f>
        <v>Jan-2017</v>
      </c>
      <c r="G713" s="110" t="s">
        <v>20</v>
      </c>
      <c r="H713" s="47" t="s">
        <v>287</v>
      </c>
      <c r="I713" s="79" t="s">
        <v>181</v>
      </c>
      <c r="J713" s="47" t="s">
        <v>27</v>
      </c>
      <c r="K713" s="47" t="s">
        <v>9</v>
      </c>
      <c r="L713" s="47" t="s">
        <v>24</v>
      </c>
      <c r="M713" s="47" t="s">
        <v>24</v>
      </c>
      <c r="N713" s="47" t="s">
        <v>37</v>
      </c>
      <c r="O713" s="152"/>
      <c r="P713" s="152"/>
      <c r="Q713" s="153"/>
    </row>
    <row r="714">
      <c r="A714" s="134" t="s">
        <v>73</v>
      </c>
      <c r="B714" s="134" t="s">
        <v>73</v>
      </c>
      <c r="C714" s="134" t="s">
        <v>84</v>
      </c>
      <c r="D714" s="133" t="s">
        <v>377</v>
      </c>
      <c r="E714" s="154">
        <v>42742.0</v>
      </c>
      <c r="F714" s="13" t="str">
        <f t="shared" si="65"/>
        <v>Jan-2017</v>
      </c>
      <c r="G714" s="17" t="s">
        <v>25</v>
      </c>
      <c r="H714" s="16" t="s">
        <v>287</v>
      </c>
      <c r="I714" s="48" t="s">
        <v>181</v>
      </c>
      <c r="J714" s="16" t="s">
        <v>27</v>
      </c>
      <c r="K714" s="16" t="s">
        <v>9</v>
      </c>
      <c r="L714" s="16" t="s">
        <v>24</v>
      </c>
      <c r="M714" s="16"/>
      <c r="N714" s="16" t="s">
        <v>98</v>
      </c>
      <c r="O714" s="101"/>
      <c r="P714" s="101"/>
      <c r="Q714" s="102"/>
    </row>
    <row r="715">
      <c r="A715" s="134" t="s">
        <v>289</v>
      </c>
      <c r="B715" s="134" t="s">
        <v>73</v>
      </c>
      <c r="C715" s="134" t="s">
        <v>84</v>
      </c>
      <c r="D715" s="133" t="s">
        <v>377</v>
      </c>
      <c r="E715" s="154">
        <v>42742.0</v>
      </c>
      <c r="F715" s="22" t="str">
        <f t="shared" si="65"/>
        <v>Jan-2017</v>
      </c>
      <c r="G715" s="22" t="s">
        <v>20</v>
      </c>
      <c r="H715" s="25" t="s">
        <v>287</v>
      </c>
      <c r="I715" s="80" t="s">
        <v>378</v>
      </c>
      <c r="J715" s="25" t="s">
        <v>64</v>
      </c>
      <c r="K715" s="25" t="s">
        <v>9</v>
      </c>
      <c r="L715" s="25" t="s">
        <v>30</v>
      </c>
      <c r="M715" s="25" t="s">
        <v>30</v>
      </c>
      <c r="N715" s="25" t="s">
        <v>69</v>
      </c>
      <c r="Q715" s="99"/>
    </row>
    <row r="716">
      <c r="A716" s="155">
        <v>42742.0</v>
      </c>
      <c r="B716" s="134" t="s">
        <v>73</v>
      </c>
      <c r="C716" s="134" t="s">
        <v>84</v>
      </c>
      <c r="D716" s="133" t="s">
        <v>377</v>
      </c>
      <c r="E716" s="154">
        <v>42742.0</v>
      </c>
      <c r="F716" s="22" t="str">
        <f t="shared" si="65"/>
        <v>Jan-2017</v>
      </c>
      <c r="G716" s="26" t="s">
        <v>25</v>
      </c>
      <c r="H716" s="25" t="s">
        <v>287</v>
      </c>
      <c r="I716" s="80" t="s">
        <v>378</v>
      </c>
      <c r="J716" s="25" t="s">
        <v>27</v>
      </c>
      <c r="K716" s="25" t="s">
        <v>9</v>
      </c>
      <c r="L716" s="25" t="s">
        <v>30</v>
      </c>
      <c r="M716" s="25"/>
      <c r="N716" s="25" t="s">
        <v>106</v>
      </c>
      <c r="Q716" s="99"/>
    </row>
    <row r="717">
      <c r="A717" s="134" t="s">
        <v>84</v>
      </c>
      <c r="B717" s="134" t="s">
        <v>73</v>
      </c>
      <c r="C717" s="134" t="s">
        <v>84</v>
      </c>
      <c r="D717" s="133" t="s">
        <v>377</v>
      </c>
      <c r="E717" s="154">
        <v>42742.0</v>
      </c>
      <c r="F717" s="13" t="str">
        <f t="shared" si="65"/>
        <v>Jan-2017</v>
      </c>
      <c r="G717" s="13" t="s">
        <v>20</v>
      </c>
      <c r="H717" s="16" t="s">
        <v>287</v>
      </c>
      <c r="I717" s="48" t="s">
        <v>379</v>
      </c>
      <c r="J717" s="16" t="s">
        <v>71</v>
      </c>
      <c r="K717" s="16" t="s">
        <v>9</v>
      </c>
      <c r="L717" s="16" t="s">
        <v>30</v>
      </c>
      <c r="M717" s="16" t="s">
        <v>30</v>
      </c>
      <c r="N717" s="16" t="s">
        <v>99</v>
      </c>
      <c r="O717" s="101"/>
      <c r="P717" s="101"/>
      <c r="Q717" s="102"/>
    </row>
    <row r="718">
      <c r="A718" s="140"/>
      <c r="B718" s="134" t="s">
        <v>73</v>
      </c>
      <c r="C718" s="134" t="s">
        <v>84</v>
      </c>
      <c r="D718" s="133" t="s">
        <v>377</v>
      </c>
      <c r="E718" s="154">
        <v>42742.0</v>
      </c>
      <c r="F718" s="13" t="str">
        <f t="shared" si="65"/>
        <v>Jan-2017</v>
      </c>
      <c r="G718" s="17" t="s">
        <v>25</v>
      </c>
      <c r="H718" s="16" t="s">
        <v>287</v>
      </c>
      <c r="I718" s="48" t="s">
        <v>379</v>
      </c>
      <c r="J718" s="16" t="s">
        <v>71</v>
      </c>
      <c r="K718" s="16" t="s">
        <v>9</v>
      </c>
      <c r="L718" s="16" t="s">
        <v>30</v>
      </c>
      <c r="M718" s="16"/>
      <c r="N718" s="16" t="s">
        <v>99</v>
      </c>
      <c r="O718" s="101"/>
      <c r="P718" s="101"/>
      <c r="Q718" s="102"/>
    </row>
    <row r="719">
      <c r="A719" s="140"/>
      <c r="B719" s="134" t="s">
        <v>73</v>
      </c>
      <c r="C719" s="134" t="s">
        <v>84</v>
      </c>
      <c r="D719" s="133" t="s">
        <v>377</v>
      </c>
      <c r="E719" s="154">
        <v>42742.0</v>
      </c>
      <c r="F719" s="22" t="str">
        <f t="shared" si="65"/>
        <v>Jan-2017</v>
      </c>
      <c r="G719" s="22" t="s">
        <v>20</v>
      </c>
      <c r="H719" s="25" t="s">
        <v>287</v>
      </c>
      <c r="I719" s="80" t="s">
        <v>47</v>
      </c>
      <c r="J719" s="25" t="s">
        <v>48</v>
      </c>
      <c r="K719" s="25" t="s">
        <v>9</v>
      </c>
      <c r="L719" s="25" t="s">
        <v>24</v>
      </c>
      <c r="M719" s="25" t="s">
        <v>24</v>
      </c>
      <c r="N719" s="25" t="s">
        <v>98</v>
      </c>
      <c r="Q719" s="99"/>
    </row>
    <row r="720">
      <c r="A720" s="140"/>
      <c r="B720" s="134" t="s">
        <v>73</v>
      </c>
      <c r="C720" s="134" t="s">
        <v>84</v>
      </c>
      <c r="D720" s="133" t="s">
        <v>377</v>
      </c>
      <c r="E720" s="154">
        <v>42742.0</v>
      </c>
      <c r="F720" s="22" t="str">
        <f t="shared" si="65"/>
        <v>Jan-2017</v>
      </c>
      <c r="G720" s="26" t="s">
        <v>25</v>
      </c>
      <c r="H720" s="25" t="s">
        <v>287</v>
      </c>
      <c r="I720" s="80" t="s">
        <v>47</v>
      </c>
      <c r="J720" s="25" t="s">
        <v>48</v>
      </c>
      <c r="K720" s="25" t="s">
        <v>9</v>
      </c>
      <c r="L720" s="25" t="s">
        <v>24</v>
      </c>
      <c r="M720" s="25"/>
      <c r="N720" s="25" t="s">
        <v>106</v>
      </c>
      <c r="Q720" s="99"/>
    </row>
    <row r="721">
      <c r="A721" s="140"/>
      <c r="B721" s="134" t="s">
        <v>73</v>
      </c>
      <c r="C721" s="134" t="s">
        <v>84</v>
      </c>
      <c r="D721" s="133" t="s">
        <v>377</v>
      </c>
      <c r="E721" s="154">
        <v>42742.0</v>
      </c>
      <c r="F721" s="13" t="str">
        <f t="shared" si="65"/>
        <v>Jan-2017</v>
      </c>
      <c r="G721" s="13" t="s">
        <v>20</v>
      </c>
      <c r="H721" s="16" t="s">
        <v>35</v>
      </c>
      <c r="I721" s="48" t="s">
        <v>380</v>
      </c>
      <c r="J721" s="16" t="s">
        <v>44</v>
      </c>
      <c r="K721" s="16" t="s">
        <v>9</v>
      </c>
      <c r="L721" s="16" t="s">
        <v>24</v>
      </c>
      <c r="M721" s="16" t="s">
        <v>24</v>
      </c>
      <c r="N721" s="16" t="s">
        <v>98</v>
      </c>
      <c r="O721" s="101"/>
      <c r="P721" s="101"/>
      <c r="Q721" s="102"/>
    </row>
    <row r="722">
      <c r="A722" s="140"/>
      <c r="B722" s="134" t="s">
        <v>73</v>
      </c>
      <c r="C722" s="134" t="s">
        <v>84</v>
      </c>
      <c r="D722" s="133" t="s">
        <v>377</v>
      </c>
      <c r="E722" s="154">
        <v>42742.0</v>
      </c>
      <c r="F722" s="13" t="str">
        <f t="shared" si="65"/>
        <v>Jan-2017</v>
      </c>
      <c r="G722" s="17" t="s">
        <v>25</v>
      </c>
      <c r="H722" s="16" t="s">
        <v>35</v>
      </c>
      <c r="I722" s="48" t="s">
        <v>380</v>
      </c>
      <c r="J722" s="16" t="s">
        <v>44</v>
      </c>
      <c r="K722" s="16" t="s">
        <v>9</v>
      </c>
      <c r="L722" s="16" t="s">
        <v>24</v>
      </c>
      <c r="M722" s="16"/>
      <c r="N722" s="16" t="s">
        <v>69</v>
      </c>
      <c r="O722" s="101"/>
      <c r="P722" s="101"/>
      <c r="Q722" s="102"/>
    </row>
    <row r="723">
      <c r="A723" s="140"/>
      <c r="B723" s="134" t="s">
        <v>73</v>
      </c>
      <c r="C723" s="134" t="s">
        <v>84</v>
      </c>
      <c r="D723" s="133" t="s">
        <v>377</v>
      </c>
      <c r="E723" s="154">
        <v>42742.0</v>
      </c>
      <c r="F723" s="22" t="str">
        <f t="shared" si="65"/>
        <v>Jan-2017</v>
      </c>
      <c r="G723" s="22" t="s">
        <v>20</v>
      </c>
      <c r="H723" s="25" t="s">
        <v>35</v>
      </c>
      <c r="I723" s="80" t="s">
        <v>101</v>
      </c>
      <c r="J723" s="25" t="s">
        <v>102</v>
      </c>
      <c r="K723" s="25" t="s">
        <v>9</v>
      </c>
      <c r="L723" s="25" t="s">
        <v>24</v>
      </c>
      <c r="M723" s="25" t="s">
        <v>24</v>
      </c>
      <c r="N723" s="25" t="s">
        <v>98</v>
      </c>
      <c r="Q723" s="99"/>
    </row>
    <row r="724">
      <c r="A724" s="141"/>
      <c r="B724" s="134" t="s">
        <v>73</v>
      </c>
      <c r="C724" s="134" t="s">
        <v>84</v>
      </c>
      <c r="D724" s="133" t="s">
        <v>377</v>
      </c>
      <c r="E724" s="156">
        <v>42742.0</v>
      </c>
      <c r="F724" s="52" t="str">
        <f t="shared" si="65"/>
        <v>Jan-2017</v>
      </c>
      <c r="G724" s="76" t="s">
        <v>25</v>
      </c>
      <c r="H724" s="55" t="s">
        <v>35</v>
      </c>
      <c r="I724" s="113" t="s">
        <v>101</v>
      </c>
      <c r="J724" s="55" t="s">
        <v>102</v>
      </c>
      <c r="K724" s="55" t="s">
        <v>9</v>
      </c>
      <c r="L724" s="55" t="s">
        <v>24</v>
      </c>
      <c r="M724" s="55"/>
      <c r="N724" s="55" t="s">
        <v>98</v>
      </c>
      <c r="O724" s="143"/>
      <c r="P724" s="143"/>
      <c r="Q724" s="144"/>
    </row>
    <row r="725">
      <c r="A725" s="107"/>
      <c r="B725" s="95"/>
      <c r="C725" s="95"/>
      <c r="D725" s="95"/>
      <c r="E725" s="95"/>
      <c r="I725" s="23"/>
    </row>
    <row r="726">
      <c r="A726" s="133" t="s">
        <v>374</v>
      </c>
      <c r="B726" s="134" t="s">
        <v>18</v>
      </c>
      <c r="C726" s="134" t="s">
        <v>74</v>
      </c>
      <c r="D726" s="133" t="s">
        <v>374</v>
      </c>
      <c r="E726" s="189">
        <v>42739.0</v>
      </c>
      <c r="F726" s="85" t="str">
        <f t="shared" ref="F726:F733" si="66">TEXT(E726, "mmm") &amp; "-" &amp; TEXT(E726, "yyyy") </f>
        <v>Jan-2017</v>
      </c>
      <c r="G726" s="85" t="s">
        <v>20</v>
      </c>
      <c r="H726" s="73" t="s">
        <v>35</v>
      </c>
      <c r="I726" s="86" t="s">
        <v>381</v>
      </c>
      <c r="J726" s="73" t="s">
        <v>44</v>
      </c>
      <c r="K726" s="73" t="s">
        <v>9</v>
      </c>
      <c r="L726" s="73" t="s">
        <v>30</v>
      </c>
      <c r="M726" s="73" t="s">
        <v>24</v>
      </c>
      <c r="N726" s="73" t="s">
        <v>98</v>
      </c>
      <c r="O726" s="165"/>
      <c r="P726" s="165"/>
      <c r="Q726" s="166"/>
    </row>
    <row r="727">
      <c r="A727" s="134" t="s">
        <v>18</v>
      </c>
      <c r="B727" s="134" t="s">
        <v>18</v>
      </c>
      <c r="C727" s="134" t="s">
        <v>74</v>
      </c>
      <c r="D727" s="133" t="s">
        <v>374</v>
      </c>
      <c r="E727" s="189">
        <v>42739.0</v>
      </c>
      <c r="F727" s="22" t="str">
        <f t="shared" si="66"/>
        <v>Jan-2017</v>
      </c>
      <c r="G727" s="26" t="s">
        <v>25</v>
      </c>
      <c r="H727" s="25" t="s">
        <v>35</v>
      </c>
      <c r="I727" s="80" t="s">
        <v>381</v>
      </c>
      <c r="J727" s="25" t="s">
        <v>44</v>
      </c>
      <c r="K727" s="25" t="s">
        <v>9</v>
      </c>
      <c r="L727" s="25" t="s">
        <v>24</v>
      </c>
      <c r="M727" s="25"/>
      <c r="N727" s="25" t="s">
        <v>106</v>
      </c>
      <c r="Q727" s="99"/>
    </row>
    <row r="728">
      <c r="A728" s="134" t="s">
        <v>331</v>
      </c>
      <c r="B728" s="134" t="s">
        <v>18</v>
      </c>
      <c r="C728" s="134" t="s">
        <v>74</v>
      </c>
      <c r="D728" s="133" t="s">
        <v>374</v>
      </c>
      <c r="E728" s="189">
        <v>42739.0</v>
      </c>
      <c r="F728" s="22" t="str">
        <f t="shared" si="66"/>
        <v>Jan-2017</v>
      </c>
      <c r="G728" s="26" t="s">
        <v>32</v>
      </c>
      <c r="H728" s="25" t="s">
        <v>35</v>
      </c>
      <c r="I728" s="80" t="s">
        <v>381</v>
      </c>
      <c r="J728" s="25" t="s">
        <v>44</v>
      </c>
      <c r="K728" s="25" t="s">
        <v>9</v>
      </c>
      <c r="L728" s="25" t="s">
        <v>24</v>
      </c>
      <c r="M728" s="25"/>
      <c r="N728" s="25" t="s">
        <v>69</v>
      </c>
      <c r="Q728" s="99"/>
    </row>
    <row r="729">
      <c r="A729" s="189">
        <v>42744.0</v>
      </c>
      <c r="B729" s="134" t="s">
        <v>18</v>
      </c>
      <c r="C729" s="134" t="s">
        <v>74</v>
      </c>
      <c r="D729" s="133" t="s">
        <v>374</v>
      </c>
      <c r="E729" s="189">
        <v>42739.0</v>
      </c>
      <c r="F729" s="13" t="str">
        <f t="shared" si="66"/>
        <v>Jan-2017</v>
      </c>
      <c r="G729" s="13" t="s">
        <v>20</v>
      </c>
      <c r="H729" s="16" t="s">
        <v>35</v>
      </c>
      <c r="I729" s="48" t="s">
        <v>52</v>
      </c>
      <c r="J729" s="16" t="s">
        <v>23</v>
      </c>
      <c r="K729" s="16" t="s">
        <v>9</v>
      </c>
      <c r="L729" s="16" t="s">
        <v>30</v>
      </c>
      <c r="M729" s="16" t="s">
        <v>30</v>
      </c>
      <c r="N729" s="16" t="s">
        <v>98</v>
      </c>
      <c r="O729" s="101"/>
      <c r="P729" s="101"/>
      <c r="Q729" s="102"/>
    </row>
    <row r="730">
      <c r="A730" s="134" t="s">
        <v>74</v>
      </c>
      <c r="B730" s="134" t="s">
        <v>18</v>
      </c>
      <c r="C730" s="134" t="s">
        <v>74</v>
      </c>
      <c r="D730" s="133" t="s">
        <v>374</v>
      </c>
      <c r="E730" s="189">
        <v>42739.0</v>
      </c>
      <c r="F730" s="13" t="str">
        <f t="shared" si="66"/>
        <v>Jan-2017</v>
      </c>
      <c r="G730" s="17" t="s">
        <v>25</v>
      </c>
      <c r="H730" s="16" t="s">
        <v>35</v>
      </c>
      <c r="I730" s="48" t="s">
        <v>52</v>
      </c>
      <c r="J730" s="16" t="s">
        <v>23</v>
      </c>
      <c r="K730" s="16" t="s">
        <v>9</v>
      </c>
      <c r="L730" s="16" t="s">
        <v>30</v>
      </c>
      <c r="M730" s="16"/>
      <c r="N730" s="16" t="s">
        <v>69</v>
      </c>
      <c r="O730" s="101"/>
      <c r="P730" s="101"/>
      <c r="Q730" s="102"/>
    </row>
    <row r="731">
      <c r="A731" s="140"/>
      <c r="B731" s="134" t="s">
        <v>18</v>
      </c>
      <c r="C731" s="134" t="s">
        <v>74</v>
      </c>
      <c r="D731" s="133" t="s">
        <v>374</v>
      </c>
      <c r="E731" s="189">
        <v>42739.0</v>
      </c>
      <c r="F731" s="22" t="str">
        <f t="shared" si="66"/>
        <v>Jan-2017</v>
      </c>
      <c r="G731" s="22" t="s">
        <v>20</v>
      </c>
      <c r="H731" s="25" t="s">
        <v>35</v>
      </c>
      <c r="I731" s="80" t="s">
        <v>382</v>
      </c>
      <c r="J731" s="25" t="s">
        <v>27</v>
      </c>
      <c r="K731" s="25" t="s">
        <v>9</v>
      </c>
      <c r="L731" s="25" t="s">
        <v>30</v>
      </c>
      <c r="M731" s="25" t="s">
        <v>24</v>
      </c>
      <c r="N731" s="25" t="s">
        <v>37</v>
      </c>
      <c r="Q731" s="99"/>
    </row>
    <row r="732">
      <c r="A732" s="140"/>
      <c r="B732" s="134" t="s">
        <v>18</v>
      </c>
      <c r="C732" s="134" t="s">
        <v>74</v>
      </c>
      <c r="D732" s="133" t="s">
        <v>374</v>
      </c>
      <c r="E732" s="189">
        <v>42739.0</v>
      </c>
      <c r="F732" s="22" t="str">
        <f t="shared" si="66"/>
        <v>Jan-2017</v>
      </c>
      <c r="G732" s="26" t="s">
        <v>25</v>
      </c>
      <c r="H732" s="25" t="s">
        <v>35</v>
      </c>
      <c r="I732" s="80" t="s">
        <v>382</v>
      </c>
      <c r="J732" s="25" t="s">
        <v>27</v>
      </c>
      <c r="K732" s="25" t="s">
        <v>9</v>
      </c>
      <c r="L732" s="25" t="s">
        <v>24</v>
      </c>
      <c r="M732" s="25"/>
      <c r="N732" s="25" t="s">
        <v>29</v>
      </c>
      <c r="Q732" s="99"/>
    </row>
    <row r="733">
      <c r="A733" s="141"/>
      <c r="B733" s="134" t="s">
        <v>18</v>
      </c>
      <c r="C733" s="134" t="s">
        <v>74</v>
      </c>
      <c r="D733" s="133" t="s">
        <v>374</v>
      </c>
      <c r="E733" s="201">
        <v>42739.0</v>
      </c>
      <c r="F733" s="51" t="str">
        <f t="shared" si="66"/>
        <v>Jan-2017</v>
      </c>
      <c r="G733" s="129" t="s">
        <v>32</v>
      </c>
      <c r="H733" s="114" t="s">
        <v>35</v>
      </c>
      <c r="I733" s="130" t="s">
        <v>382</v>
      </c>
      <c r="J733" s="114" t="s">
        <v>27</v>
      </c>
      <c r="K733" s="114" t="s">
        <v>9</v>
      </c>
      <c r="L733" s="114" t="s">
        <v>24</v>
      </c>
      <c r="M733" s="114"/>
      <c r="N733" s="114" t="s">
        <v>99</v>
      </c>
      <c r="O733" s="202"/>
      <c r="P733" s="202"/>
      <c r="Q733" s="203"/>
    </row>
    <row r="734">
      <c r="A734" s="107"/>
      <c r="B734" s="95"/>
      <c r="C734" s="95"/>
      <c r="D734" s="95"/>
      <c r="E734" s="95"/>
      <c r="I734" s="23"/>
    </row>
    <row r="735">
      <c r="A735" s="133" t="s">
        <v>383</v>
      </c>
      <c r="B735" s="134" t="s">
        <v>18</v>
      </c>
      <c r="C735" s="134" t="s">
        <v>19</v>
      </c>
      <c r="D735" s="133" t="s">
        <v>383</v>
      </c>
      <c r="E735" s="151">
        <v>42742.0</v>
      </c>
      <c r="F735" s="110" t="str">
        <f t="shared" ref="F735:F745" si="67">TEXT(E735, "mmm") &amp; "-" &amp; TEXT(E735, "yyyy") </f>
        <v>Jan-2017</v>
      </c>
      <c r="G735" s="110" t="s">
        <v>20</v>
      </c>
      <c r="H735" s="47" t="s">
        <v>35</v>
      </c>
      <c r="I735" s="79" t="s">
        <v>384</v>
      </c>
      <c r="J735" s="47" t="s">
        <v>44</v>
      </c>
      <c r="K735" s="47" t="s">
        <v>9</v>
      </c>
      <c r="L735" s="47" t="s">
        <v>30</v>
      </c>
      <c r="M735" s="47" t="s">
        <v>30</v>
      </c>
      <c r="N735" s="47" t="s">
        <v>98</v>
      </c>
      <c r="O735" s="152"/>
      <c r="P735" s="152"/>
      <c r="Q735" s="136" t="s">
        <v>56</v>
      </c>
    </row>
    <row r="736">
      <c r="A736" s="134" t="s">
        <v>18</v>
      </c>
      <c r="B736" s="134" t="s">
        <v>18</v>
      </c>
      <c r="C736" s="134" t="s">
        <v>19</v>
      </c>
      <c r="D736" s="133" t="s">
        <v>383</v>
      </c>
      <c r="E736" s="154">
        <v>42742.0</v>
      </c>
      <c r="F736" s="13" t="str">
        <f t="shared" si="67"/>
        <v>Jan-2017</v>
      </c>
      <c r="G736" s="17" t="s">
        <v>25</v>
      </c>
      <c r="H736" s="16" t="s">
        <v>35</v>
      </c>
      <c r="I736" s="48" t="s">
        <v>384</v>
      </c>
      <c r="J736" s="16" t="s">
        <v>44</v>
      </c>
      <c r="K736" s="16" t="s">
        <v>9</v>
      </c>
      <c r="L736" s="16" t="s">
        <v>30</v>
      </c>
      <c r="M736" s="16"/>
      <c r="N736" s="16" t="s">
        <v>98</v>
      </c>
      <c r="O736" s="101"/>
      <c r="P736" s="101"/>
      <c r="Q736" s="138" t="s">
        <v>56</v>
      </c>
    </row>
    <row r="737">
      <c r="A737" s="134" t="s">
        <v>385</v>
      </c>
      <c r="B737" s="134" t="s">
        <v>18</v>
      </c>
      <c r="C737" s="134" t="s">
        <v>19</v>
      </c>
      <c r="D737" s="133" t="s">
        <v>383</v>
      </c>
      <c r="E737" s="154">
        <v>42742.0</v>
      </c>
      <c r="F737" s="22" t="str">
        <f t="shared" si="67"/>
        <v>Jan-2017</v>
      </c>
      <c r="G737" s="22" t="s">
        <v>20</v>
      </c>
      <c r="H737" s="25" t="s">
        <v>35</v>
      </c>
      <c r="I737" s="80" t="s">
        <v>199</v>
      </c>
      <c r="J737" s="25" t="s">
        <v>27</v>
      </c>
      <c r="K737" s="25" t="s">
        <v>9</v>
      </c>
      <c r="L737" s="25" t="s">
        <v>30</v>
      </c>
      <c r="M737" s="25" t="s">
        <v>24</v>
      </c>
      <c r="N737" s="25" t="s">
        <v>69</v>
      </c>
      <c r="Q737" s="184"/>
    </row>
    <row r="738">
      <c r="A738" s="189">
        <v>42749.0</v>
      </c>
      <c r="B738" s="134" t="s">
        <v>18</v>
      </c>
      <c r="C738" s="134" t="s">
        <v>19</v>
      </c>
      <c r="D738" s="133" t="s">
        <v>383</v>
      </c>
      <c r="E738" s="154">
        <v>42742.0</v>
      </c>
      <c r="F738" s="22" t="str">
        <f t="shared" si="67"/>
        <v>Jan-2017</v>
      </c>
      <c r="G738" s="26" t="s">
        <v>25</v>
      </c>
      <c r="H738" s="25" t="s">
        <v>35</v>
      </c>
      <c r="I738" s="80" t="s">
        <v>199</v>
      </c>
      <c r="J738" s="25" t="s">
        <v>27</v>
      </c>
      <c r="K738" s="25" t="s">
        <v>9</v>
      </c>
      <c r="L738" s="25" t="s">
        <v>24</v>
      </c>
      <c r="M738" s="25"/>
      <c r="N738" s="25" t="s">
        <v>29</v>
      </c>
      <c r="Q738" s="99"/>
    </row>
    <row r="739">
      <c r="A739" s="134" t="s">
        <v>19</v>
      </c>
      <c r="B739" s="134" t="s">
        <v>18</v>
      </c>
      <c r="C739" s="134" t="s">
        <v>19</v>
      </c>
      <c r="D739" s="133" t="s">
        <v>383</v>
      </c>
      <c r="E739" s="154">
        <v>42742.0</v>
      </c>
      <c r="F739" s="22" t="str">
        <f t="shared" si="67"/>
        <v>Jan-2017</v>
      </c>
      <c r="G739" s="26" t="s">
        <v>32</v>
      </c>
      <c r="H739" s="25" t="s">
        <v>35</v>
      </c>
      <c r="I739" s="80" t="s">
        <v>199</v>
      </c>
      <c r="J739" s="25" t="s">
        <v>27</v>
      </c>
      <c r="K739" s="25" t="s">
        <v>9</v>
      </c>
      <c r="L739" s="25" t="s">
        <v>24</v>
      </c>
      <c r="M739" s="25"/>
      <c r="N739" s="25" t="s">
        <v>37</v>
      </c>
      <c r="Q739" s="99"/>
    </row>
    <row r="740">
      <c r="A740" s="140"/>
      <c r="B740" s="134" t="s">
        <v>18</v>
      </c>
      <c r="C740" s="134" t="s">
        <v>19</v>
      </c>
      <c r="D740" s="133" t="s">
        <v>383</v>
      </c>
      <c r="E740" s="154">
        <v>42742.0</v>
      </c>
      <c r="F740" s="13" t="str">
        <f t="shared" si="67"/>
        <v>Jan-2017</v>
      </c>
      <c r="G740" s="13" t="s">
        <v>20</v>
      </c>
      <c r="H740" s="16" t="s">
        <v>35</v>
      </c>
      <c r="I740" s="48" t="s">
        <v>386</v>
      </c>
      <c r="J740" s="16" t="s">
        <v>27</v>
      </c>
      <c r="K740" s="16" t="s">
        <v>9</v>
      </c>
      <c r="L740" s="16" t="s">
        <v>30</v>
      </c>
      <c r="M740" s="16" t="s">
        <v>30</v>
      </c>
      <c r="N740" s="16" t="s">
        <v>69</v>
      </c>
      <c r="O740" s="101"/>
      <c r="P740" s="101"/>
      <c r="Q740" s="102"/>
    </row>
    <row r="741">
      <c r="A741" s="140"/>
      <c r="B741" s="134" t="s">
        <v>18</v>
      </c>
      <c r="C741" s="134" t="s">
        <v>19</v>
      </c>
      <c r="D741" s="133" t="s">
        <v>383</v>
      </c>
      <c r="E741" s="154">
        <v>42742.0</v>
      </c>
      <c r="F741" s="13" t="str">
        <f t="shared" si="67"/>
        <v>Jan-2017</v>
      </c>
      <c r="G741" s="17" t="s">
        <v>25</v>
      </c>
      <c r="H741" s="16" t="s">
        <v>35</v>
      </c>
      <c r="I741" s="48" t="s">
        <v>386</v>
      </c>
      <c r="J741" s="16" t="s">
        <v>27</v>
      </c>
      <c r="K741" s="16" t="s">
        <v>9</v>
      </c>
      <c r="L741" s="16" t="s">
        <v>30</v>
      </c>
      <c r="M741" s="16"/>
      <c r="N741" s="16" t="s">
        <v>37</v>
      </c>
      <c r="O741" s="101"/>
      <c r="P741" s="101"/>
      <c r="Q741" s="102"/>
    </row>
    <row r="742">
      <c r="A742" s="140"/>
      <c r="B742" s="134" t="s">
        <v>18</v>
      </c>
      <c r="C742" s="134" t="s">
        <v>19</v>
      </c>
      <c r="D742" s="133" t="s">
        <v>383</v>
      </c>
      <c r="E742" s="154">
        <v>42742.0</v>
      </c>
      <c r="F742" s="22" t="str">
        <f t="shared" si="67"/>
        <v>Jan-2017</v>
      </c>
      <c r="G742" s="22" t="s">
        <v>20</v>
      </c>
      <c r="H742" s="25" t="s">
        <v>35</v>
      </c>
      <c r="I742" s="80" t="s">
        <v>387</v>
      </c>
      <c r="J742" s="25" t="s">
        <v>23</v>
      </c>
      <c r="K742" s="25" t="s">
        <v>9</v>
      </c>
      <c r="L742" s="25" t="s">
        <v>30</v>
      </c>
      <c r="M742" s="25" t="s">
        <v>30</v>
      </c>
      <c r="N742" s="25" t="s">
        <v>98</v>
      </c>
      <c r="Q742" s="99"/>
    </row>
    <row r="743">
      <c r="A743" s="140"/>
      <c r="B743" s="134" t="s">
        <v>18</v>
      </c>
      <c r="C743" s="134" t="s">
        <v>19</v>
      </c>
      <c r="D743" s="133" t="s">
        <v>383</v>
      </c>
      <c r="E743" s="154">
        <v>42742.0</v>
      </c>
      <c r="F743" s="22" t="str">
        <f t="shared" si="67"/>
        <v>Jan-2017</v>
      </c>
      <c r="G743" s="26" t="s">
        <v>25</v>
      </c>
      <c r="H743" s="25" t="s">
        <v>35</v>
      </c>
      <c r="I743" s="80" t="s">
        <v>387</v>
      </c>
      <c r="J743" s="25" t="s">
        <v>23</v>
      </c>
      <c r="K743" s="25" t="s">
        <v>9</v>
      </c>
      <c r="L743" s="25" t="s">
        <v>30</v>
      </c>
      <c r="M743" s="25"/>
      <c r="N743" s="25" t="s">
        <v>69</v>
      </c>
      <c r="Q743" s="99"/>
    </row>
    <row r="744">
      <c r="A744" s="140"/>
      <c r="B744" s="134" t="s">
        <v>18</v>
      </c>
      <c r="C744" s="134" t="s">
        <v>19</v>
      </c>
      <c r="D744" s="133" t="s">
        <v>383</v>
      </c>
      <c r="E744" s="154">
        <v>42742.0</v>
      </c>
      <c r="F744" s="13" t="str">
        <f t="shared" si="67"/>
        <v>Jan-2017</v>
      </c>
      <c r="G744" s="13" t="s">
        <v>20</v>
      </c>
      <c r="H744" s="16" t="s">
        <v>35</v>
      </c>
      <c r="I744" s="48" t="s">
        <v>388</v>
      </c>
      <c r="J744" s="16" t="s">
        <v>216</v>
      </c>
      <c r="K744" s="16" t="s">
        <v>9</v>
      </c>
      <c r="L744" s="16" t="s">
        <v>24</v>
      </c>
      <c r="M744" s="16" t="s">
        <v>24</v>
      </c>
      <c r="N744" s="16" t="s">
        <v>98</v>
      </c>
      <c r="O744" s="101"/>
      <c r="P744" s="101"/>
      <c r="Q744" s="138" t="s">
        <v>56</v>
      </c>
    </row>
    <row r="745">
      <c r="A745" s="141"/>
      <c r="B745" s="134" t="s">
        <v>18</v>
      </c>
      <c r="C745" s="134" t="s">
        <v>19</v>
      </c>
      <c r="D745" s="133" t="s">
        <v>383</v>
      </c>
      <c r="E745" s="156">
        <v>42742.0</v>
      </c>
      <c r="F745" s="35" t="str">
        <f t="shared" si="67"/>
        <v>Jan-2017</v>
      </c>
      <c r="G745" s="93" t="s">
        <v>25</v>
      </c>
      <c r="H745" s="38" t="s">
        <v>35</v>
      </c>
      <c r="I745" s="122" t="s">
        <v>388</v>
      </c>
      <c r="J745" s="38" t="s">
        <v>216</v>
      </c>
      <c r="K745" s="38" t="s">
        <v>9</v>
      </c>
      <c r="L745" s="38" t="s">
        <v>24</v>
      </c>
      <c r="M745" s="38"/>
      <c r="N745" s="38" t="s">
        <v>98</v>
      </c>
      <c r="O745" s="105"/>
      <c r="P745" s="105"/>
      <c r="Q745" s="177" t="s">
        <v>56</v>
      </c>
    </row>
    <row r="746">
      <c r="A746" s="107"/>
      <c r="B746" s="95"/>
      <c r="C746" s="95"/>
      <c r="D746" s="95"/>
      <c r="E746" s="95"/>
      <c r="I746" s="23"/>
    </row>
    <row r="747">
      <c r="A747" s="133" t="s">
        <v>389</v>
      </c>
      <c r="B747" s="134" t="s">
        <v>18</v>
      </c>
      <c r="C747" s="204" t="s">
        <v>74</v>
      </c>
      <c r="D747" s="133" t="s">
        <v>389</v>
      </c>
      <c r="E747" s="189">
        <v>42751.0</v>
      </c>
      <c r="F747" s="85" t="str">
        <f t="shared" ref="F747:F751" si="68">TEXT(E747, "mmm") &amp; "-" &amp; TEXT(E747, "yyyy") </f>
        <v>Jan-2017</v>
      </c>
      <c r="G747" s="85" t="s">
        <v>20</v>
      </c>
      <c r="H747" s="73" t="s">
        <v>35</v>
      </c>
      <c r="I747" s="86" t="s">
        <v>333</v>
      </c>
      <c r="J747" s="73" t="s">
        <v>86</v>
      </c>
      <c r="K747" s="73" t="s">
        <v>9</v>
      </c>
      <c r="L747" s="73" t="s">
        <v>30</v>
      </c>
      <c r="M747" s="73" t="s">
        <v>24</v>
      </c>
      <c r="N747" s="73" t="s">
        <v>69</v>
      </c>
      <c r="O747" s="165"/>
      <c r="P747" s="165"/>
      <c r="Q747" s="166"/>
    </row>
    <row r="748">
      <c r="A748" s="134" t="s">
        <v>18</v>
      </c>
      <c r="B748" s="134" t="s">
        <v>18</v>
      </c>
      <c r="C748" s="204" t="s">
        <v>74</v>
      </c>
      <c r="D748" s="133" t="s">
        <v>389</v>
      </c>
      <c r="E748" s="189">
        <v>42751.0</v>
      </c>
      <c r="F748" s="22" t="str">
        <f t="shared" si="68"/>
        <v>Jan-2017</v>
      </c>
      <c r="G748" s="26" t="s">
        <v>25</v>
      </c>
      <c r="H748" s="25" t="s">
        <v>35</v>
      </c>
      <c r="I748" s="80" t="s">
        <v>333</v>
      </c>
      <c r="J748" s="25" t="s">
        <v>86</v>
      </c>
      <c r="K748" s="25" t="s">
        <v>9</v>
      </c>
      <c r="L748" s="25" t="s">
        <v>24</v>
      </c>
      <c r="M748" s="25"/>
      <c r="N748" s="25" t="s">
        <v>106</v>
      </c>
      <c r="Q748" s="99"/>
    </row>
    <row r="749">
      <c r="A749" s="134" t="s">
        <v>331</v>
      </c>
      <c r="B749" s="134" t="s">
        <v>18</v>
      </c>
      <c r="C749" s="204" t="s">
        <v>74</v>
      </c>
      <c r="D749" s="133" t="s">
        <v>389</v>
      </c>
      <c r="E749" s="189">
        <v>42751.0</v>
      </c>
      <c r="F749" s="22" t="str">
        <f t="shared" si="68"/>
        <v>Jan-2017</v>
      </c>
      <c r="G749" s="26" t="s">
        <v>32</v>
      </c>
      <c r="H749" s="25" t="s">
        <v>35</v>
      </c>
      <c r="I749" s="80" t="s">
        <v>333</v>
      </c>
      <c r="J749" s="25" t="s">
        <v>86</v>
      </c>
      <c r="K749" s="25" t="s">
        <v>9</v>
      </c>
      <c r="L749" s="25" t="s">
        <v>24</v>
      </c>
      <c r="M749" s="25"/>
      <c r="N749" s="25" t="s">
        <v>99</v>
      </c>
      <c r="Q749" s="99"/>
    </row>
    <row r="750">
      <c r="A750" s="189">
        <v>42751.0</v>
      </c>
      <c r="B750" s="134" t="s">
        <v>18</v>
      </c>
      <c r="C750" s="204" t="s">
        <v>74</v>
      </c>
      <c r="D750" s="133" t="s">
        <v>389</v>
      </c>
      <c r="E750" s="189">
        <v>42751.0</v>
      </c>
      <c r="F750" s="13" t="str">
        <f t="shared" si="68"/>
        <v>Jan-2017</v>
      </c>
      <c r="G750" s="13" t="s">
        <v>20</v>
      </c>
      <c r="H750" s="16" t="s">
        <v>35</v>
      </c>
      <c r="I750" s="48" t="s">
        <v>93</v>
      </c>
      <c r="J750" s="16" t="s">
        <v>23</v>
      </c>
      <c r="K750" s="16" t="s">
        <v>9</v>
      </c>
      <c r="L750" s="16" t="s">
        <v>24</v>
      </c>
      <c r="M750" s="16" t="s">
        <v>24</v>
      </c>
      <c r="N750" s="16" t="s">
        <v>98</v>
      </c>
      <c r="O750" s="101"/>
      <c r="P750" s="101"/>
      <c r="Q750" s="102"/>
    </row>
    <row r="751">
      <c r="A751" s="204" t="s">
        <v>74</v>
      </c>
      <c r="B751" s="134" t="s">
        <v>18</v>
      </c>
      <c r="C751" s="204" t="s">
        <v>74</v>
      </c>
      <c r="D751" s="133" t="s">
        <v>389</v>
      </c>
      <c r="E751" s="201">
        <v>42751.0</v>
      </c>
      <c r="F751" s="35" t="str">
        <f t="shared" si="68"/>
        <v>Jan-2017</v>
      </c>
      <c r="G751" s="93" t="s">
        <v>25</v>
      </c>
      <c r="H751" s="38" t="s">
        <v>35</v>
      </c>
      <c r="I751" s="122" t="s">
        <v>93</v>
      </c>
      <c r="J751" s="38" t="s">
        <v>23</v>
      </c>
      <c r="K751" s="38" t="s">
        <v>9</v>
      </c>
      <c r="L751" s="38" t="s">
        <v>24</v>
      </c>
      <c r="M751" s="38"/>
      <c r="N751" s="38" t="s">
        <v>69</v>
      </c>
      <c r="O751" s="105"/>
      <c r="P751" s="105"/>
      <c r="Q751" s="106"/>
    </row>
    <row r="752">
      <c r="A752" s="107"/>
      <c r="B752" s="95"/>
      <c r="C752" s="95"/>
      <c r="D752" s="95"/>
      <c r="E752" s="95"/>
      <c r="I752" s="23"/>
    </row>
    <row r="753">
      <c r="A753" s="133" t="s">
        <v>390</v>
      </c>
      <c r="B753" s="134" t="s">
        <v>18</v>
      </c>
      <c r="C753" s="134" t="s">
        <v>74</v>
      </c>
      <c r="D753" s="133" t="s">
        <v>390</v>
      </c>
      <c r="E753" s="189">
        <v>42760.0</v>
      </c>
      <c r="F753" s="85" t="str">
        <f t="shared" ref="F753:F763" si="69">TEXT(E753, "mmm") &amp; "-" &amp; TEXT(E753, "yyyy") </f>
        <v>Jan-2017</v>
      </c>
      <c r="G753" s="85" t="s">
        <v>20</v>
      </c>
      <c r="H753" s="73" t="s">
        <v>35</v>
      </c>
      <c r="I753" s="86" t="s">
        <v>391</v>
      </c>
      <c r="J753" s="73" t="s">
        <v>27</v>
      </c>
      <c r="K753" s="73" t="s">
        <v>9</v>
      </c>
      <c r="L753" s="73" t="s">
        <v>30</v>
      </c>
      <c r="M753" s="73" t="s">
        <v>30</v>
      </c>
      <c r="N753" s="73" t="s">
        <v>98</v>
      </c>
      <c r="O753" s="165"/>
      <c r="P753" s="165"/>
      <c r="Q753" s="166"/>
    </row>
    <row r="754">
      <c r="A754" s="134" t="s">
        <v>18</v>
      </c>
      <c r="B754" s="134" t="s">
        <v>18</v>
      </c>
      <c r="C754" s="134" t="s">
        <v>74</v>
      </c>
      <c r="D754" s="133" t="s">
        <v>390</v>
      </c>
      <c r="E754" s="189">
        <v>42760.0</v>
      </c>
      <c r="F754" s="22" t="str">
        <f t="shared" si="69"/>
        <v>Jan-2017</v>
      </c>
      <c r="G754" s="26" t="s">
        <v>25</v>
      </c>
      <c r="H754" s="25" t="s">
        <v>35</v>
      </c>
      <c r="I754" s="80" t="s">
        <v>391</v>
      </c>
      <c r="J754" s="25" t="s">
        <v>27</v>
      </c>
      <c r="K754" s="25" t="s">
        <v>9</v>
      </c>
      <c r="L754" s="25" t="s">
        <v>30</v>
      </c>
      <c r="M754" s="25"/>
      <c r="N754" s="25" t="s">
        <v>29</v>
      </c>
      <c r="Q754" s="99"/>
    </row>
    <row r="755">
      <c r="A755" s="134" t="s">
        <v>331</v>
      </c>
      <c r="B755" s="134" t="s">
        <v>18</v>
      </c>
      <c r="C755" s="134" t="s">
        <v>74</v>
      </c>
      <c r="D755" s="133" t="s">
        <v>390</v>
      </c>
      <c r="E755" s="189">
        <v>42760.0</v>
      </c>
      <c r="F755" s="13" t="str">
        <f t="shared" si="69"/>
        <v>Jan-2017</v>
      </c>
      <c r="G755" s="13" t="s">
        <v>20</v>
      </c>
      <c r="H755" s="16" t="s">
        <v>35</v>
      </c>
      <c r="I755" s="48" t="s">
        <v>142</v>
      </c>
      <c r="J755" s="16" t="s">
        <v>44</v>
      </c>
      <c r="K755" s="16" t="s">
        <v>9</v>
      </c>
      <c r="L755" s="16" t="s">
        <v>24</v>
      </c>
      <c r="M755" s="16" t="s">
        <v>24</v>
      </c>
      <c r="N755" s="16" t="s">
        <v>98</v>
      </c>
      <c r="O755" s="101"/>
      <c r="P755" s="101"/>
      <c r="Q755" s="102"/>
    </row>
    <row r="756">
      <c r="A756" s="134" t="s">
        <v>74</v>
      </c>
      <c r="B756" s="134" t="s">
        <v>18</v>
      </c>
      <c r="C756" s="134" t="s">
        <v>74</v>
      </c>
      <c r="D756" s="133" t="s">
        <v>390</v>
      </c>
      <c r="E756" s="189">
        <v>42760.0</v>
      </c>
      <c r="F756" s="13" t="str">
        <f t="shared" si="69"/>
        <v>Jan-2017</v>
      </c>
      <c r="G756" s="17" t="s">
        <v>25</v>
      </c>
      <c r="H756" s="16" t="s">
        <v>35</v>
      </c>
      <c r="I756" s="48" t="s">
        <v>142</v>
      </c>
      <c r="J756" s="16" t="s">
        <v>44</v>
      </c>
      <c r="K756" s="16" t="s">
        <v>9</v>
      </c>
      <c r="L756" s="16" t="s">
        <v>24</v>
      </c>
      <c r="M756" s="16"/>
      <c r="N756" s="16" t="s">
        <v>69</v>
      </c>
      <c r="O756" s="101"/>
      <c r="P756" s="101"/>
      <c r="Q756" s="102"/>
    </row>
    <row r="757">
      <c r="A757" s="189"/>
      <c r="B757" s="134" t="s">
        <v>18</v>
      </c>
      <c r="C757" s="134" t="s">
        <v>74</v>
      </c>
      <c r="D757" s="133" t="s">
        <v>390</v>
      </c>
      <c r="E757" s="189">
        <v>42760.0</v>
      </c>
      <c r="F757" s="22" t="str">
        <f t="shared" si="69"/>
        <v>Jan-2017</v>
      </c>
      <c r="G757" s="22" t="s">
        <v>20</v>
      </c>
      <c r="H757" s="119" t="s">
        <v>35</v>
      </c>
      <c r="I757" s="126" t="s">
        <v>392</v>
      </c>
      <c r="J757" s="119" t="s">
        <v>97</v>
      </c>
      <c r="K757" s="119" t="s">
        <v>9</v>
      </c>
      <c r="L757" s="119" t="s">
        <v>30</v>
      </c>
      <c r="M757" s="119" t="s">
        <v>30</v>
      </c>
      <c r="N757" s="119" t="s">
        <v>98</v>
      </c>
      <c r="O757" s="174"/>
      <c r="P757" s="174"/>
      <c r="Q757" s="175"/>
    </row>
    <row r="758">
      <c r="A758" s="189"/>
      <c r="B758" s="134" t="s">
        <v>18</v>
      </c>
      <c r="C758" s="134" t="s">
        <v>74</v>
      </c>
      <c r="D758" s="133" t="s">
        <v>390</v>
      </c>
      <c r="E758" s="189">
        <v>42760.0</v>
      </c>
      <c r="F758" s="22" t="str">
        <f t="shared" si="69"/>
        <v>Jan-2017</v>
      </c>
      <c r="G758" s="26" t="s">
        <v>25</v>
      </c>
      <c r="H758" s="119" t="s">
        <v>35</v>
      </c>
      <c r="I758" s="126" t="s">
        <v>392</v>
      </c>
      <c r="J758" s="119" t="s">
        <v>97</v>
      </c>
      <c r="K758" s="119" t="s">
        <v>9</v>
      </c>
      <c r="L758" s="119" t="s">
        <v>30</v>
      </c>
      <c r="M758" s="119"/>
      <c r="N758" s="119" t="s">
        <v>99</v>
      </c>
      <c r="O758" s="174"/>
      <c r="P758" s="174"/>
      <c r="Q758" s="175"/>
    </row>
    <row r="759">
      <c r="A759" s="189"/>
      <c r="B759" s="134" t="s">
        <v>18</v>
      </c>
      <c r="C759" s="134" t="s">
        <v>74</v>
      </c>
      <c r="D759" s="133" t="s">
        <v>390</v>
      </c>
      <c r="E759" s="189">
        <v>42760.0</v>
      </c>
      <c r="F759" s="13" t="str">
        <f t="shared" si="69"/>
        <v>Jan-2017</v>
      </c>
      <c r="G759" s="13" t="s">
        <v>20</v>
      </c>
      <c r="H759" s="16" t="s">
        <v>35</v>
      </c>
      <c r="I759" s="48" t="s">
        <v>393</v>
      </c>
      <c r="J759" s="16" t="s">
        <v>102</v>
      </c>
      <c r="K759" s="16" t="s">
        <v>9</v>
      </c>
      <c r="L759" s="16" t="s">
        <v>24</v>
      </c>
      <c r="M759" s="16" t="s">
        <v>30</v>
      </c>
      <c r="N759" s="16" t="s">
        <v>99</v>
      </c>
      <c r="O759" s="101"/>
      <c r="P759" s="101"/>
      <c r="Q759" s="102"/>
    </row>
    <row r="760">
      <c r="A760" s="189"/>
      <c r="B760" s="134" t="s">
        <v>18</v>
      </c>
      <c r="C760" s="134" t="s">
        <v>74</v>
      </c>
      <c r="D760" s="133" t="s">
        <v>390</v>
      </c>
      <c r="E760" s="189">
        <v>42760.0</v>
      </c>
      <c r="F760" s="13" t="str">
        <f t="shared" si="69"/>
        <v>Jan-2017</v>
      </c>
      <c r="G760" s="17" t="s">
        <v>25</v>
      </c>
      <c r="H760" s="16" t="s">
        <v>35</v>
      </c>
      <c r="I760" s="48" t="s">
        <v>393</v>
      </c>
      <c r="J760" s="16" t="s">
        <v>102</v>
      </c>
      <c r="K760" s="16" t="s">
        <v>9</v>
      </c>
      <c r="L760" s="16" t="s">
        <v>30</v>
      </c>
      <c r="M760" s="16"/>
      <c r="N760" s="16" t="s">
        <v>106</v>
      </c>
      <c r="O760" s="101"/>
      <c r="P760" s="101"/>
      <c r="Q760" s="102"/>
    </row>
    <row r="761">
      <c r="A761" s="189"/>
      <c r="B761" s="134" t="s">
        <v>18</v>
      </c>
      <c r="C761" s="134" t="s">
        <v>74</v>
      </c>
      <c r="D761" s="133" t="s">
        <v>390</v>
      </c>
      <c r="E761" s="189">
        <v>42760.0</v>
      </c>
      <c r="F761" s="13" t="str">
        <f t="shared" si="69"/>
        <v>Jan-2017</v>
      </c>
      <c r="G761" s="17" t="s">
        <v>32</v>
      </c>
      <c r="H761" s="16" t="s">
        <v>35</v>
      </c>
      <c r="I761" s="48" t="s">
        <v>393</v>
      </c>
      <c r="J761" s="16" t="s">
        <v>102</v>
      </c>
      <c r="K761" s="16" t="s">
        <v>9</v>
      </c>
      <c r="L761" s="16" t="s">
        <v>30</v>
      </c>
      <c r="M761" s="16"/>
      <c r="N761" s="16" t="s">
        <v>37</v>
      </c>
      <c r="O761" s="101"/>
      <c r="P761" s="101"/>
      <c r="Q761" s="102"/>
    </row>
    <row r="762">
      <c r="A762" s="189">
        <v>42760.0</v>
      </c>
      <c r="B762" s="134" t="s">
        <v>18</v>
      </c>
      <c r="C762" s="134" t="s">
        <v>74</v>
      </c>
      <c r="D762" s="133" t="s">
        <v>390</v>
      </c>
      <c r="E762" s="189">
        <v>42760.0</v>
      </c>
      <c r="F762" s="21" t="str">
        <f t="shared" si="69"/>
        <v>Jan-2017</v>
      </c>
      <c r="G762" s="21" t="s">
        <v>20</v>
      </c>
      <c r="H762" s="119" t="s">
        <v>35</v>
      </c>
      <c r="I762" s="126" t="s">
        <v>394</v>
      </c>
      <c r="J762" s="119" t="s">
        <v>27</v>
      </c>
      <c r="K762" s="119" t="s">
        <v>9</v>
      </c>
      <c r="L762" s="119" t="s">
        <v>24</v>
      </c>
      <c r="M762" s="119" t="s">
        <v>24</v>
      </c>
      <c r="N762" s="119" t="s">
        <v>69</v>
      </c>
      <c r="O762" s="174"/>
      <c r="P762" s="174"/>
      <c r="Q762" s="175"/>
    </row>
    <row r="763">
      <c r="A763" s="201"/>
      <c r="B763" s="134" t="s">
        <v>18</v>
      </c>
      <c r="C763" s="134" t="s">
        <v>74</v>
      </c>
      <c r="D763" s="133" t="s">
        <v>390</v>
      </c>
      <c r="E763" s="189">
        <v>42760.0</v>
      </c>
      <c r="F763" s="51" t="str">
        <f t="shared" si="69"/>
        <v>Jan-2017</v>
      </c>
      <c r="G763" s="129" t="s">
        <v>25</v>
      </c>
      <c r="H763" s="114" t="s">
        <v>35</v>
      </c>
      <c r="I763" s="130" t="s">
        <v>394</v>
      </c>
      <c r="J763" s="114" t="s">
        <v>27</v>
      </c>
      <c r="K763" s="114" t="s">
        <v>9</v>
      </c>
      <c r="L763" s="114" t="s">
        <v>24</v>
      </c>
      <c r="M763" s="114"/>
      <c r="N763" s="114" t="s">
        <v>98</v>
      </c>
      <c r="O763" s="202"/>
      <c r="P763" s="202"/>
      <c r="Q763" s="203"/>
    </row>
    <row r="764">
      <c r="A764" s="107"/>
      <c r="B764" s="95"/>
      <c r="C764" s="95"/>
      <c r="D764" s="95"/>
      <c r="E764" s="95"/>
      <c r="I764" s="23"/>
    </row>
    <row r="765">
      <c r="A765" s="133" t="s">
        <v>395</v>
      </c>
      <c r="B765" s="134" t="s">
        <v>151</v>
      </c>
      <c r="C765" s="134" t="s">
        <v>74</v>
      </c>
      <c r="D765" s="133" t="s">
        <v>395</v>
      </c>
      <c r="E765" s="189">
        <v>42762.0</v>
      </c>
      <c r="F765" s="85" t="str">
        <f t="shared" ref="F765:F770" si="70">TEXT(E765, "mmm") &amp; "-" &amp; TEXT(E765, "yyyy") </f>
        <v>Jan-2017</v>
      </c>
      <c r="G765" s="85" t="s">
        <v>20</v>
      </c>
      <c r="H765" s="73" t="s">
        <v>35</v>
      </c>
      <c r="I765" s="86" t="s">
        <v>257</v>
      </c>
      <c r="J765" s="73" t="s">
        <v>71</v>
      </c>
      <c r="K765" s="73" t="s">
        <v>9</v>
      </c>
      <c r="L765" s="73" t="s">
        <v>24</v>
      </c>
      <c r="M765" s="73" t="s">
        <v>24</v>
      </c>
      <c r="N765" s="73" t="s">
        <v>99</v>
      </c>
      <c r="O765" s="165"/>
      <c r="P765" s="165"/>
      <c r="Q765" s="166"/>
    </row>
    <row r="766">
      <c r="A766" s="134" t="s">
        <v>151</v>
      </c>
      <c r="B766" s="134" t="s">
        <v>151</v>
      </c>
      <c r="C766" s="134" t="s">
        <v>74</v>
      </c>
      <c r="D766" s="133" t="s">
        <v>395</v>
      </c>
      <c r="E766" s="189">
        <v>42762.0</v>
      </c>
      <c r="F766" s="22" t="str">
        <f t="shared" si="70"/>
        <v>Jan-2017</v>
      </c>
      <c r="G766" s="26" t="s">
        <v>25</v>
      </c>
      <c r="H766" s="25" t="s">
        <v>35</v>
      </c>
      <c r="I766" s="80" t="s">
        <v>257</v>
      </c>
      <c r="J766" s="25" t="s">
        <v>71</v>
      </c>
      <c r="K766" s="25" t="s">
        <v>9</v>
      </c>
      <c r="L766" s="25" t="s">
        <v>24</v>
      </c>
      <c r="M766" s="25"/>
      <c r="N766" s="25" t="s">
        <v>69</v>
      </c>
      <c r="Q766" s="99"/>
    </row>
    <row r="767">
      <c r="A767" s="134" t="s">
        <v>368</v>
      </c>
      <c r="B767" s="134" t="s">
        <v>151</v>
      </c>
      <c r="C767" s="134" t="s">
        <v>74</v>
      </c>
      <c r="D767" s="133" t="s">
        <v>395</v>
      </c>
      <c r="E767" s="189">
        <v>42762.0</v>
      </c>
      <c r="F767" s="13" t="str">
        <f t="shared" si="70"/>
        <v>Jan-2017</v>
      </c>
      <c r="G767" s="13" t="s">
        <v>20</v>
      </c>
      <c r="H767" s="16" t="s">
        <v>35</v>
      </c>
      <c r="I767" s="48" t="s">
        <v>396</v>
      </c>
      <c r="J767" s="16" t="s">
        <v>44</v>
      </c>
      <c r="K767" s="16" t="s">
        <v>9</v>
      </c>
      <c r="L767" s="16" t="s">
        <v>30</v>
      </c>
      <c r="M767" s="16" t="s">
        <v>30</v>
      </c>
      <c r="N767" s="16" t="s">
        <v>98</v>
      </c>
      <c r="O767" s="101"/>
      <c r="P767" s="101"/>
      <c r="Q767" s="102"/>
    </row>
    <row r="768">
      <c r="A768" s="189">
        <v>42762.0</v>
      </c>
      <c r="B768" s="134" t="s">
        <v>151</v>
      </c>
      <c r="C768" s="134" t="s">
        <v>74</v>
      </c>
      <c r="D768" s="133" t="s">
        <v>395</v>
      </c>
      <c r="E768" s="189">
        <v>42762.0</v>
      </c>
      <c r="F768" s="13" t="str">
        <f t="shared" si="70"/>
        <v>Jan-2017</v>
      </c>
      <c r="G768" s="17" t="s">
        <v>25</v>
      </c>
      <c r="H768" s="16" t="s">
        <v>35</v>
      </c>
      <c r="I768" s="48" t="s">
        <v>396</v>
      </c>
      <c r="J768" s="16" t="s">
        <v>44</v>
      </c>
      <c r="K768" s="16" t="s">
        <v>9</v>
      </c>
      <c r="L768" s="16" t="s">
        <v>30</v>
      </c>
      <c r="M768" s="16"/>
      <c r="N768" s="16" t="s">
        <v>69</v>
      </c>
      <c r="O768" s="101"/>
      <c r="P768" s="101"/>
      <c r="Q768" s="102"/>
    </row>
    <row r="769">
      <c r="A769" s="134" t="s">
        <v>74</v>
      </c>
      <c r="B769" s="134" t="s">
        <v>151</v>
      </c>
      <c r="C769" s="134" t="s">
        <v>74</v>
      </c>
      <c r="D769" s="133" t="s">
        <v>395</v>
      </c>
      <c r="E769" s="189">
        <v>42762.0</v>
      </c>
      <c r="F769" s="22" t="str">
        <f t="shared" si="70"/>
        <v>Jan-2017</v>
      </c>
      <c r="G769" s="22" t="s">
        <v>20</v>
      </c>
      <c r="H769" s="119" t="s">
        <v>35</v>
      </c>
      <c r="I769" s="126" t="s">
        <v>397</v>
      </c>
      <c r="J769" s="119" t="s">
        <v>86</v>
      </c>
      <c r="K769" s="119" t="s">
        <v>9</v>
      </c>
      <c r="L769" s="119" t="s">
        <v>24</v>
      </c>
      <c r="M769" s="119" t="s">
        <v>24</v>
      </c>
      <c r="N769" s="119" t="s">
        <v>69</v>
      </c>
      <c r="O769" s="174"/>
      <c r="P769" s="174"/>
      <c r="Q769" s="175"/>
    </row>
    <row r="770">
      <c r="A770" s="201"/>
      <c r="B770" s="134" t="s">
        <v>151</v>
      </c>
      <c r="C770" s="134" t="s">
        <v>74</v>
      </c>
      <c r="D770" s="133" t="s">
        <v>395</v>
      </c>
      <c r="E770" s="201">
        <v>42762.0</v>
      </c>
      <c r="F770" s="52" t="str">
        <f t="shared" si="70"/>
        <v>Jan-2017</v>
      </c>
      <c r="G770" s="76" t="s">
        <v>25</v>
      </c>
      <c r="H770" s="114" t="s">
        <v>35</v>
      </c>
      <c r="I770" s="130" t="s">
        <v>397</v>
      </c>
      <c r="J770" s="114" t="s">
        <v>86</v>
      </c>
      <c r="K770" s="114" t="s">
        <v>9</v>
      </c>
      <c r="L770" s="114" t="s">
        <v>24</v>
      </c>
      <c r="M770" s="114"/>
      <c r="N770" s="114" t="s">
        <v>99</v>
      </c>
      <c r="O770" s="202"/>
      <c r="P770" s="202"/>
      <c r="Q770" s="203"/>
    </row>
    <row r="771">
      <c r="A771" s="107"/>
      <c r="B771" s="95"/>
      <c r="C771" s="95"/>
      <c r="D771" s="95"/>
      <c r="E771" s="95"/>
      <c r="I771" s="23"/>
    </row>
    <row r="772">
      <c r="A772" s="133" t="s">
        <v>398</v>
      </c>
      <c r="B772" s="134" t="s">
        <v>151</v>
      </c>
      <c r="C772" s="134" t="s">
        <v>74</v>
      </c>
      <c r="D772" s="133" t="s">
        <v>398</v>
      </c>
      <c r="E772" s="189">
        <v>42769.0</v>
      </c>
      <c r="F772" s="85" t="str">
        <f t="shared" ref="F772:F778" si="71">TEXT(E772, "mmm") &amp; "-" &amp; TEXT(E772, "yyyy") </f>
        <v>Feb-2017</v>
      </c>
      <c r="G772" s="85" t="s">
        <v>20</v>
      </c>
      <c r="H772" s="73" t="s">
        <v>35</v>
      </c>
      <c r="I772" s="86" t="s">
        <v>379</v>
      </c>
      <c r="J772" s="73" t="s">
        <v>71</v>
      </c>
      <c r="K772" s="73" t="s">
        <v>9</v>
      </c>
      <c r="L772" s="73" t="s">
        <v>30</v>
      </c>
      <c r="M772" s="73" t="s">
        <v>30</v>
      </c>
      <c r="N772" s="73" t="s">
        <v>99</v>
      </c>
      <c r="O772" s="165"/>
      <c r="P772" s="165"/>
      <c r="Q772" s="166"/>
    </row>
    <row r="773">
      <c r="A773" s="134" t="s">
        <v>151</v>
      </c>
      <c r="B773" s="134" t="s">
        <v>151</v>
      </c>
      <c r="C773" s="134" t="s">
        <v>74</v>
      </c>
      <c r="D773" s="133" t="s">
        <v>398</v>
      </c>
      <c r="E773" s="189">
        <v>42769.0</v>
      </c>
      <c r="F773" s="22" t="str">
        <f t="shared" si="71"/>
        <v>Feb-2017</v>
      </c>
      <c r="G773" s="26" t="s">
        <v>25</v>
      </c>
      <c r="H773" s="25" t="s">
        <v>35</v>
      </c>
      <c r="I773" s="80" t="s">
        <v>379</v>
      </c>
      <c r="J773" s="25" t="s">
        <v>71</v>
      </c>
      <c r="K773" s="25" t="s">
        <v>9</v>
      </c>
      <c r="L773" s="25" t="s">
        <v>30</v>
      </c>
      <c r="M773" s="25"/>
      <c r="N773" s="25" t="s">
        <v>37</v>
      </c>
      <c r="Q773" s="99"/>
    </row>
    <row r="774">
      <c r="A774" s="134" t="s">
        <v>368</v>
      </c>
      <c r="B774" s="134" t="s">
        <v>151</v>
      </c>
      <c r="C774" s="134" t="s">
        <v>74</v>
      </c>
      <c r="D774" s="133" t="s">
        <v>398</v>
      </c>
      <c r="E774" s="189">
        <v>42769.0</v>
      </c>
      <c r="F774" s="13" t="str">
        <f t="shared" si="71"/>
        <v>Feb-2017</v>
      </c>
      <c r="G774" s="13" t="s">
        <v>20</v>
      </c>
      <c r="H774" s="16" t="s">
        <v>35</v>
      </c>
      <c r="I774" s="48" t="s">
        <v>111</v>
      </c>
      <c r="J774" s="16" t="s">
        <v>216</v>
      </c>
      <c r="K774" s="16" t="s">
        <v>9</v>
      </c>
      <c r="L774" s="16" t="s">
        <v>24</v>
      </c>
      <c r="M774" s="16" t="s">
        <v>24</v>
      </c>
      <c r="N774" s="16" t="s">
        <v>98</v>
      </c>
      <c r="O774" s="101"/>
      <c r="P774" s="101"/>
      <c r="Q774" s="102"/>
    </row>
    <row r="775">
      <c r="A775" s="189">
        <v>42769.0</v>
      </c>
      <c r="B775" s="134" t="s">
        <v>151</v>
      </c>
      <c r="C775" s="134" t="s">
        <v>74</v>
      </c>
      <c r="D775" s="133" t="s">
        <v>398</v>
      </c>
      <c r="E775" s="189">
        <v>42769.0</v>
      </c>
      <c r="F775" s="13" t="str">
        <f t="shared" si="71"/>
        <v>Feb-2017</v>
      </c>
      <c r="G775" s="17" t="s">
        <v>25</v>
      </c>
      <c r="H775" s="16" t="s">
        <v>35</v>
      </c>
      <c r="I775" s="48" t="s">
        <v>111</v>
      </c>
      <c r="J775" s="16" t="s">
        <v>216</v>
      </c>
      <c r="K775" s="16" t="s">
        <v>9</v>
      </c>
      <c r="L775" s="16" t="s">
        <v>24</v>
      </c>
      <c r="M775" s="16"/>
      <c r="N775" s="16" t="s">
        <v>106</v>
      </c>
      <c r="O775" s="101"/>
      <c r="P775" s="101"/>
      <c r="Q775" s="102"/>
    </row>
    <row r="776">
      <c r="A776" s="134" t="s">
        <v>74</v>
      </c>
      <c r="B776" s="134" t="s">
        <v>151</v>
      </c>
      <c r="C776" s="134" t="s">
        <v>74</v>
      </c>
      <c r="D776" s="133" t="s">
        <v>398</v>
      </c>
      <c r="E776" s="189">
        <v>42769.0</v>
      </c>
      <c r="F776" s="22" t="str">
        <f t="shared" si="71"/>
        <v>Feb-2017</v>
      </c>
      <c r="G776" s="22" t="s">
        <v>20</v>
      </c>
      <c r="H776" s="119" t="s">
        <v>35</v>
      </c>
      <c r="I776" s="126" t="s">
        <v>399</v>
      </c>
      <c r="J776" s="119" t="s">
        <v>9</v>
      </c>
      <c r="K776" s="119" t="s">
        <v>9</v>
      </c>
      <c r="L776" s="119" t="s">
        <v>24</v>
      </c>
      <c r="M776" s="119" t="s">
        <v>24</v>
      </c>
      <c r="N776" s="119" t="s">
        <v>69</v>
      </c>
      <c r="O776" s="174"/>
      <c r="P776" s="174"/>
      <c r="Q776" s="175"/>
    </row>
    <row r="777">
      <c r="A777" s="189"/>
      <c r="B777" s="134" t="s">
        <v>151</v>
      </c>
      <c r="C777" s="134" t="s">
        <v>74</v>
      </c>
      <c r="D777" s="133" t="s">
        <v>398</v>
      </c>
      <c r="E777" s="189">
        <v>42769.0</v>
      </c>
      <c r="F777" s="22" t="str">
        <f t="shared" si="71"/>
        <v>Feb-2017</v>
      </c>
      <c r="G777" s="26" t="s">
        <v>25</v>
      </c>
      <c r="H777" s="119" t="s">
        <v>35</v>
      </c>
      <c r="I777" s="126" t="s">
        <v>399</v>
      </c>
      <c r="J777" s="119" t="s">
        <v>9</v>
      </c>
      <c r="K777" s="119" t="s">
        <v>9</v>
      </c>
      <c r="L777" s="119" t="s">
        <v>30</v>
      </c>
      <c r="M777" s="119"/>
      <c r="N777" s="119" t="s">
        <v>98</v>
      </c>
      <c r="O777" s="174"/>
      <c r="P777" s="174"/>
      <c r="Q777" s="175"/>
    </row>
    <row r="778">
      <c r="A778" s="201"/>
      <c r="B778" s="134" t="s">
        <v>151</v>
      </c>
      <c r="C778" s="134" t="s">
        <v>74</v>
      </c>
      <c r="D778" s="133" t="s">
        <v>398</v>
      </c>
      <c r="E778" s="189">
        <v>42769.0</v>
      </c>
      <c r="F778" s="52" t="str">
        <f t="shared" si="71"/>
        <v>Feb-2017</v>
      </c>
      <c r="G778" s="76" t="s">
        <v>32</v>
      </c>
      <c r="H778" s="114" t="s">
        <v>35</v>
      </c>
      <c r="I778" s="130" t="s">
        <v>399</v>
      </c>
      <c r="J778" s="114" t="s">
        <v>9</v>
      </c>
      <c r="K778" s="114" t="s">
        <v>9</v>
      </c>
      <c r="L778" s="114" t="s">
        <v>24</v>
      </c>
      <c r="M778" s="114"/>
      <c r="N778" s="114" t="s">
        <v>37</v>
      </c>
      <c r="O778" s="202"/>
      <c r="P778" s="202"/>
      <c r="Q778" s="203"/>
    </row>
    <row r="779">
      <c r="A779" s="107"/>
      <c r="B779" s="95"/>
      <c r="C779" s="95"/>
      <c r="D779" s="95"/>
      <c r="E779" s="95"/>
      <c r="I779" s="23"/>
    </row>
    <row r="780">
      <c r="A780" s="133" t="s">
        <v>400</v>
      </c>
      <c r="B780" s="134" t="s">
        <v>272</v>
      </c>
      <c r="C780" s="134" t="s">
        <v>19</v>
      </c>
      <c r="D780" s="133" t="s">
        <v>400</v>
      </c>
      <c r="E780" s="151">
        <v>42777.0</v>
      </c>
      <c r="F780" s="110" t="str">
        <f t="shared" ref="F780:F788" si="72">TEXT(E780, "mmm") &amp; "-" &amp; TEXT(E780, "yyyy") </f>
        <v>Feb-2017</v>
      </c>
      <c r="G780" s="110" t="s">
        <v>20</v>
      </c>
      <c r="H780" s="47" t="s">
        <v>35</v>
      </c>
      <c r="I780" s="79" t="s">
        <v>401</v>
      </c>
      <c r="J780" s="47" t="s">
        <v>27</v>
      </c>
      <c r="K780" s="47" t="s">
        <v>9</v>
      </c>
      <c r="L780" s="47" t="s">
        <v>30</v>
      </c>
      <c r="M780" s="47" t="s">
        <v>30</v>
      </c>
      <c r="N780" s="47" t="s">
        <v>69</v>
      </c>
      <c r="O780" s="152"/>
      <c r="P780" s="152"/>
      <c r="Q780" s="136"/>
    </row>
    <row r="781">
      <c r="A781" s="134" t="s">
        <v>272</v>
      </c>
      <c r="B781" s="134" t="s">
        <v>272</v>
      </c>
      <c r="C781" s="134" t="s">
        <v>19</v>
      </c>
      <c r="D781" s="133" t="s">
        <v>400</v>
      </c>
      <c r="E781" s="189">
        <v>42777.0</v>
      </c>
      <c r="F781" s="13" t="str">
        <f t="shared" si="72"/>
        <v>Feb-2017</v>
      </c>
      <c r="G781" s="17" t="s">
        <v>25</v>
      </c>
      <c r="H781" s="16" t="s">
        <v>35</v>
      </c>
      <c r="I781" s="48" t="s">
        <v>401</v>
      </c>
      <c r="J781" s="16" t="s">
        <v>27</v>
      </c>
      <c r="K781" s="16" t="s">
        <v>9</v>
      </c>
      <c r="L781" s="16" t="s">
        <v>30</v>
      </c>
      <c r="M781" s="16"/>
      <c r="N781" s="16" t="s">
        <v>99</v>
      </c>
      <c r="O781" s="101"/>
      <c r="P781" s="101"/>
      <c r="Q781" s="138"/>
    </row>
    <row r="782">
      <c r="A782" s="134" t="s">
        <v>402</v>
      </c>
      <c r="B782" s="134" t="s">
        <v>272</v>
      </c>
      <c r="C782" s="134" t="s">
        <v>19</v>
      </c>
      <c r="D782" s="133" t="s">
        <v>400</v>
      </c>
      <c r="E782" s="189">
        <v>42777.0</v>
      </c>
      <c r="F782" s="22" t="str">
        <f t="shared" si="72"/>
        <v>Feb-2017</v>
      </c>
      <c r="G782" s="22" t="s">
        <v>20</v>
      </c>
      <c r="H782" s="25" t="s">
        <v>35</v>
      </c>
      <c r="I782" s="80" t="s">
        <v>92</v>
      </c>
      <c r="J782" s="25" t="s">
        <v>27</v>
      </c>
      <c r="K782" s="25" t="s">
        <v>9</v>
      </c>
      <c r="L782" s="25" t="s">
        <v>24</v>
      </c>
      <c r="M782" s="25" t="s">
        <v>24</v>
      </c>
      <c r="N782" s="25" t="s">
        <v>69</v>
      </c>
      <c r="Q782" s="184"/>
    </row>
    <row r="783">
      <c r="A783" s="189">
        <v>42777.0</v>
      </c>
      <c r="B783" s="134" t="s">
        <v>272</v>
      </c>
      <c r="C783" s="134" t="s">
        <v>19</v>
      </c>
      <c r="D783" s="133" t="s">
        <v>400</v>
      </c>
      <c r="E783" s="189">
        <v>42777.0</v>
      </c>
      <c r="F783" s="22" t="str">
        <f t="shared" si="72"/>
        <v>Feb-2017</v>
      </c>
      <c r="G783" s="26" t="s">
        <v>25</v>
      </c>
      <c r="H783" s="25" t="s">
        <v>35</v>
      </c>
      <c r="I783" s="80" t="s">
        <v>92</v>
      </c>
      <c r="J783" s="25" t="s">
        <v>27</v>
      </c>
      <c r="K783" s="25" t="s">
        <v>9</v>
      </c>
      <c r="L783" s="25" t="s">
        <v>24</v>
      </c>
      <c r="M783" s="25"/>
      <c r="N783" s="25" t="s">
        <v>69</v>
      </c>
      <c r="Q783" s="99"/>
    </row>
    <row r="784">
      <c r="A784" s="134" t="s">
        <v>19</v>
      </c>
      <c r="B784" s="134" t="s">
        <v>272</v>
      </c>
      <c r="C784" s="134" t="s">
        <v>19</v>
      </c>
      <c r="D784" s="133" t="s">
        <v>400</v>
      </c>
      <c r="E784" s="189">
        <v>42777.0</v>
      </c>
      <c r="F784" s="13" t="str">
        <f t="shared" si="72"/>
        <v>Feb-2017</v>
      </c>
      <c r="G784" s="13" t="s">
        <v>20</v>
      </c>
      <c r="H784" s="16" t="s">
        <v>35</v>
      </c>
      <c r="I784" s="48" t="s">
        <v>403</v>
      </c>
      <c r="J784" s="16" t="s">
        <v>44</v>
      </c>
      <c r="K784" s="16" t="s">
        <v>9</v>
      </c>
      <c r="L784" s="16" t="s">
        <v>30</v>
      </c>
      <c r="M784" s="16" t="s">
        <v>30</v>
      </c>
      <c r="N784" s="16" t="s">
        <v>69</v>
      </c>
      <c r="O784" s="101"/>
      <c r="P784" s="101"/>
      <c r="Q784" s="102"/>
    </row>
    <row r="785">
      <c r="A785" s="140"/>
      <c r="B785" s="134" t="s">
        <v>272</v>
      </c>
      <c r="C785" s="134" t="s">
        <v>19</v>
      </c>
      <c r="D785" s="133" t="s">
        <v>400</v>
      </c>
      <c r="E785" s="189">
        <v>42777.0</v>
      </c>
      <c r="F785" s="13" t="str">
        <f t="shared" si="72"/>
        <v>Feb-2017</v>
      </c>
      <c r="G785" s="17" t="s">
        <v>25</v>
      </c>
      <c r="H785" s="16" t="s">
        <v>35</v>
      </c>
      <c r="I785" s="48" t="s">
        <v>403</v>
      </c>
      <c r="J785" s="16" t="s">
        <v>44</v>
      </c>
      <c r="K785" s="16" t="s">
        <v>9</v>
      </c>
      <c r="L785" s="16" t="s">
        <v>30</v>
      </c>
      <c r="M785" s="16"/>
      <c r="N785" s="16" t="s">
        <v>98</v>
      </c>
      <c r="O785" s="101"/>
      <c r="P785" s="101"/>
      <c r="Q785" s="102"/>
    </row>
    <row r="786">
      <c r="A786" s="140"/>
      <c r="B786" s="134" t="s">
        <v>272</v>
      </c>
      <c r="C786" s="134" t="s">
        <v>19</v>
      </c>
      <c r="D786" s="133" t="s">
        <v>400</v>
      </c>
      <c r="E786" s="189">
        <v>42777.0</v>
      </c>
      <c r="F786" s="22" t="str">
        <f t="shared" si="72"/>
        <v>Feb-2017</v>
      </c>
      <c r="G786" s="22" t="s">
        <v>20</v>
      </c>
      <c r="H786" s="25" t="s">
        <v>35</v>
      </c>
      <c r="I786" s="80" t="s">
        <v>404</v>
      </c>
      <c r="J786" s="25" t="s">
        <v>27</v>
      </c>
      <c r="K786" s="25" t="s">
        <v>9</v>
      </c>
      <c r="L786" s="25" t="s">
        <v>30</v>
      </c>
      <c r="M786" s="25" t="s">
        <v>24</v>
      </c>
      <c r="N786" s="25" t="s">
        <v>69</v>
      </c>
      <c r="Q786" s="99"/>
      <c r="R786" s="25" t="s">
        <v>405</v>
      </c>
    </row>
    <row r="787">
      <c r="A787" s="140"/>
      <c r="B787" s="134" t="s">
        <v>272</v>
      </c>
      <c r="C787" s="134" t="s">
        <v>19</v>
      </c>
      <c r="D787" s="133" t="s">
        <v>400</v>
      </c>
      <c r="E787" s="189">
        <v>42777.0</v>
      </c>
      <c r="F787" s="22" t="str">
        <f t="shared" si="72"/>
        <v>Feb-2017</v>
      </c>
      <c r="G787" s="26" t="s">
        <v>25</v>
      </c>
      <c r="H787" s="25" t="s">
        <v>35</v>
      </c>
      <c r="I787" s="80" t="s">
        <v>404</v>
      </c>
      <c r="J787" s="25" t="s">
        <v>27</v>
      </c>
      <c r="K787" s="25" t="s">
        <v>9</v>
      </c>
      <c r="L787" s="25" t="s">
        <v>24</v>
      </c>
      <c r="M787" s="25"/>
      <c r="N787" s="25" t="s">
        <v>37</v>
      </c>
      <c r="Q787" s="99"/>
      <c r="R787" s="25" t="s">
        <v>405</v>
      </c>
    </row>
    <row r="788">
      <c r="A788" s="141"/>
      <c r="B788" s="134" t="s">
        <v>272</v>
      </c>
      <c r="C788" s="134" t="s">
        <v>19</v>
      </c>
      <c r="D788" s="133" t="s">
        <v>400</v>
      </c>
      <c r="E788" s="189">
        <v>42777.0</v>
      </c>
      <c r="F788" s="52" t="str">
        <f t="shared" si="72"/>
        <v>Feb-2017</v>
      </c>
      <c r="G788" s="76" t="s">
        <v>32</v>
      </c>
      <c r="H788" s="55" t="s">
        <v>35</v>
      </c>
      <c r="I788" s="113" t="s">
        <v>404</v>
      </c>
      <c r="J788" s="55" t="s">
        <v>27</v>
      </c>
      <c r="K788" s="55" t="s">
        <v>9</v>
      </c>
      <c r="L788" s="55" t="s">
        <v>24</v>
      </c>
      <c r="M788" s="55"/>
      <c r="N788" s="55" t="s">
        <v>98</v>
      </c>
      <c r="O788" s="143"/>
      <c r="P788" s="143"/>
      <c r="Q788" s="144"/>
      <c r="R788" s="25" t="s">
        <v>405</v>
      </c>
    </row>
    <row r="789">
      <c r="A789" s="107"/>
      <c r="B789" s="95"/>
      <c r="C789" s="95"/>
      <c r="D789" s="95"/>
      <c r="E789" s="95"/>
      <c r="I789" s="23"/>
    </row>
    <row r="790">
      <c r="A790" s="133" t="s">
        <v>406</v>
      </c>
      <c r="B790" s="134" t="s">
        <v>18</v>
      </c>
      <c r="C790" s="134" t="s">
        <v>74</v>
      </c>
      <c r="D790" s="133" t="s">
        <v>406</v>
      </c>
      <c r="E790" s="135">
        <v>42788.0</v>
      </c>
      <c r="F790" s="110" t="str">
        <f t="shared" ref="F790:F798" si="73">TEXT(E790, "mmm") &amp; "-" &amp; TEXT(E790, "yyyy") </f>
        <v>Feb-2017</v>
      </c>
      <c r="G790" s="110" t="s">
        <v>20</v>
      </c>
      <c r="H790" s="47" t="s">
        <v>35</v>
      </c>
      <c r="I790" s="79" t="s">
        <v>407</v>
      </c>
      <c r="J790" s="47" t="s">
        <v>44</v>
      </c>
      <c r="K790" s="47" t="s">
        <v>9</v>
      </c>
      <c r="L790" s="47" t="s">
        <v>30</v>
      </c>
      <c r="M790" s="47" t="s">
        <v>30</v>
      </c>
      <c r="N790" s="47" t="s">
        <v>98</v>
      </c>
      <c r="O790" s="152"/>
      <c r="P790" s="152"/>
      <c r="Q790" s="153"/>
    </row>
    <row r="791">
      <c r="A791" s="134" t="s">
        <v>18</v>
      </c>
      <c r="B791" s="134" t="s">
        <v>18</v>
      </c>
      <c r="C791" s="134" t="s">
        <v>74</v>
      </c>
      <c r="D791" s="133" t="s">
        <v>406</v>
      </c>
      <c r="E791" s="205">
        <v>42788.0</v>
      </c>
      <c r="F791" s="13" t="str">
        <f t="shared" si="73"/>
        <v>Feb-2017</v>
      </c>
      <c r="G791" s="17" t="s">
        <v>25</v>
      </c>
      <c r="H791" s="16" t="s">
        <v>35</v>
      </c>
      <c r="I791" s="48" t="s">
        <v>407</v>
      </c>
      <c r="J791" s="16" t="s">
        <v>44</v>
      </c>
      <c r="K791" s="16" t="s">
        <v>9</v>
      </c>
      <c r="L791" s="16" t="s">
        <v>30</v>
      </c>
      <c r="M791" s="16"/>
      <c r="N791" s="16" t="s">
        <v>99</v>
      </c>
      <c r="O791" s="101"/>
      <c r="P791" s="101"/>
      <c r="Q791" s="102"/>
    </row>
    <row r="792">
      <c r="A792" s="134" t="s">
        <v>331</v>
      </c>
      <c r="B792" s="134" t="s">
        <v>18</v>
      </c>
      <c r="C792" s="134" t="s">
        <v>74</v>
      </c>
      <c r="D792" s="133" t="s">
        <v>406</v>
      </c>
      <c r="E792" s="205">
        <v>42788.0</v>
      </c>
      <c r="F792" s="22" t="str">
        <f t="shared" si="73"/>
        <v>Feb-2017</v>
      </c>
      <c r="G792" s="22" t="s">
        <v>20</v>
      </c>
      <c r="H792" s="25" t="s">
        <v>35</v>
      </c>
      <c r="I792" s="80" t="s">
        <v>394</v>
      </c>
      <c r="J792" s="25" t="s">
        <v>27</v>
      </c>
      <c r="K792" s="25" t="s">
        <v>9</v>
      </c>
      <c r="L792" s="25" t="s">
        <v>24</v>
      </c>
      <c r="M792" s="25" t="s">
        <v>24</v>
      </c>
      <c r="N792" s="25" t="s">
        <v>37</v>
      </c>
      <c r="Q792" s="99"/>
    </row>
    <row r="793">
      <c r="A793" s="189">
        <v>42788.0</v>
      </c>
      <c r="B793" s="134" t="s">
        <v>18</v>
      </c>
      <c r="C793" s="134" t="s">
        <v>74</v>
      </c>
      <c r="D793" s="133" t="s">
        <v>406</v>
      </c>
      <c r="E793" s="137">
        <v>42788.0</v>
      </c>
      <c r="F793" s="22" t="str">
        <f t="shared" si="73"/>
        <v>Feb-2017</v>
      </c>
      <c r="G793" s="26" t="s">
        <v>25</v>
      </c>
      <c r="H793" s="25" t="s">
        <v>35</v>
      </c>
      <c r="I793" s="80" t="s">
        <v>394</v>
      </c>
      <c r="J793" s="25" t="s">
        <v>27</v>
      </c>
      <c r="K793" s="25" t="s">
        <v>9</v>
      </c>
      <c r="L793" s="25" t="s">
        <v>24</v>
      </c>
      <c r="M793" s="25"/>
      <c r="N793" s="25" t="s">
        <v>98</v>
      </c>
      <c r="Q793" s="99"/>
    </row>
    <row r="794">
      <c r="A794" s="176" t="s">
        <v>408</v>
      </c>
      <c r="B794" s="134" t="s">
        <v>18</v>
      </c>
      <c r="C794" s="134" t="s">
        <v>74</v>
      </c>
      <c r="D794" s="133" t="s">
        <v>406</v>
      </c>
      <c r="E794" s="206">
        <v>42788.0</v>
      </c>
      <c r="F794" s="13" t="str">
        <f t="shared" si="73"/>
        <v>Feb-2017</v>
      </c>
      <c r="G794" s="13" t="s">
        <v>20</v>
      </c>
      <c r="H794" s="16" t="s">
        <v>35</v>
      </c>
      <c r="I794" s="48" t="s">
        <v>236</v>
      </c>
      <c r="J794" s="16" t="s">
        <v>44</v>
      </c>
      <c r="K794" s="16" t="s">
        <v>9</v>
      </c>
      <c r="L794" s="16" t="s">
        <v>30</v>
      </c>
      <c r="M794" s="16" t="s">
        <v>30</v>
      </c>
      <c r="N794" s="16" t="s">
        <v>69</v>
      </c>
      <c r="O794" s="101"/>
      <c r="P794" s="101"/>
      <c r="Q794" s="102"/>
    </row>
    <row r="795">
      <c r="A795" s="134" t="s">
        <v>74</v>
      </c>
      <c r="B795" s="134" t="s">
        <v>18</v>
      </c>
      <c r="C795" s="134" t="s">
        <v>74</v>
      </c>
      <c r="D795" s="133" t="s">
        <v>406</v>
      </c>
      <c r="E795" s="206">
        <v>42788.0</v>
      </c>
      <c r="F795" s="13" t="str">
        <f t="shared" si="73"/>
        <v>Feb-2017</v>
      </c>
      <c r="G795" s="17" t="s">
        <v>25</v>
      </c>
      <c r="H795" s="16" t="s">
        <v>35</v>
      </c>
      <c r="I795" s="48" t="s">
        <v>236</v>
      </c>
      <c r="J795" s="16" t="s">
        <v>44</v>
      </c>
      <c r="K795" s="16" t="s">
        <v>9</v>
      </c>
      <c r="L795" s="16" t="s">
        <v>30</v>
      </c>
      <c r="M795" s="16"/>
      <c r="N795" s="16" t="s">
        <v>69</v>
      </c>
      <c r="O795" s="101"/>
      <c r="P795" s="101"/>
      <c r="Q795" s="102"/>
    </row>
    <row r="796">
      <c r="A796" s="140"/>
      <c r="B796" s="134" t="s">
        <v>18</v>
      </c>
      <c r="C796" s="134" t="s">
        <v>74</v>
      </c>
      <c r="D796" s="133" t="s">
        <v>406</v>
      </c>
      <c r="E796" s="137">
        <v>42788.0</v>
      </c>
      <c r="F796" s="22" t="str">
        <f t="shared" si="73"/>
        <v>Feb-2017</v>
      </c>
      <c r="G796" s="22" t="s">
        <v>20</v>
      </c>
      <c r="H796" s="25" t="s">
        <v>35</v>
      </c>
      <c r="I796" s="80" t="s">
        <v>409</v>
      </c>
      <c r="J796" s="25" t="s">
        <v>27</v>
      </c>
      <c r="K796" s="25" t="s">
        <v>9</v>
      </c>
      <c r="L796" s="25" t="s">
        <v>30</v>
      </c>
      <c r="M796" s="25" t="s">
        <v>24</v>
      </c>
      <c r="N796" s="25" t="s">
        <v>69</v>
      </c>
      <c r="Q796" s="99"/>
    </row>
    <row r="797">
      <c r="A797" s="140"/>
      <c r="B797" s="134" t="s">
        <v>18</v>
      </c>
      <c r="C797" s="134" t="s">
        <v>74</v>
      </c>
      <c r="D797" s="133" t="s">
        <v>406</v>
      </c>
      <c r="E797" s="205">
        <v>42788.0</v>
      </c>
      <c r="F797" s="22" t="str">
        <f t="shared" si="73"/>
        <v>Feb-2017</v>
      </c>
      <c r="G797" s="26" t="s">
        <v>25</v>
      </c>
      <c r="H797" s="25" t="s">
        <v>35</v>
      </c>
      <c r="I797" s="80" t="s">
        <v>409</v>
      </c>
      <c r="J797" s="25" t="s">
        <v>27</v>
      </c>
      <c r="K797" s="25" t="s">
        <v>9</v>
      </c>
      <c r="L797" s="25" t="s">
        <v>24</v>
      </c>
      <c r="M797" s="25"/>
      <c r="N797" s="25" t="s">
        <v>99</v>
      </c>
      <c r="Q797" s="99"/>
    </row>
    <row r="798">
      <c r="A798" s="141"/>
      <c r="B798" s="134" t="s">
        <v>18</v>
      </c>
      <c r="C798" s="134" t="s">
        <v>74</v>
      </c>
      <c r="D798" s="133" t="s">
        <v>406</v>
      </c>
      <c r="E798" s="142">
        <v>42788.0</v>
      </c>
      <c r="F798" s="52" t="str">
        <f t="shared" si="73"/>
        <v>Feb-2017</v>
      </c>
      <c r="G798" s="76" t="s">
        <v>32</v>
      </c>
      <c r="H798" s="55" t="s">
        <v>35</v>
      </c>
      <c r="I798" s="113" t="s">
        <v>409</v>
      </c>
      <c r="J798" s="55" t="s">
        <v>27</v>
      </c>
      <c r="K798" s="55" t="s">
        <v>9</v>
      </c>
      <c r="L798" s="55" t="s">
        <v>24</v>
      </c>
      <c r="M798" s="55"/>
      <c r="N798" s="55" t="s">
        <v>98</v>
      </c>
      <c r="O798" s="143"/>
      <c r="P798" s="143"/>
      <c r="Q798" s="144"/>
    </row>
    <row r="799">
      <c r="A799" s="107"/>
      <c r="B799" s="95"/>
      <c r="C799" s="95"/>
      <c r="D799" s="95"/>
      <c r="E799" s="95"/>
      <c r="I799" s="23"/>
    </row>
    <row r="800">
      <c r="A800" s="133" t="s">
        <v>410</v>
      </c>
      <c r="B800" s="134" t="s">
        <v>73</v>
      </c>
      <c r="C800" s="134" t="s">
        <v>84</v>
      </c>
      <c r="D800" s="133" t="s">
        <v>410</v>
      </c>
      <c r="E800" s="135">
        <v>42798.0</v>
      </c>
      <c r="F800" s="110" t="str">
        <f t="shared" ref="F800:F811" si="74">TEXT(E800, "mmm") &amp; "-" &amp; TEXT(E800, "yyyy") </f>
        <v>Mar-2017</v>
      </c>
      <c r="G800" s="110" t="s">
        <v>20</v>
      </c>
      <c r="H800" s="47" t="s">
        <v>287</v>
      </c>
      <c r="I800" s="79" t="s">
        <v>322</v>
      </c>
      <c r="J800" s="47" t="s">
        <v>27</v>
      </c>
      <c r="K800" s="47" t="s">
        <v>9</v>
      </c>
      <c r="L800" s="47" t="s">
        <v>24</v>
      </c>
      <c r="M800" s="47" t="s">
        <v>24</v>
      </c>
      <c r="N800" s="47" t="s">
        <v>69</v>
      </c>
      <c r="O800" s="152"/>
      <c r="P800" s="152"/>
      <c r="Q800" s="153"/>
    </row>
    <row r="801">
      <c r="A801" s="134" t="s">
        <v>73</v>
      </c>
      <c r="B801" s="134" t="s">
        <v>73</v>
      </c>
      <c r="C801" s="134" t="s">
        <v>84</v>
      </c>
      <c r="D801" s="133" t="s">
        <v>410</v>
      </c>
      <c r="E801" s="137">
        <v>42798.0</v>
      </c>
      <c r="F801" s="13" t="str">
        <f t="shared" si="74"/>
        <v>Mar-2017</v>
      </c>
      <c r="G801" s="17" t="s">
        <v>25</v>
      </c>
      <c r="H801" s="16" t="s">
        <v>287</v>
      </c>
      <c r="I801" s="48" t="s">
        <v>322</v>
      </c>
      <c r="J801" s="16" t="s">
        <v>27</v>
      </c>
      <c r="K801" s="16" t="s">
        <v>9</v>
      </c>
      <c r="L801" s="16" t="s">
        <v>24</v>
      </c>
      <c r="M801" s="16"/>
      <c r="N801" s="16" t="s">
        <v>37</v>
      </c>
      <c r="O801" s="101"/>
      <c r="P801" s="101"/>
      <c r="Q801" s="102"/>
    </row>
    <row r="802">
      <c r="A802" s="134" t="s">
        <v>289</v>
      </c>
      <c r="B802" s="134" t="s">
        <v>73</v>
      </c>
      <c r="C802" s="134" t="s">
        <v>84</v>
      </c>
      <c r="D802" s="133" t="s">
        <v>410</v>
      </c>
      <c r="E802" s="137">
        <v>42798.0</v>
      </c>
      <c r="F802" s="22" t="str">
        <f t="shared" si="74"/>
        <v>Mar-2017</v>
      </c>
      <c r="G802" s="22" t="s">
        <v>20</v>
      </c>
      <c r="H802" s="25" t="s">
        <v>287</v>
      </c>
      <c r="I802" s="80" t="s">
        <v>194</v>
      </c>
      <c r="J802" s="25" t="s">
        <v>23</v>
      </c>
      <c r="K802" s="25" t="s">
        <v>9</v>
      </c>
      <c r="L802" s="25" t="s">
        <v>24</v>
      </c>
      <c r="M802" s="25" t="s">
        <v>24</v>
      </c>
      <c r="N802" s="25" t="s">
        <v>98</v>
      </c>
      <c r="Q802" s="99"/>
    </row>
    <row r="803">
      <c r="A803" s="189">
        <v>42798.0</v>
      </c>
      <c r="B803" s="134" t="s">
        <v>73</v>
      </c>
      <c r="C803" s="134" t="s">
        <v>84</v>
      </c>
      <c r="D803" s="133" t="s">
        <v>410</v>
      </c>
      <c r="E803" s="137">
        <v>42798.0</v>
      </c>
      <c r="F803" s="22" t="str">
        <f t="shared" si="74"/>
        <v>Mar-2017</v>
      </c>
      <c r="G803" s="26" t="s">
        <v>25</v>
      </c>
      <c r="H803" s="25" t="s">
        <v>287</v>
      </c>
      <c r="I803" s="80" t="s">
        <v>194</v>
      </c>
      <c r="J803" s="25" t="s">
        <v>23</v>
      </c>
      <c r="K803" s="25" t="s">
        <v>9</v>
      </c>
      <c r="L803" s="25" t="s">
        <v>24</v>
      </c>
      <c r="M803" s="25"/>
      <c r="N803" s="25" t="s">
        <v>69</v>
      </c>
      <c r="Q803" s="99"/>
    </row>
    <row r="804">
      <c r="A804" s="134" t="s">
        <v>84</v>
      </c>
      <c r="B804" s="134" t="s">
        <v>73</v>
      </c>
      <c r="C804" s="134" t="s">
        <v>84</v>
      </c>
      <c r="D804" s="133" t="s">
        <v>410</v>
      </c>
      <c r="E804" s="137">
        <v>42798.0</v>
      </c>
      <c r="F804" s="13" t="str">
        <f t="shared" si="74"/>
        <v>Mar-2017</v>
      </c>
      <c r="G804" s="13" t="s">
        <v>20</v>
      </c>
      <c r="H804" s="16" t="s">
        <v>287</v>
      </c>
      <c r="I804" s="48" t="s">
        <v>411</v>
      </c>
      <c r="J804" s="16" t="s">
        <v>27</v>
      </c>
      <c r="K804" s="16" t="s">
        <v>9</v>
      </c>
      <c r="L804" s="16" t="s">
        <v>30</v>
      </c>
      <c r="M804" s="16" t="s">
        <v>30</v>
      </c>
      <c r="N804" s="16" t="s">
        <v>98</v>
      </c>
      <c r="O804" s="101"/>
      <c r="P804" s="101"/>
      <c r="Q804" s="102"/>
    </row>
    <row r="805">
      <c r="A805" s="140"/>
      <c r="B805" s="134" t="s">
        <v>73</v>
      </c>
      <c r="C805" s="134" t="s">
        <v>84</v>
      </c>
      <c r="D805" s="133" t="s">
        <v>410</v>
      </c>
      <c r="E805" s="137">
        <v>42798.0</v>
      </c>
      <c r="F805" s="13" t="str">
        <f t="shared" si="74"/>
        <v>Mar-2017</v>
      </c>
      <c r="G805" s="17" t="s">
        <v>25</v>
      </c>
      <c r="H805" s="16" t="s">
        <v>287</v>
      </c>
      <c r="I805" s="48" t="s">
        <v>411</v>
      </c>
      <c r="J805" s="16" t="s">
        <v>27</v>
      </c>
      <c r="K805" s="16" t="s">
        <v>9</v>
      </c>
      <c r="L805" s="16" t="s">
        <v>30</v>
      </c>
      <c r="M805" s="16"/>
      <c r="N805" s="16" t="s">
        <v>99</v>
      </c>
      <c r="O805" s="101"/>
      <c r="P805" s="101"/>
      <c r="Q805" s="102"/>
    </row>
    <row r="806">
      <c r="A806" s="140"/>
      <c r="B806" s="134" t="s">
        <v>73</v>
      </c>
      <c r="C806" s="134" t="s">
        <v>84</v>
      </c>
      <c r="D806" s="133" t="s">
        <v>410</v>
      </c>
      <c r="E806" s="137">
        <v>42798.0</v>
      </c>
      <c r="F806" s="22" t="str">
        <f t="shared" si="74"/>
        <v>Mar-2017</v>
      </c>
      <c r="G806" s="22" t="s">
        <v>20</v>
      </c>
      <c r="H806" s="25" t="s">
        <v>287</v>
      </c>
      <c r="I806" s="80" t="s">
        <v>100</v>
      </c>
      <c r="J806" s="25" t="s">
        <v>9</v>
      </c>
      <c r="K806" s="25" t="s">
        <v>9</v>
      </c>
      <c r="L806" s="25" t="s">
        <v>24</v>
      </c>
      <c r="M806" s="25" t="s">
        <v>24</v>
      </c>
      <c r="N806" s="25" t="s">
        <v>69</v>
      </c>
      <c r="Q806" s="99"/>
    </row>
    <row r="807">
      <c r="A807" s="140"/>
      <c r="B807" s="134" t="s">
        <v>73</v>
      </c>
      <c r="C807" s="134" t="s">
        <v>84</v>
      </c>
      <c r="D807" s="133" t="s">
        <v>410</v>
      </c>
      <c r="E807" s="137">
        <v>42798.0</v>
      </c>
      <c r="F807" s="22" t="str">
        <f t="shared" si="74"/>
        <v>Mar-2017</v>
      </c>
      <c r="G807" s="26" t="s">
        <v>25</v>
      </c>
      <c r="H807" s="25" t="s">
        <v>287</v>
      </c>
      <c r="I807" s="80" t="s">
        <v>100</v>
      </c>
      <c r="J807" s="25" t="s">
        <v>9</v>
      </c>
      <c r="K807" s="25" t="s">
        <v>9</v>
      </c>
      <c r="L807" s="25" t="s">
        <v>24</v>
      </c>
      <c r="M807" s="25"/>
      <c r="N807" s="25" t="s">
        <v>98</v>
      </c>
      <c r="Q807" s="99"/>
    </row>
    <row r="808">
      <c r="A808" s="140"/>
      <c r="B808" s="134" t="s">
        <v>73</v>
      </c>
      <c r="C808" s="134" t="s">
        <v>84</v>
      </c>
      <c r="D808" s="133" t="s">
        <v>410</v>
      </c>
      <c r="E808" s="137">
        <v>42798.0</v>
      </c>
      <c r="F808" s="13" t="str">
        <f t="shared" si="74"/>
        <v>Mar-2017</v>
      </c>
      <c r="G808" s="13" t="s">
        <v>20</v>
      </c>
      <c r="H808" s="16" t="s">
        <v>35</v>
      </c>
      <c r="I808" s="48" t="s">
        <v>412</v>
      </c>
      <c r="J808" s="16" t="s">
        <v>48</v>
      </c>
      <c r="K808" s="16" t="s">
        <v>9</v>
      </c>
      <c r="L808" s="16" t="s">
        <v>24</v>
      </c>
      <c r="M808" s="16" t="s">
        <v>24</v>
      </c>
      <c r="N808" s="16" t="s">
        <v>99</v>
      </c>
      <c r="O808" s="101"/>
      <c r="P808" s="101"/>
      <c r="Q808" s="102"/>
    </row>
    <row r="809">
      <c r="A809" s="140"/>
      <c r="B809" s="134" t="s">
        <v>73</v>
      </c>
      <c r="C809" s="134" t="s">
        <v>84</v>
      </c>
      <c r="D809" s="133" t="s">
        <v>410</v>
      </c>
      <c r="E809" s="137">
        <v>42798.0</v>
      </c>
      <c r="F809" s="13" t="str">
        <f t="shared" si="74"/>
        <v>Mar-2017</v>
      </c>
      <c r="G809" s="17" t="s">
        <v>25</v>
      </c>
      <c r="H809" s="16" t="s">
        <v>35</v>
      </c>
      <c r="I809" s="48" t="s">
        <v>412</v>
      </c>
      <c r="J809" s="16" t="s">
        <v>48</v>
      </c>
      <c r="K809" s="16" t="s">
        <v>9</v>
      </c>
      <c r="L809" s="16" t="s">
        <v>24</v>
      </c>
      <c r="M809" s="16"/>
      <c r="N809" s="16" t="s">
        <v>106</v>
      </c>
      <c r="O809" s="101"/>
      <c r="P809" s="101"/>
      <c r="Q809" s="102"/>
    </row>
    <row r="810">
      <c r="A810" s="140"/>
      <c r="B810" s="134" t="s">
        <v>73</v>
      </c>
      <c r="C810" s="134" t="s">
        <v>84</v>
      </c>
      <c r="D810" s="133" t="s">
        <v>410</v>
      </c>
      <c r="E810" s="137">
        <v>42798.0</v>
      </c>
      <c r="F810" s="22" t="str">
        <f t="shared" si="74"/>
        <v>Mar-2017</v>
      </c>
      <c r="G810" s="22" t="s">
        <v>20</v>
      </c>
      <c r="H810" s="25" t="s">
        <v>35</v>
      </c>
      <c r="I810" s="80" t="s">
        <v>358</v>
      </c>
      <c r="J810" s="25" t="s">
        <v>23</v>
      </c>
      <c r="K810" s="25" t="s">
        <v>9</v>
      </c>
      <c r="L810" s="25" t="s">
        <v>24</v>
      </c>
      <c r="M810" s="25" t="s">
        <v>24</v>
      </c>
      <c r="N810" s="25" t="s">
        <v>98</v>
      </c>
      <c r="Q810" s="99"/>
    </row>
    <row r="811">
      <c r="A811" s="141"/>
      <c r="B811" s="134" t="s">
        <v>73</v>
      </c>
      <c r="C811" s="134" t="s">
        <v>84</v>
      </c>
      <c r="D811" s="133" t="s">
        <v>410</v>
      </c>
      <c r="E811" s="142">
        <v>42798.0</v>
      </c>
      <c r="F811" s="52" t="str">
        <f t="shared" si="74"/>
        <v>Mar-2017</v>
      </c>
      <c r="G811" s="76" t="s">
        <v>25</v>
      </c>
      <c r="H811" s="55" t="s">
        <v>35</v>
      </c>
      <c r="I811" s="113" t="s">
        <v>358</v>
      </c>
      <c r="J811" s="55" t="s">
        <v>23</v>
      </c>
      <c r="K811" s="55" t="s">
        <v>9</v>
      </c>
      <c r="L811" s="55" t="s">
        <v>24</v>
      </c>
      <c r="M811" s="55"/>
      <c r="N811" s="55" t="s">
        <v>69</v>
      </c>
      <c r="O811" s="143"/>
      <c r="P811" s="143"/>
      <c r="Q811" s="144"/>
    </row>
    <row r="812">
      <c r="A812" s="107"/>
      <c r="B812" s="95"/>
      <c r="C812" s="95"/>
      <c r="D812" s="95"/>
      <c r="E812" s="95"/>
      <c r="I812" s="23"/>
    </row>
    <row r="813">
      <c r="A813" s="133" t="s">
        <v>413</v>
      </c>
      <c r="B813" s="134" t="s">
        <v>151</v>
      </c>
      <c r="C813" s="134" t="s">
        <v>74</v>
      </c>
      <c r="D813" s="133" t="s">
        <v>413</v>
      </c>
      <c r="E813" s="135">
        <v>42804.0</v>
      </c>
      <c r="F813" s="110" t="str">
        <f t="shared" ref="F813:F826" si="75">TEXT(E813, "mmm") &amp; "-" &amp; TEXT(E813, "yyyy") </f>
        <v>Mar-2017</v>
      </c>
      <c r="G813" s="110" t="s">
        <v>20</v>
      </c>
      <c r="H813" s="47" t="s">
        <v>35</v>
      </c>
      <c r="I813" s="79" t="s">
        <v>414</v>
      </c>
      <c r="J813" s="47" t="s">
        <v>9</v>
      </c>
      <c r="K813" s="47" t="s">
        <v>9</v>
      </c>
      <c r="L813" s="47" t="s">
        <v>30</v>
      </c>
      <c r="M813" s="47" t="s">
        <v>30</v>
      </c>
      <c r="N813" s="47" t="s">
        <v>98</v>
      </c>
      <c r="O813" s="152"/>
      <c r="P813" s="152"/>
      <c r="Q813" s="153"/>
    </row>
    <row r="814">
      <c r="A814" s="134" t="s">
        <v>151</v>
      </c>
      <c r="B814" s="134" t="s">
        <v>151</v>
      </c>
      <c r="C814" s="134" t="s">
        <v>74</v>
      </c>
      <c r="D814" s="133" t="s">
        <v>413</v>
      </c>
      <c r="E814" s="137">
        <v>42804.0</v>
      </c>
      <c r="F814" s="13" t="str">
        <f t="shared" si="75"/>
        <v>Mar-2017</v>
      </c>
      <c r="G814" s="17" t="s">
        <v>25</v>
      </c>
      <c r="H814" s="16" t="s">
        <v>35</v>
      </c>
      <c r="I814" s="48" t="s">
        <v>414</v>
      </c>
      <c r="J814" s="16" t="s">
        <v>48</v>
      </c>
      <c r="K814" s="16" t="s">
        <v>9</v>
      </c>
      <c r="L814" s="16" t="s">
        <v>30</v>
      </c>
      <c r="M814" s="16"/>
      <c r="N814" s="16" t="s">
        <v>37</v>
      </c>
      <c r="O814" s="101"/>
      <c r="P814" s="101"/>
      <c r="Q814" s="102"/>
    </row>
    <row r="815">
      <c r="A815" s="134" t="s">
        <v>368</v>
      </c>
      <c r="B815" s="134" t="s">
        <v>151</v>
      </c>
      <c r="C815" s="134" t="s">
        <v>74</v>
      </c>
      <c r="D815" s="133" t="s">
        <v>413</v>
      </c>
      <c r="E815" s="137">
        <v>42804.0</v>
      </c>
      <c r="F815" s="22" t="str">
        <f t="shared" si="75"/>
        <v>Mar-2017</v>
      </c>
      <c r="G815" s="22" t="s">
        <v>20</v>
      </c>
      <c r="H815" s="25" t="s">
        <v>35</v>
      </c>
      <c r="I815" s="80" t="s">
        <v>111</v>
      </c>
      <c r="J815" s="25" t="s">
        <v>216</v>
      </c>
      <c r="K815" s="25" t="s">
        <v>9</v>
      </c>
      <c r="L815" s="25" t="s">
        <v>30</v>
      </c>
      <c r="M815" s="25" t="s">
        <v>24</v>
      </c>
      <c r="N815" s="25" t="s">
        <v>98</v>
      </c>
      <c r="Q815" s="99"/>
    </row>
    <row r="816">
      <c r="A816" s="189">
        <v>42804.0</v>
      </c>
      <c r="B816" s="134" t="s">
        <v>151</v>
      </c>
      <c r="C816" s="134" t="s">
        <v>74</v>
      </c>
      <c r="D816" s="133" t="s">
        <v>413</v>
      </c>
      <c r="E816" s="137">
        <v>42804.0</v>
      </c>
      <c r="F816" s="22" t="str">
        <f t="shared" si="75"/>
        <v>Mar-2017</v>
      </c>
      <c r="G816" s="26" t="s">
        <v>25</v>
      </c>
      <c r="H816" s="25" t="s">
        <v>35</v>
      </c>
      <c r="I816" s="80" t="s">
        <v>111</v>
      </c>
      <c r="J816" s="25" t="s">
        <v>216</v>
      </c>
      <c r="K816" s="25" t="s">
        <v>9</v>
      </c>
      <c r="L816" s="25" t="s">
        <v>24</v>
      </c>
      <c r="M816" s="25"/>
      <c r="N816" s="25" t="s">
        <v>98</v>
      </c>
      <c r="Q816" s="99"/>
    </row>
    <row r="817">
      <c r="A817" s="134" t="s">
        <v>74</v>
      </c>
      <c r="B817" s="134" t="s">
        <v>151</v>
      </c>
      <c r="C817" s="134" t="s">
        <v>74</v>
      </c>
      <c r="D817" s="133" t="s">
        <v>413</v>
      </c>
      <c r="E817" s="137">
        <v>42804.0</v>
      </c>
      <c r="F817" s="22" t="str">
        <f t="shared" si="75"/>
        <v>Mar-2017</v>
      </c>
      <c r="G817" s="25" t="s">
        <v>32</v>
      </c>
      <c r="H817" s="25" t="s">
        <v>35</v>
      </c>
      <c r="I817" s="80" t="s">
        <v>111</v>
      </c>
      <c r="J817" s="25" t="s">
        <v>216</v>
      </c>
      <c r="K817" s="25" t="s">
        <v>9</v>
      </c>
      <c r="L817" s="25" t="s">
        <v>24</v>
      </c>
      <c r="M817" s="25"/>
      <c r="N817" s="25" t="s">
        <v>98</v>
      </c>
      <c r="Q817" s="99"/>
    </row>
    <row r="818">
      <c r="A818" s="140"/>
      <c r="B818" s="134" t="s">
        <v>151</v>
      </c>
      <c r="C818" s="134" t="s">
        <v>74</v>
      </c>
      <c r="D818" s="133" t="s">
        <v>413</v>
      </c>
      <c r="E818" s="137">
        <v>42804.0</v>
      </c>
      <c r="F818" s="13" t="str">
        <f t="shared" si="75"/>
        <v>Mar-2017</v>
      </c>
      <c r="G818" s="13" t="s">
        <v>20</v>
      </c>
      <c r="H818" s="16" t="s">
        <v>35</v>
      </c>
      <c r="I818" s="48" t="s">
        <v>152</v>
      </c>
      <c r="J818" s="16" t="s">
        <v>23</v>
      </c>
      <c r="K818" s="16" t="s">
        <v>9</v>
      </c>
      <c r="L818" s="16" t="s">
        <v>30</v>
      </c>
      <c r="M818" s="16" t="s">
        <v>30</v>
      </c>
      <c r="N818" s="16" t="s">
        <v>29</v>
      </c>
      <c r="O818" s="101"/>
      <c r="P818" s="101"/>
      <c r="Q818" s="102"/>
    </row>
    <row r="819">
      <c r="A819" s="140"/>
      <c r="B819" s="134" t="s">
        <v>151</v>
      </c>
      <c r="C819" s="134" t="s">
        <v>74</v>
      </c>
      <c r="D819" s="133" t="s">
        <v>413</v>
      </c>
      <c r="E819" s="137">
        <v>42804.0</v>
      </c>
      <c r="F819" s="13" t="str">
        <f t="shared" si="75"/>
        <v>Mar-2017</v>
      </c>
      <c r="G819" s="17" t="s">
        <v>25</v>
      </c>
      <c r="H819" s="16" t="s">
        <v>35</v>
      </c>
      <c r="I819" s="48" t="s">
        <v>152</v>
      </c>
      <c r="J819" s="16" t="s">
        <v>27</v>
      </c>
      <c r="K819" s="16" t="s">
        <v>9</v>
      </c>
      <c r="L819" s="16" t="s">
        <v>30</v>
      </c>
      <c r="M819" s="16"/>
      <c r="N819" s="16" t="s">
        <v>106</v>
      </c>
      <c r="O819" s="101"/>
      <c r="P819" s="101"/>
      <c r="Q819" s="102"/>
    </row>
    <row r="820">
      <c r="A820" s="140"/>
      <c r="B820" s="134" t="s">
        <v>151</v>
      </c>
      <c r="C820" s="134" t="s">
        <v>74</v>
      </c>
      <c r="D820" s="133" t="s">
        <v>413</v>
      </c>
      <c r="E820" s="137">
        <v>42804.0</v>
      </c>
      <c r="F820" s="22" t="str">
        <f t="shared" si="75"/>
        <v>Mar-2017</v>
      </c>
      <c r="G820" s="22" t="s">
        <v>20</v>
      </c>
      <c r="H820" s="25" t="s">
        <v>35</v>
      </c>
      <c r="I820" s="80" t="s">
        <v>415</v>
      </c>
      <c r="J820" s="25" t="s">
        <v>86</v>
      </c>
      <c r="K820" s="25" t="s">
        <v>9</v>
      </c>
      <c r="L820" s="25" t="s">
        <v>30</v>
      </c>
      <c r="M820" s="25" t="s">
        <v>30</v>
      </c>
      <c r="N820" s="25" t="s">
        <v>69</v>
      </c>
      <c r="Q820" s="99"/>
    </row>
    <row r="821">
      <c r="A821" s="140"/>
      <c r="B821" s="134" t="s">
        <v>151</v>
      </c>
      <c r="C821" s="134" t="s">
        <v>74</v>
      </c>
      <c r="D821" s="133" t="s">
        <v>413</v>
      </c>
      <c r="E821" s="137">
        <v>42804.0</v>
      </c>
      <c r="F821" s="22" t="str">
        <f t="shared" si="75"/>
        <v>Mar-2017</v>
      </c>
      <c r="G821" s="26" t="s">
        <v>25</v>
      </c>
      <c r="H821" s="25" t="s">
        <v>35</v>
      </c>
      <c r="I821" s="80" t="s">
        <v>415</v>
      </c>
      <c r="J821" s="25" t="s">
        <v>86</v>
      </c>
      <c r="K821" s="25" t="s">
        <v>9</v>
      </c>
      <c r="L821" s="25" t="s">
        <v>30</v>
      </c>
      <c r="M821" s="25"/>
      <c r="N821" s="25" t="s">
        <v>98</v>
      </c>
      <c r="Q821" s="99"/>
    </row>
    <row r="822">
      <c r="A822" s="140"/>
      <c r="B822" s="134" t="s">
        <v>151</v>
      </c>
      <c r="C822" s="134" t="s">
        <v>74</v>
      </c>
      <c r="D822" s="133" t="s">
        <v>413</v>
      </c>
      <c r="E822" s="137">
        <v>42804.0</v>
      </c>
      <c r="F822" s="13" t="str">
        <f t="shared" si="75"/>
        <v>Mar-2017</v>
      </c>
      <c r="G822" s="13" t="s">
        <v>20</v>
      </c>
      <c r="H822" s="16" t="s">
        <v>35</v>
      </c>
      <c r="I822" s="48" t="s">
        <v>416</v>
      </c>
      <c r="J822" s="16" t="s">
        <v>27</v>
      </c>
      <c r="K822" s="16" t="s">
        <v>9</v>
      </c>
      <c r="L822" s="16" t="s">
        <v>30</v>
      </c>
      <c r="M822" s="16" t="s">
        <v>30</v>
      </c>
      <c r="N822" s="16" t="s">
        <v>98</v>
      </c>
      <c r="O822" s="101"/>
      <c r="P822" s="101"/>
      <c r="Q822" s="102"/>
    </row>
    <row r="823">
      <c r="A823" s="140"/>
      <c r="B823" s="134" t="s">
        <v>151</v>
      </c>
      <c r="C823" s="134" t="s">
        <v>74</v>
      </c>
      <c r="D823" s="133" t="s">
        <v>413</v>
      </c>
      <c r="E823" s="137">
        <v>42804.0</v>
      </c>
      <c r="F823" s="13" t="str">
        <f t="shared" si="75"/>
        <v>Mar-2017</v>
      </c>
      <c r="G823" s="17" t="s">
        <v>25</v>
      </c>
      <c r="H823" s="16" t="s">
        <v>35</v>
      </c>
      <c r="I823" s="48" t="s">
        <v>416</v>
      </c>
      <c r="J823" s="16" t="s">
        <v>27</v>
      </c>
      <c r="K823" s="16" t="s">
        <v>9</v>
      </c>
      <c r="L823" s="16" t="s">
        <v>24</v>
      </c>
      <c r="M823" s="16"/>
      <c r="N823" s="16" t="s">
        <v>98</v>
      </c>
      <c r="O823" s="101"/>
      <c r="P823" s="101"/>
      <c r="Q823" s="102"/>
    </row>
    <row r="824">
      <c r="A824" s="140"/>
      <c r="B824" s="134" t="s">
        <v>151</v>
      </c>
      <c r="C824" s="134" t="s">
        <v>74</v>
      </c>
      <c r="D824" s="133" t="s">
        <v>413</v>
      </c>
      <c r="E824" s="137">
        <v>42804.0</v>
      </c>
      <c r="F824" s="13" t="str">
        <f t="shared" si="75"/>
        <v>Mar-2017</v>
      </c>
      <c r="G824" s="17" t="s">
        <v>32</v>
      </c>
      <c r="H824" s="16" t="s">
        <v>35</v>
      </c>
      <c r="I824" s="48" t="s">
        <v>416</v>
      </c>
      <c r="J824" s="16" t="s">
        <v>27</v>
      </c>
      <c r="K824" s="16" t="s">
        <v>9</v>
      </c>
      <c r="L824" s="16" t="s">
        <v>30</v>
      </c>
      <c r="M824" s="16"/>
      <c r="N824" s="16" t="s">
        <v>69</v>
      </c>
      <c r="O824" s="101"/>
      <c r="P824" s="101"/>
      <c r="Q824" s="102"/>
    </row>
    <row r="825">
      <c r="A825" s="140"/>
      <c r="B825" s="134" t="s">
        <v>151</v>
      </c>
      <c r="C825" s="134" t="s">
        <v>74</v>
      </c>
      <c r="D825" s="133" t="s">
        <v>413</v>
      </c>
      <c r="E825" s="137">
        <v>42804.0</v>
      </c>
      <c r="F825" s="22" t="str">
        <f t="shared" si="75"/>
        <v>Mar-2017</v>
      </c>
      <c r="G825" s="22" t="s">
        <v>20</v>
      </c>
      <c r="H825" s="25" t="s">
        <v>35</v>
      </c>
      <c r="I825" s="80" t="s">
        <v>111</v>
      </c>
      <c r="J825" s="25" t="s">
        <v>216</v>
      </c>
      <c r="K825" s="25" t="s">
        <v>9</v>
      </c>
      <c r="L825" s="25" t="s">
        <v>24</v>
      </c>
      <c r="M825" s="25" t="s">
        <v>24</v>
      </c>
      <c r="N825" s="25" t="s">
        <v>98</v>
      </c>
      <c r="Q825" s="99"/>
    </row>
    <row r="826">
      <c r="A826" s="141"/>
      <c r="B826" s="134" t="s">
        <v>151</v>
      </c>
      <c r="C826" s="134" t="s">
        <v>74</v>
      </c>
      <c r="D826" s="133" t="s">
        <v>413</v>
      </c>
      <c r="E826" s="142">
        <v>42804.0</v>
      </c>
      <c r="F826" s="52" t="str">
        <f t="shared" si="75"/>
        <v>Mar-2017</v>
      </c>
      <c r="G826" s="76" t="s">
        <v>25</v>
      </c>
      <c r="H826" s="55" t="s">
        <v>35</v>
      </c>
      <c r="I826" s="113" t="s">
        <v>111</v>
      </c>
      <c r="J826" s="55" t="s">
        <v>216</v>
      </c>
      <c r="K826" s="55" t="s">
        <v>9</v>
      </c>
      <c r="L826" s="55" t="s">
        <v>24</v>
      </c>
      <c r="M826" s="55"/>
      <c r="N826" s="55" t="s">
        <v>98</v>
      </c>
      <c r="O826" s="143"/>
      <c r="P826" s="143"/>
      <c r="Q826" s="144"/>
    </row>
    <row r="827">
      <c r="A827" s="107"/>
      <c r="B827" s="95"/>
      <c r="C827" s="95"/>
      <c r="D827" s="95"/>
      <c r="E827" s="95"/>
      <c r="I827" s="23"/>
    </row>
    <row r="828">
      <c r="A828" s="133" t="s">
        <v>417</v>
      </c>
      <c r="B828" s="134" t="s">
        <v>18</v>
      </c>
      <c r="C828" s="134" t="s">
        <v>19</v>
      </c>
      <c r="D828" s="133" t="s">
        <v>417</v>
      </c>
      <c r="E828" s="135">
        <v>42805.0</v>
      </c>
      <c r="F828" s="85" t="str">
        <f t="shared" ref="F828:F839" si="76">TEXT(E828, "mmm") &amp; "-" &amp; TEXT(E828, "yyyy") </f>
        <v>Mar-2017</v>
      </c>
      <c r="G828" s="85" t="s">
        <v>20</v>
      </c>
      <c r="H828" s="73" t="s">
        <v>273</v>
      </c>
      <c r="I828" s="86" t="s">
        <v>418</v>
      </c>
      <c r="J828" s="73" t="s">
        <v>102</v>
      </c>
      <c r="K828" s="73" t="s">
        <v>9</v>
      </c>
      <c r="L828" s="73" t="s">
        <v>24</v>
      </c>
      <c r="M828" s="73" t="s">
        <v>24</v>
      </c>
      <c r="N828" s="73" t="s">
        <v>98</v>
      </c>
      <c r="O828" s="165"/>
      <c r="P828" s="165"/>
      <c r="Q828" s="166"/>
    </row>
    <row r="829">
      <c r="A829" s="134" t="s">
        <v>18</v>
      </c>
      <c r="B829" s="134" t="s">
        <v>18</v>
      </c>
      <c r="C829" s="134" t="s">
        <v>19</v>
      </c>
      <c r="D829" s="133" t="s">
        <v>417</v>
      </c>
      <c r="E829" s="137">
        <v>42805.0</v>
      </c>
      <c r="F829" s="22" t="str">
        <f t="shared" si="76"/>
        <v>Mar-2017</v>
      </c>
      <c r="G829" s="26" t="s">
        <v>25</v>
      </c>
      <c r="H829" s="25" t="s">
        <v>273</v>
      </c>
      <c r="I829" s="80" t="s">
        <v>418</v>
      </c>
      <c r="J829" s="25" t="s">
        <v>102</v>
      </c>
      <c r="K829" s="25" t="s">
        <v>9</v>
      </c>
      <c r="L829" s="25" t="s">
        <v>30</v>
      </c>
      <c r="M829" s="25"/>
      <c r="N829" s="25" t="s">
        <v>69</v>
      </c>
      <c r="Q829" s="99"/>
    </row>
    <row r="830">
      <c r="A830" s="134" t="s">
        <v>419</v>
      </c>
      <c r="B830" s="134" t="s">
        <v>18</v>
      </c>
      <c r="C830" s="134" t="s">
        <v>19</v>
      </c>
      <c r="D830" s="133" t="s">
        <v>417</v>
      </c>
      <c r="E830" s="137">
        <v>42805.0</v>
      </c>
      <c r="F830" s="22" t="str">
        <f t="shared" si="76"/>
        <v>Mar-2017</v>
      </c>
      <c r="G830" s="25" t="s">
        <v>32</v>
      </c>
      <c r="H830" s="25" t="s">
        <v>273</v>
      </c>
      <c r="I830" s="80" t="s">
        <v>418</v>
      </c>
      <c r="J830" s="25" t="s">
        <v>102</v>
      </c>
      <c r="K830" s="25" t="s">
        <v>9</v>
      </c>
      <c r="L830" s="25" t="s">
        <v>24</v>
      </c>
      <c r="M830" s="25"/>
      <c r="N830" s="25" t="s">
        <v>106</v>
      </c>
      <c r="Q830" s="99"/>
    </row>
    <row r="831">
      <c r="A831" s="189">
        <v>42805.0</v>
      </c>
      <c r="B831" s="134" t="s">
        <v>18</v>
      </c>
      <c r="C831" s="134" t="s">
        <v>19</v>
      </c>
      <c r="D831" s="133" t="s">
        <v>417</v>
      </c>
      <c r="E831" s="137">
        <v>42805.0</v>
      </c>
      <c r="F831" s="13" t="str">
        <f t="shared" si="76"/>
        <v>Mar-2017</v>
      </c>
      <c r="G831" s="13" t="s">
        <v>20</v>
      </c>
      <c r="H831" s="16" t="s">
        <v>273</v>
      </c>
      <c r="I831" s="48" t="s">
        <v>371</v>
      </c>
      <c r="J831" s="16" t="s">
        <v>44</v>
      </c>
      <c r="K831" s="16" t="s">
        <v>9</v>
      </c>
      <c r="L831" s="16" t="s">
        <v>30</v>
      </c>
      <c r="M831" s="16" t="s">
        <v>30</v>
      </c>
      <c r="N831" s="16" t="s">
        <v>98</v>
      </c>
      <c r="O831" s="101"/>
      <c r="P831" s="101"/>
      <c r="Q831" s="102"/>
    </row>
    <row r="832">
      <c r="A832" s="134" t="s">
        <v>19</v>
      </c>
      <c r="B832" s="134" t="s">
        <v>18</v>
      </c>
      <c r="C832" s="134" t="s">
        <v>19</v>
      </c>
      <c r="D832" s="133" t="s">
        <v>417</v>
      </c>
      <c r="E832" s="137">
        <v>42805.0</v>
      </c>
      <c r="F832" s="13" t="str">
        <f t="shared" si="76"/>
        <v>Mar-2017</v>
      </c>
      <c r="G832" s="17" t="s">
        <v>25</v>
      </c>
      <c r="H832" s="16" t="s">
        <v>273</v>
      </c>
      <c r="I832" s="48" t="s">
        <v>371</v>
      </c>
      <c r="J832" s="16" t="s">
        <v>44</v>
      </c>
      <c r="K832" s="16" t="s">
        <v>9</v>
      </c>
      <c r="L832" s="16" t="s">
        <v>30</v>
      </c>
      <c r="M832" s="16"/>
      <c r="N832" s="16" t="s">
        <v>69</v>
      </c>
      <c r="O832" s="101"/>
      <c r="P832" s="101"/>
      <c r="Q832" s="102"/>
    </row>
    <row r="833">
      <c r="A833" s="140"/>
      <c r="B833" s="134" t="s">
        <v>18</v>
      </c>
      <c r="C833" s="134" t="s">
        <v>19</v>
      </c>
      <c r="D833" s="133" t="s">
        <v>417</v>
      </c>
      <c r="E833" s="137">
        <v>42805.0</v>
      </c>
      <c r="F833" s="22" t="str">
        <f t="shared" si="76"/>
        <v>Mar-2017</v>
      </c>
      <c r="G833" s="22" t="s">
        <v>20</v>
      </c>
      <c r="H833" s="25" t="s">
        <v>273</v>
      </c>
      <c r="I833" s="80" t="s">
        <v>420</v>
      </c>
      <c r="J833" s="25" t="s">
        <v>27</v>
      </c>
      <c r="K833" s="25" t="s">
        <v>9</v>
      </c>
      <c r="L833" s="25" t="s">
        <v>30</v>
      </c>
      <c r="M833" s="25" t="s">
        <v>30</v>
      </c>
      <c r="N833" s="25" t="s">
        <v>98</v>
      </c>
      <c r="Q833" s="99"/>
    </row>
    <row r="834">
      <c r="A834" s="140"/>
      <c r="B834" s="134" t="s">
        <v>18</v>
      </c>
      <c r="C834" s="134" t="s">
        <v>19</v>
      </c>
      <c r="D834" s="133" t="s">
        <v>417</v>
      </c>
      <c r="E834" s="137">
        <v>42805.0</v>
      </c>
      <c r="F834" s="22" t="str">
        <f t="shared" si="76"/>
        <v>Mar-2017</v>
      </c>
      <c r="G834" s="26" t="s">
        <v>25</v>
      </c>
      <c r="H834" s="25" t="s">
        <v>273</v>
      </c>
      <c r="I834" s="80" t="s">
        <v>420</v>
      </c>
      <c r="J834" s="25" t="s">
        <v>27</v>
      </c>
      <c r="K834" s="25" t="s">
        <v>9</v>
      </c>
      <c r="L834" s="25" t="s">
        <v>30</v>
      </c>
      <c r="M834" s="25"/>
      <c r="N834" s="25" t="s">
        <v>106</v>
      </c>
      <c r="Q834" s="99"/>
    </row>
    <row r="835">
      <c r="A835" s="140"/>
      <c r="B835" s="134" t="s">
        <v>18</v>
      </c>
      <c r="C835" s="134" t="s">
        <v>19</v>
      </c>
      <c r="D835" s="133" t="s">
        <v>417</v>
      </c>
      <c r="E835" s="137">
        <v>42805.0</v>
      </c>
      <c r="F835" s="13" t="str">
        <f t="shared" si="76"/>
        <v>Mar-2017</v>
      </c>
      <c r="G835" s="13" t="s">
        <v>20</v>
      </c>
      <c r="H835" s="16" t="s">
        <v>273</v>
      </c>
      <c r="I835" s="48" t="s">
        <v>421</v>
      </c>
      <c r="J835" s="16" t="s">
        <v>9</v>
      </c>
      <c r="K835" s="16" t="s">
        <v>9</v>
      </c>
      <c r="L835" s="16" t="s">
        <v>24</v>
      </c>
      <c r="M835" s="16" t="s">
        <v>24</v>
      </c>
      <c r="N835" s="16" t="s">
        <v>69</v>
      </c>
      <c r="O835" s="101"/>
      <c r="P835" s="101"/>
      <c r="Q835" s="102"/>
    </row>
    <row r="836">
      <c r="A836" s="140"/>
      <c r="B836" s="134" t="s">
        <v>18</v>
      </c>
      <c r="C836" s="134" t="s">
        <v>19</v>
      </c>
      <c r="D836" s="133" t="s">
        <v>417</v>
      </c>
      <c r="E836" s="137">
        <v>42805.0</v>
      </c>
      <c r="F836" s="13" t="str">
        <f t="shared" si="76"/>
        <v>Mar-2017</v>
      </c>
      <c r="G836" s="17" t="s">
        <v>25</v>
      </c>
      <c r="H836" s="16" t="s">
        <v>273</v>
      </c>
      <c r="I836" s="48" t="s">
        <v>421</v>
      </c>
      <c r="J836" s="16" t="s">
        <v>9</v>
      </c>
      <c r="K836" s="16" t="s">
        <v>9</v>
      </c>
      <c r="L836" s="16" t="s">
        <v>24</v>
      </c>
      <c r="M836" s="16"/>
      <c r="N836" s="16" t="s">
        <v>98</v>
      </c>
      <c r="O836" s="101"/>
      <c r="P836" s="101"/>
      <c r="Q836" s="102"/>
    </row>
    <row r="837">
      <c r="A837" s="140"/>
      <c r="B837" s="134" t="s">
        <v>18</v>
      </c>
      <c r="C837" s="134" t="s">
        <v>19</v>
      </c>
      <c r="D837" s="133" t="s">
        <v>417</v>
      </c>
      <c r="E837" s="137">
        <v>42805.0</v>
      </c>
      <c r="F837" s="22" t="str">
        <f t="shared" si="76"/>
        <v>Mar-2017</v>
      </c>
      <c r="G837" s="22" t="s">
        <v>20</v>
      </c>
      <c r="H837" s="25" t="s">
        <v>278</v>
      </c>
      <c r="I837" s="80" t="s">
        <v>422</v>
      </c>
      <c r="J837" s="25" t="s">
        <v>27</v>
      </c>
      <c r="K837" s="25" t="s">
        <v>9</v>
      </c>
      <c r="L837" s="25" t="s">
        <v>30</v>
      </c>
      <c r="M837" s="25" t="s">
        <v>24</v>
      </c>
      <c r="N837" s="25" t="s">
        <v>98</v>
      </c>
      <c r="Q837" s="99"/>
    </row>
    <row r="838">
      <c r="A838" s="140"/>
      <c r="B838" s="134" t="s">
        <v>18</v>
      </c>
      <c r="C838" s="134" t="s">
        <v>19</v>
      </c>
      <c r="D838" s="133" t="s">
        <v>417</v>
      </c>
      <c r="E838" s="137">
        <v>42805.0</v>
      </c>
      <c r="F838" s="22" t="str">
        <f t="shared" si="76"/>
        <v>Mar-2017</v>
      </c>
      <c r="G838" s="26" t="s">
        <v>25</v>
      </c>
      <c r="H838" s="25" t="s">
        <v>278</v>
      </c>
      <c r="I838" s="80" t="s">
        <v>422</v>
      </c>
      <c r="J838" s="25" t="s">
        <v>27</v>
      </c>
      <c r="K838" s="25" t="s">
        <v>9</v>
      </c>
      <c r="L838" s="25" t="s">
        <v>24</v>
      </c>
      <c r="M838" s="25"/>
      <c r="N838" s="25" t="s">
        <v>69</v>
      </c>
      <c r="Q838" s="99"/>
    </row>
    <row r="839">
      <c r="A839" s="141"/>
      <c r="B839" s="134" t="s">
        <v>18</v>
      </c>
      <c r="C839" s="134" t="s">
        <v>19</v>
      </c>
      <c r="D839" s="133" t="s">
        <v>417</v>
      </c>
      <c r="E839" s="142">
        <v>42805.0</v>
      </c>
      <c r="F839" s="52" t="str">
        <f t="shared" si="76"/>
        <v>Mar-2017</v>
      </c>
      <c r="G839" s="55" t="s">
        <v>32</v>
      </c>
      <c r="H839" s="55" t="s">
        <v>278</v>
      </c>
      <c r="I839" s="113" t="s">
        <v>422</v>
      </c>
      <c r="J839" s="55" t="s">
        <v>27</v>
      </c>
      <c r="K839" s="55" t="s">
        <v>9</v>
      </c>
      <c r="L839" s="55" t="s">
        <v>24</v>
      </c>
      <c r="M839" s="55"/>
      <c r="N839" s="55" t="s">
        <v>98</v>
      </c>
      <c r="O839" s="143"/>
      <c r="P839" s="143"/>
      <c r="Q839" s="144"/>
    </row>
    <row r="840">
      <c r="A840" s="107"/>
      <c r="B840" s="95"/>
      <c r="C840" s="95"/>
      <c r="D840" s="95"/>
      <c r="E840" s="95"/>
      <c r="I840" s="23"/>
    </row>
    <row r="841">
      <c r="A841" s="133" t="s">
        <v>423</v>
      </c>
      <c r="B841" s="134" t="s">
        <v>18</v>
      </c>
      <c r="C841" s="134" t="s">
        <v>74</v>
      </c>
      <c r="D841" s="133" t="s">
        <v>423</v>
      </c>
      <c r="E841" s="207">
        <v>42810.0</v>
      </c>
      <c r="F841" s="110" t="str">
        <f t="shared" ref="F841:F844" si="77">TEXT(E841, "mmm") &amp; "-" &amp; TEXT(E841, "yyyy") </f>
        <v>Mar-2017</v>
      </c>
      <c r="G841" s="110" t="s">
        <v>20</v>
      </c>
      <c r="H841" s="47" t="s">
        <v>35</v>
      </c>
      <c r="I841" s="79" t="s">
        <v>424</v>
      </c>
      <c r="J841" s="47" t="s">
        <v>27</v>
      </c>
      <c r="K841" s="47" t="s">
        <v>9</v>
      </c>
      <c r="L841" s="47" t="s">
        <v>24</v>
      </c>
      <c r="M841" s="47" t="s">
        <v>24</v>
      </c>
      <c r="N841" s="47" t="s">
        <v>37</v>
      </c>
      <c r="O841" s="152"/>
      <c r="P841" s="152"/>
      <c r="Q841" s="153"/>
    </row>
    <row r="842">
      <c r="A842" s="134" t="s">
        <v>18</v>
      </c>
      <c r="B842" s="134" t="s">
        <v>18</v>
      </c>
      <c r="C842" s="134" t="s">
        <v>74</v>
      </c>
      <c r="D842" s="133" t="s">
        <v>423</v>
      </c>
      <c r="E842" s="206">
        <v>42810.0</v>
      </c>
      <c r="F842" s="13" t="str">
        <f t="shared" si="77"/>
        <v>Mar-2017</v>
      </c>
      <c r="G842" s="17" t="s">
        <v>25</v>
      </c>
      <c r="H842" s="16" t="s">
        <v>35</v>
      </c>
      <c r="I842" s="48" t="s">
        <v>424</v>
      </c>
      <c r="J842" s="16" t="s">
        <v>27</v>
      </c>
      <c r="K842" s="16" t="s">
        <v>9</v>
      </c>
      <c r="L842" s="16" t="s">
        <v>24</v>
      </c>
      <c r="M842" s="16"/>
      <c r="N842" s="16" t="s">
        <v>98</v>
      </c>
      <c r="O842" s="101"/>
      <c r="P842" s="101"/>
      <c r="Q842" s="102"/>
    </row>
    <row r="843">
      <c r="A843" s="134" t="s">
        <v>74</v>
      </c>
      <c r="B843" s="134" t="s">
        <v>18</v>
      </c>
      <c r="C843" s="134" t="s">
        <v>74</v>
      </c>
      <c r="D843" s="133" t="s">
        <v>423</v>
      </c>
      <c r="E843" s="137">
        <v>42810.0</v>
      </c>
      <c r="F843" s="22" t="str">
        <f t="shared" si="77"/>
        <v>Mar-2017</v>
      </c>
      <c r="G843" s="22" t="s">
        <v>20</v>
      </c>
      <c r="H843" s="25" t="s">
        <v>35</v>
      </c>
      <c r="I843" s="80" t="s">
        <v>425</v>
      </c>
      <c r="J843" s="25" t="s">
        <v>71</v>
      </c>
      <c r="K843" s="25" t="s">
        <v>9</v>
      </c>
      <c r="L843" s="25" t="s">
        <v>24</v>
      </c>
      <c r="M843" s="25" t="s">
        <v>24</v>
      </c>
      <c r="N843" s="25" t="s">
        <v>99</v>
      </c>
      <c r="Q843" s="99"/>
    </row>
    <row r="844">
      <c r="A844" s="201">
        <v>42810.0</v>
      </c>
      <c r="B844" s="134" t="s">
        <v>18</v>
      </c>
      <c r="C844" s="134" t="s">
        <v>74</v>
      </c>
      <c r="D844" s="133" t="s">
        <v>423</v>
      </c>
      <c r="E844" s="142">
        <v>42810.0</v>
      </c>
      <c r="F844" s="52" t="str">
        <f t="shared" si="77"/>
        <v>Mar-2017</v>
      </c>
      <c r="G844" s="76" t="s">
        <v>25</v>
      </c>
      <c r="H844" s="55" t="s">
        <v>35</v>
      </c>
      <c r="I844" s="113" t="s">
        <v>425</v>
      </c>
      <c r="J844" s="55" t="s">
        <v>44</v>
      </c>
      <c r="K844" s="55" t="s">
        <v>9</v>
      </c>
      <c r="L844" s="55" t="s">
        <v>24</v>
      </c>
      <c r="M844" s="55"/>
      <c r="N844" s="55" t="s">
        <v>44</v>
      </c>
      <c r="O844" s="143"/>
      <c r="P844" s="143"/>
      <c r="Q844" s="144"/>
    </row>
    <row r="845">
      <c r="A845" s="107"/>
      <c r="B845" s="95"/>
      <c r="C845" s="95"/>
      <c r="D845" s="95"/>
      <c r="E845" s="95"/>
      <c r="I845" s="23"/>
    </row>
    <row r="846">
      <c r="A846" s="133" t="s">
        <v>426</v>
      </c>
      <c r="B846" s="134" t="s">
        <v>18</v>
      </c>
      <c r="C846" s="134" t="s">
        <v>427</v>
      </c>
      <c r="D846" s="133" t="s">
        <v>426</v>
      </c>
      <c r="E846" s="207">
        <v>42822.0</v>
      </c>
      <c r="F846" s="110" t="str">
        <f t="shared" ref="F846:F855" si="78">TEXT(E846, "mmm") &amp; "-" &amp; TEXT(E846, "yyyy") </f>
        <v>Mar-2017</v>
      </c>
      <c r="G846" s="110" t="s">
        <v>20</v>
      </c>
      <c r="H846" s="47" t="s">
        <v>35</v>
      </c>
      <c r="I846" s="79" t="s">
        <v>148</v>
      </c>
      <c r="J846" s="47" t="s">
        <v>27</v>
      </c>
      <c r="K846" s="47" t="s">
        <v>9</v>
      </c>
      <c r="L846" s="47" t="s">
        <v>30</v>
      </c>
      <c r="M846" s="47" t="s">
        <v>30</v>
      </c>
      <c r="N846" s="47" t="s">
        <v>69</v>
      </c>
      <c r="O846" s="152"/>
      <c r="P846" s="152"/>
      <c r="Q846" s="153"/>
    </row>
    <row r="847">
      <c r="A847" s="134" t="s">
        <v>18</v>
      </c>
      <c r="B847" s="134" t="s">
        <v>18</v>
      </c>
      <c r="C847" s="134" t="s">
        <v>427</v>
      </c>
      <c r="D847" s="133" t="s">
        <v>426</v>
      </c>
      <c r="E847" s="206">
        <v>42822.0</v>
      </c>
      <c r="F847" s="13" t="str">
        <f t="shared" si="78"/>
        <v>Mar-2017</v>
      </c>
      <c r="G847" s="17" t="s">
        <v>25</v>
      </c>
      <c r="H847" s="16" t="s">
        <v>35</v>
      </c>
      <c r="I847" s="48" t="s">
        <v>148</v>
      </c>
      <c r="J847" s="16" t="s">
        <v>27</v>
      </c>
      <c r="K847" s="16" t="s">
        <v>9</v>
      </c>
      <c r="L847" s="16" t="s">
        <v>24</v>
      </c>
      <c r="M847" s="16"/>
      <c r="N847" s="16" t="s">
        <v>69</v>
      </c>
      <c r="O847" s="101"/>
      <c r="P847" s="101"/>
      <c r="Q847" s="102"/>
    </row>
    <row r="848">
      <c r="A848" s="134" t="s">
        <v>428</v>
      </c>
      <c r="B848" s="134" t="s">
        <v>18</v>
      </c>
      <c r="C848" s="134" t="s">
        <v>427</v>
      </c>
      <c r="D848" s="133" t="s">
        <v>426</v>
      </c>
      <c r="E848" s="206">
        <v>42822.0</v>
      </c>
      <c r="F848" s="13" t="str">
        <f t="shared" si="78"/>
        <v>Mar-2017</v>
      </c>
      <c r="G848" s="16" t="s">
        <v>32</v>
      </c>
      <c r="H848" s="16" t="s">
        <v>35</v>
      </c>
      <c r="I848" s="48" t="s">
        <v>148</v>
      </c>
      <c r="J848" s="16" t="s">
        <v>27</v>
      </c>
      <c r="K848" s="16" t="s">
        <v>9</v>
      </c>
      <c r="L848" s="16" t="s">
        <v>30</v>
      </c>
      <c r="M848" s="16"/>
      <c r="N848" s="16" t="s">
        <v>37</v>
      </c>
      <c r="O848" s="101"/>
      <c r="P848" s="101"/>
      <c r="Q848" s="102"/>
    </row>
    <row r="849">
      <c r="A849" s="134"/>
      <c r="B849" s="134" t="s">
        <v>18</v>
      </c>
      <c r="C849" s="134" t="s">
        <v>427</v>
      </c>
      <c r="D849" s="133" t="s">
        <v>426</v>
      </c>
      <c r="E849" s="137">
        <v>42822.0</v>
      </c>
      <c r="F849" s="22" t="str">
        <f t="shared" si="78"/>
        <v>Mar-2017</v>
      </c>
      <c r="G849" s="22" t="s">
        <v>20</v>
      </c>
      <c r="H849" s="25" t="s">
        <v>35</v>
      </c>
      <c r="I849" s="80" t="s">
        <v>142</v>
      </c>
      <c r="J849" s="25" t="s">
        <v>44</v>
      </c>
      <c r="K849" s="25" t="s">
        <v>9</v>
      </c>
      <c r="L849" s="25" t="s">
        <v>24</v>
      </c>
      <c r="M849" s="25" t="s">
        <v>24</v>
      </c>
      <c r="N849" s="25" t="s">
        <v>98</v>
      </c>
      <c r="Q849" s="99"/>
    </row>
    <row r="850">
      <c r="A850" s="189">
        <v>42822.0</v>
      </c>
      <c r="B850" s="134" t="s">
        <v>18</v>
      </c>
      <c r="C850" s="134" t="s">
        <v>427</v>
      </c>
      <c r="D850" s="133" t="s">
        <v>426</v>
      </c>
      <c r="E850" s="137">
        <v>42822.0</v>
      </c>
      <c r="F850" s="22" t="str">
        <f t="shared" si="78"/>
        <v>Mar-2017</v>
      </c>
      <c r="G850" s="26" t="s">
        <v>25</v>
      </c>
      <c r="H850" s="25" t="s">
        <v>35</v>
      </c>
      <c r="I850" s="80" t="s">
        <v>142</v>
      </c>
      <c r="J850" s="25" t="s">
        <v>44</v>
      </c>
      <c r="K850" s="25" t="s">
        <v>9</v>
      </c>
      <c r="L850" s="25" t="s">
        <v>24</v>
      </c>
      <c r="M850" s="25"/>
      <c r="N850" s="25" t="s">
        <v>98</v>
      </c>
      <c r="Q850" s="99"/>
    </row>
    <row r="851">
      <c r="A851" s="134" t="s">
        <v>427</v>
      </c>
      <c r="B851" s="134" t="s">
        <v>18</v>
      </c>
      <c r="C851" s="134" t="s">
        <v>427</v>
      </c>
      <c r="D851" s="133" t="s">
        <v>426</v>
      </c>
      <c r="E851" s="206">
        <v>42822.0</v>
      </c>
      <c r="F851" s="13" t="str">
        <f t="shared" si="78"/>
        <v>Mar-2017</v>
      </c>
      <c r="G851" s="13" t="s">
        <v>20</v>
      </c>
      <c r="H851" s="16" t="s">
        <v>35</v>
      </c>
      <c r="I851" s="48" t="s">
        <v>302</v>
      </c>
      <c r="J851" s="16" t="s">
        <v>27</v>
      </c>
      <c r="K851" s="16" t="s">
        <v>9</v>
      </c>
      <c r="L851" s="16" t="s">
        <v>30</v>
      </c>
      <c r="M851" s="16" t="s">
        <v>30</v>
      </c>
      <c r="N851" s="16" t="s">
        <v>69</v>
      </c>
      <c r="O851" s="101"/>
      <c r="P851" s="101"/>
      <c r="Q851" s="102"/>
    </row>
    <row r="852">
      <c r="A852" s="140"/>
      <c r="B852" s="134" t="s">
        <v>18</v>
      </c>
      <c r="C852" s="134" t="s">
        <v>427</v>
      </c>
      <c r="D852" s="133" t="s">
        <v>426</v>
      </c>
      <c r="E852" s="206">
        <v>42822.0</v>
      </c>
      <c r="F852" s="13" t="str">
        <f t="shared" si="78"/>
        <v>Mar-2017</v>
      </c>
      <c r="G852" s="17" t="s">
        <v>25</v>
      </c>
      <c r="H852" s="16" t="s">
        <v>35</v>
      </c>
      <c r="I852" s="48" t="s">
        <v>302</v>
      </c>
      <c r="J852" s="16" t="s">
        <v>27</v>
      </c>
      <c r="K852" s="16" t="s">
        <v>9</v>
      </c>
      <c r="L852" s="16" t="s">
        <v>24</v>
      </c>
      <c r="M852" s="16"/>
      <c r="N852" s="16" t="s">
        <v>37</v>
      </c>
      <c r="O852" s="101"/>
      <c r="P852" s="101"/>
      <c r="Q852" s="102"/>
    </row>
    <row r="853">
      <c r="A853" s="140"/>
      <c r="B853" s="134" t="s">
        <v>18</v>
      </c>
      <c r="C853" s="134" t="s">
        <v>427</v>
      </c>
      <c r="D853" s="133" t="s">
        <v>426</v>
      </c>
      <c r="E853" s="206">
        <v>42822.0</v>
      </c>
      <c r="F853" s="13" t="str">
        <f t="shared" si="78"/>
        <v>Mar-2017</v>
      </c>
      <c r="G853" s="16" t="s">
        <v>32</v>
      </c>
      <c r="H853" s="16" t="s">
        <v>35</v>
      </c>
      <c r="I853" s="48" t="s">
        <v>302</v>
      </c>
      <c r="J853" s="16" t="s">
        <v>27</v>
      </c>
      <c r="K853" s="16" t="s">
        <v>9</v>
      </c>
      <c r="L853" s="16" t="s">
        <v>30</v>
      </c>
      <c r="M853" s="16"/>
      <c r="N853" s="16" t="s">
        <v>98</v>
      </c>
      <c r="O853" s="101"/>
      <c r="P853" s="101"/>
      <c r="Q853" s="102"/>
    </row>
    <row r="854">
      <c r="A854" s="140"/>
      <c r="B854" s="134" t="s">
        <v>18</v>
      </c>
      <c r="C854" s="134" t="s">
        <v>427</v>
      </c>
      <c r="D854" s="133" t="s">
        <v>426</v>
      </c>
      <c r="E854" s="137">
        <v>42822.0</v>
      </c>
      <c r="F854" s="22" t="str">
        <f t="shared" si="78"/>
        <v>Mar-2017</v>
      </c>
      <c r="G854" s="22" t="s">
        <v>20</v>
      </c>
      <c r="H854" s="25" t="s">
        <v>35</v>
      </c>
      <c r="I854" s="80" t="s">
        <v>218</v>
      </c>
      <c r="J854" s="25" t="s">
        <v>86</v>
      </c>
      <c r="K854" s="25" t="s">
        <v>9</v>
      </c>
      <c r="L854" s="25" t="s">
        <v>24</v>
      </c>
      <c r="M854" s="25" t="s">
        <v>24</v>
      </c>
      <c r="N854" s="25" t="s">
        <v>99</v>
      </c>
      <c r="Q854" s="99"/>
    </row>
    <row r="855">
      <c r="A855" s="141"/>
      <c r="B855" s="134" t="s">
        <v>18</v>
      </c>
      <c r="C855" s="134" t="s">
        <v>427</v>
      </c>
      <c r="D855" s="133" t="s">
        <v>426</v>
      </c>
      <c r="E855" s="142">
        <v>42822.0</v>
      </c>
      <c r="F855" s="52" t="str">
        <f t="shared" si="78"/>
        <v>Mar-2017</v>
      </c>
      <c r="G855" s="76" t="s">
        <v>25</v>
      </c>
      <c r="H855" s="55" t="s">
        <v>35</v>
      </c>
      <c r="I855" s="113" t="s">
        <v>218</v>
      </c>
      <c r="J855" s="55" t="s">
        <v>86</v>
      </c>
      <c r="K855" s="55" t="s">
        <v>9</v>
      </c>
      <c r="L855" s="55" t="s">
        <v>24</v>
      </c>
      <c r="M855" s="55"/>
      <c r="N855" s="55" t="s">
        <v>69</v>
      </c>
      <c r="O855" s="143"/>
      <c r="P855" s="143"/>
      <c r="Q855" s="144"/>
    </row>
    <row r="856">
      <c r="A856" s="107"/>
      <c r="B856" s="95"/>
      <c r="C856" s="95"/>
      <c r="D856" s="95"/>
      <c r="E856" s="95"/>
      <c r="I856" s="23"/>
    </row>
    <row r="857">
      <c r="A857" s="133" t="s">
        <v>429</v>
      </c>
      <c r="B857" s="134" t="s">
        <v>151</v>
      </c>
      <c r="C857" s="134" t="s">
        <v>74</v>
      </c>
      <c r="D857" s="133" t="s">
        <v>429</v>
      </c>
      <c r="E857" s="135">
        <v>42825.0</v>
      </c>
      <c r="F857" s="110" t="str">
        <f t="shared" ref="F857:F866" si="79">TEXT(E857, "mmm") &amp; "-" &amp; TEXT(E857, "yyyy") </f>
        <v>Mar-2017</v>
      </c>
      <c r="G857" s="110" t="s">
        <v>20</v>
      </c>
      <c r="H857" s="47" t="s">
        <v>35</v>
      </c>
      <c r="I857" s="79" t="s">
        <v>111</v>
      </c>
      <c r="J857" s="47" t="s">
        <v>216</v>
      </c>
      <c r="K857" s="47" t="s">
        <v>9</v>
      </c>
      <c r="L857" s="47" t="s">
        <v>24</v>
      </c>
      <c r="M857" s="47" t="s">
        <v>24</v>
      </c>
      <c r="N857" s="47" t="s">
        <v>98</v>
      </c>
      <c r="O857" s="152"/>
      <c r="P857" s="152"/>
      <c r="Q857" s="153"/>
    </row>
    <row r="858">
      <c r="A858" s="134" t="s">
        <v>151</v>
      </c>
      <c r="B858" s="134" t="s">
        <v>151</v>
      </c>
      <c r="C858" s="134" t="s">
        <v>74</v>
      </c>
      <c r="D858" s="133" t="s">
        <v>429</v>
      </c>
      <c r="E858" s="135">
        <v>42825.0</v>
      </c>
      <c r="F858" s="13" t="str">
        <f t="shared" si="79"/>
        <v>Mar-2017</v>
      </c>
      <c r="G858" s="17" t="s">
        <v>25</v>
      </c>
      <c r="H858" s="16" t="s">
        <v>35</v>
      </c>
      <c r="I858" s="48" t="s">
        <v>111</v>
      </c>
      <c r="J858" s="16" t="s">
        <v>216</v>
      </c>
      <c r="K858" s="16" t="s">
        <v>9</v>
      </c>
      <c r="L858" s="16" t="s">
        <v>24</v>
      </c>
      <c r="M858" s="16"/>
      <c r="N858" s="16" t="s">
        <v>98</v>
      </c>
      <c r="O858" s="101"/>
      <c r="P858" s="101"/>
      <c r="Q858" s="102"/>
    </row>
    <row r="859">
      <c r="A859" s="134" t="s">
        <v>368</v>
      </c>
      <c r="B859" s="134" t="s">
        <v>151</v>
      </c>
      <c r="C859" s="134" t="s">
        <v>74</v>
      </c>
      <c r="D859" s="133" t="s">
        <v>429</v>
      </c>
      <c r="E859" s="135">
        <v>42825.0</v>
      </c>
      <c r="F859" s="22" t="str">
        <f t="shared" si="79"/>
        <v>Mar-2017</v>
      </c>
      <c r="G859" s="22" t="s">
        <v>20</v>
      </c>
      <c r="H859" s="25" t="s">
        <v>35</v>
      </c>
      <c r="I859" s="80" t="s">
        <v>430</v>
      </c>
      <c r="J859" s="25" t="s">
        <v>86</v>
      </c>
      <c r="K859" s="25" t="s">
        <v>9</v>
      </c>
      <c r="L859" s="25" t="s">
        <v>30</v>
      </c>
      <c r="M859" s="25" t="s">
        <v>30</v>
      </c>
      <c r="N859" s="25" t="s">
        <v>69</v>
      </c>
      <c r="Q859" s="99"/>
    </row>
    <row r="860">
      <c r="A860" s="189">
        <v>42825.0</v>
      </c>
      <c r="B860" s="134" t="s">
        <v>151</v>
      </c>
      <c r="C860" s="134" t="s">
        <v>74</v>
      </c>
      <c r="D860" s="133" t="s">
        <v>429</v>
      </c>
      <c r="E860" s="135">
        <v>42825.0</v>
      </c>
      <c r="F860" s="22" t="str">
        <f t="shared" si="79"/>
        <v>Mar-2017</v>
      </c>
      <c r="G860" s="26" t="s">
        <v>25</v>
      </c>
      <c r="H860" s="25" t="s">
        <v>35</v>
      </c>
      <c r="I860" s="80" t="s">
        <v>430</v>
      </c>
      <c r="J860" s="25" t="s">
        <v>86</v>
      </c>
      <c r="K860" s="25" t="s">
        <v>9</v>
      </c>
      <c r="L860" s="25" t="s">
        <v>30</v>
      </c>
      <c r="M860" s="25"/>
      <c r="N860" s="25" t="s">
        <v>29</v>
      </c>
      <c r="Q860" s="99"/>
    </row>
    <row r="861">
      <c r="A861" s="134" t="s">
        <v>74</v>
      </c>
      <c r="B861" s="134" t="s">
        <v>151</v>
      </c>
      <c r="C861" s="134" t="s">
        <v>74</v>
      </c>
      <c r="D861" s="133" t="s">
        <v>429</v>
      </c>
      <c r="E861" s="135">
        <v>42825.0</v>
      </c>
      <c r="F861" s="13" t="str">
        <f t="shared" si="79"/>
        <v>Mar-2017</v>
      </c>
      <c r="G861" s="13" t="s">
        <v>20</v>
      </c>
      <c r="H861" s="16" t="s">
        <v>35</v>
      </c>
      <c r="I861" s="48" t="s">
        <v>399</v>
      </c>
      <c r="J861" s="16" t="s">
        <v>9</v>
      </c>
      <c r="K861" s="16" t="s">
        <v>9</v>
      </c>
      <c r="L861" s="16" t="s">
        <v>30</v>
      </c>
      <c r="M861" s="16" t="s">
        <v>30</v>
      </c>
      <c r="N861" s="16" t="s">
        <v>99</v>
      </c>
      <c r="O861" s="101"/>
      <c r="P861" s="101"/>
      <c r="Q861" s="102"/>
    </row>
    <row r="862">
      <c r="A862" s="140"/>
      <c r="B862" s="134" t="s">
        <v>151</v>
      </c>
      <c r="C862" s="134" t="s">
        <v>74</v>
      </c>
      <c r="D862" s="133" t="s">
        <v>429</v>
      </c>
      <c r="E862" s="135">
        <v>42825.0</v>
      </c>
      <c r="F862" s="13" t="str">
        <f t="shared" si="79"/>
        <v>Mar-2017</v>
      </c>
      <c r="G862" s="17" t="s">
        <v>25</v>
      </c>
      <c r="H862" s="16" t="s">
        <v>35</v>
      </c>
      <c r="I862" s="48" t="s">
        <v>399</v>
      </c>
      <c r="J862" s="16" t="s">
        <v>44</v>
      </c>
      <c r="K862" s="16" t="s">
        <v>9</v>
      </c>
      <c r="L862" s="16" t="s">
        <v>30</v>
      </c>
      <c r="M862" s="16"/>
      <c r="N862" s="16" t="s">
        <v>106</v>
      </c>
      <c r="O862" s="101"/>
      <c r="P862" s="101"/>
      <c r="Q862" s="102"/>
    </row>
    <row r="863">
      <c r="A863" s="140"/>
      <c r="B863" s="134" t="s">
        <v>151</v>
      </c>
      <c r="C863" s="134" t="s">
        <v>74</v>
      </c>
      <c r="D863" s="133" t="s">
        <v>429</v>
      </c>
      <c r="E863" s="135">
        <v>42825.0</v>
      </c>
      <c r="F863" s="22" t="str">
        <f t="shared" si="79"/>
        <v>Mar-2017</v>
      </c>
      <c r="G863" s="22" t="s">
        <v>20</v>
      </c>
      <c r="H863" s="25" t="s">
        <v>35</v>
      </c>
      <c r="I863" s="80" t="s">
        <v>431</v>
      </c>
      <c r="J863" s="25" t="s">
        <v>23</v>
      </c>
      <c r="K863" s="25" t="s">
        <v>9</v>
      </c>
      <c r="L863" s="25" t="s">
        <v>30</v>
      </c>
      <c r="M863" s="25" t="s">
        <v>30</v>
      </c>
      <c r="N863" s="25" t="s">
        <v>98</v>
      </c>
      <c r="Q863" s="99"/>
    </row>
    <row r="864">
      <c r="A864" s="140"/>
      <c r="B864" s="134" t="s">
        <v>151</v>
      </c>
      <c r="C864" s="134" t="s">
        <v>74</v>
      </c>
      <c r="D864" s="133" t="s">
        <v>429</v>
      </c>
      <c r="E864" s="135">
        <v>42825.0</v>
      </c>
      <c r="F864" s="22" t="str">
        <f t="shared" si="79"/>
        <v>Mar-2017</v>
      </c>
      <c r="G864" s="26" t="s">
        <v>25</v>
      </c>
      <c r="H864" s="25" t="s">
        <v>35</v>
      </c>
      <c r="I864" s="80" t="s">
        <v>431</v>
      </c>
      <c r="J864" s="25" t="s">
        <v>23</v>
      </c>
      <c r="K864" s="25" t="s">
        <v>9</v>
      </c>
      <c r="L864" s="25" t="s">
        <v>30</v>
      </c>
      <c r="M864" s="25"/>
      <c r="N864" s="25" t="s">
        <v>98</v>
      </c>
      <c r="Q864" s="99"/>
    </row>
    <row r="865">
      <c r="A865" s="140"/>
      <c r="B865" s="134" t="s">
        <v>151</v>
      </c>
      <c r="C865" s="134" t="s">
        <v>74</v>
      </c>
      <c r="D865" s="133" t="s">
        <v>429</v>
      </c>
      <c r="E865" s="135">
        <v>42825.0</v>
      </c>
      <c r="F865" s="13" t="str">
        <f t="shared" si="79"/>
        <v>Mar-2017</v>
      </c>
      <c r="G865" s="13" t="s">
        <v>20</v>
      </c>
      <c r="H865" s="16" t="s">
        <v>35</v>
      </c>
      <c r="I865" s="48" t="s">
        <v>111</v>
      </c>
      <c r="J865" s="16" t="s">
        <v>216</v>
      </c>
      <c r="K865" s="16" t="s">
        <v>9</v>
      </c>
      <c r="L865" s="16" t="s">
        <v>24</v>
      </c>
      <c r="M865" s="16" t="s">
        <v>24</v>
      </c>
      <c r="N865" s="16" t="s">
        <v>98</v>
      </c>
      <c r="O865" s="101"/>
      <c r="P865" s="101"/>
      <c r="Q865" s="102"/>
    </row>
    <row r="866">
      <c r="A866" s="141"/>
      <c r="B866" s="134" t="s">
        <v>151</v>
      </c>
      <c r="C866" s="134" t="s">
        <v>74</v>
      </c>
      <c r="D866" s="133" t="s">
        <v>429</v>
      </c>
      <c r="E866" s="208">
        <v>42825.0</v>
      </c>
      <c r="F866" s="35" t="str">
        <f t="shared" si="79"/>
        <v>Mar-2017</v>
      </c>
      <c r="G866" s="93" t="s">
        <v>25</v>
      </c>
      <c r="H866" s="38" t="s">
        <v>35</v>
      </c>
      <c r="I866" s="122" t="s">
        <v>111</v>
      </c>
      <c r="J866" s="38" t="s">
        <v>216</v>
      </c>
      <c r="K866" s="38" t="s">
        <v>9</v>
      </c>
      <c r="L866" s="38" t="s">
        <v>24</v>
      </c>
      <c r="M866" s="38"/>
      <c r="N866" s="38" t="s">
        <v>98</v>
      </c>
      <c r="O866" s="105"/>
      <c r="P866" s="105"/>
      <c r="Q866" s="106"/>
    </row>
    <row r="867">
      <c r="A867" s="107"/>
      <c r="B867" s="95"/>
      <c r="C867" s="95"/>
      <c r="D867" s="95"/>
      <c r="E867" s="95"/>
      <c r="I867" s="23"/>
    </row>
    <row r="868">
      <c r="A868" s="209" t="s">
        <v>432</v>
      </c>
      <c r="B868" s="210" t="s">
        <v>433</v>
      </c>
      <c r="C868" s="210" t="s">
        <v>84</v>
      </c>
      <c r="D868" s="209" t="s">
        <v>432</v>
      </c>
      <c r="E868" s="135">
        <v>42827.0</v>
      </c>
      <c r="F868" s="85" t="str">
        <f t="shared" ref="F868:F873" si="80">TEXT(E868, "mmm") &amp; "-" &amp; TEXT(E868, "yyyy") </f>
        <v>Apr-2017</v>
      </c>
      <c r="G868" s="85" t="s">
        <v>20</v>
      </c>
      <c r="H868" s="73" t="s">
        <v>35</v>
      </c>
      <c r="I868" s="86" t="s">
        <v>391</v>
      </c>
      <c r="J868" s="73" t="s">
        <v>27</v>
      </c>
      <c r="K868" s="73" t="s">
        <v>9</v>
      </c>
      <c r="L868" s="73" t="s">
        <v>30</v>
      </c>
      <c r="M868" s="73" t="s">
        <v>30</v>
      </c>
      <c r="N868" s="73" t="s">
        <v>37</v>
      </c>
      <c r="O868" s="165"/>
      <c r="P868" s="165"/>
      <c r="Q868" s="166"/>
    </row>
    <row r="869">
      <c r="A869" s="210" t="s">
        <v>433</v>
      </c>
      <c r="B869" s="210" t="s">
        <v>433</v>
      </c>
      <c r="C869" s="210" t="s">
        <v>84</v>
      </c>
      <c r="D869" s="209" t="s">
        <v>432</v>
      </c>
      <c r="E869" s="137">
        <v>42827.0</v>
      </c>
      <c r="F869" s="22" t="str">
        <f t="shared" si="80"/>
        <v>Apr-2017</v>
      </c>
      <c r="G869" s="26" t="s">
        <v>25</v>
      </c>
      <c r="H869" s="25" t="s">
        <v>35</v>
      </c>
      <c r="I869" s="80" t="s">
        <v>391</v>
      </c>
      <c r="J869" s="25" t="s">
        <v>27</v>
      </c>
      <c r="K869" s="25" t="s">
        <v>9</v>
      </c>
      <c r="L869" s="25" t="s">
        <v>30</v>
      </c>
      <c r="M869" s="25"/>
      <c r="N869" s="25" t="s">
        <v>106</v>
      </c>
      <c r="Q869" s="99"/>
    </row>
    <row r="870">
      <c r="A870" s="210" t="s">
        <v>434</v>
      </c>
      <c r="B870" s="210" t="s">
        <v>433</v>
      </c>
      <c r="C870" s="210" t="s">
        <v>84</v>
      </c>
      <c r="D870" s="209" t="s">
        <v>432</v>
      </c>
      <c r="E870" s="206">
        <v>42827.0</v>
      </c>
      <c r="F870" s="13" t="str">
        <f t="shared" si="80"/>
        <v>Apr-2017</v>
      </c>
      <c r="G870" s="13" t="s">
        <v>20</v>
      </c>
      <c r="H870" s="16" t="s">
        <v>35</v>
      </c>
      <c r="I870" s="48" t="s">
        <v>194</v>
      </c>
      <c r="J870" s="16" t="s">
        <v>23</v>
      </c>
      <c r="K870" s="16" t="s">
        <v>9</v>
      </c>
      <c r="L870" s="16" t="s">
        <v>24</v>
      </c>
      <c r="M870" s="16" t="s">
        <v>24</v>
      </c>
      <c r="N870" s="16" t="s">
        <v>98</v>
      </c>
      <c r="O870" s="101"/>
      <c r="P870" s="101"/>
      <c r="Q870" s="102"/>
    </row>
    <row r="871">
      <c r="A871" s="211">
        <v>42827.0</v>
      </c>
      <c r="B871" s="210" t="s">
        <v>433</v>
      </c>
      <c r="C871" s="210" t="s">
        <v>84</v>
      </c>
      <c r="D871" s="209" t="s">
        <v>432</v>
      </c>
      <c r="E871" s="206">
        <v>42827.0</v>
      </c>
      <c r="F871" s="13" t="str">
        <f t="shared" si="80"/>
        <v>Apr-2017</v>
      </c>
      <c r="G871" s="17" t="s">
        <v>25</v>
      </c>
      <c r="H871" s="16" t="s">
        <v>35</v>
      </c>
      <c r="I871" s="48" t="s">
        <v>194</v>
      </c>
      <c r="J871" s="16" t="s">
        <v>23</v>
      </c>
      <c r="K871" s="16" t="s">
        <v>9</v>
      </c>
      <c r="L871" s="16" t="s">
        <v>24</v>
      </c>
      <c r="M871" s="16"/>
      <c r="N871" s="16" t="s">
        <v>69</v>
      </c>
      <c r="O871" s="101"/>
      <c r="P871" s="101"/>
      <c r="Q871" s="102"/>
    </row>
    <row r="872">
      <c r="A872" s="210" t="s">
        <v>84</v>
      </c>
      <c r="B872" s="210" t="s">
        <v>433</v>
      </c>
      <c r="C872" s="210" t="s">
        <v>84</v>
      </c>
      <c r="D872" s="209" t="s">
        <v>432</v>
      </c>
      <c r="E872" s="137">
        <v>42827.0</v>
      </c>
      <c r="F872" s="22" t="str">
        <f t="shared" si="80"/>
        <v>Apr-2017</v>
      </c>
      <c r="G872" s="22" t="s">
        <v>20</v>
      </c>
      <c r="H872" s="25" t="s">
        <v>35</v>
      </c>
      <c r="I872" s="80" t="s">
        <v>435</v>
      </c>
      <c r="J872" s="25" t="s">
        <v>9</v>
      </c>
      <c r="K872" s="25" t="s">
        <v>9</v>
      </c>
      <c r="L872" s="25" t="s">
        <v>24</v>
      </c>
      <c r="M872" s="25" t="s">
        <v>24</v>
      </c>
      <c r="N872" s="25" t="s">
        <v>37</v>
      </c>
      <c r="Q872" s="99"/>
    </row>
    <row r="873">
      <c r="A873" s="212"/>
      <c r="B873" s="210" t="s">
        <v>433</v>
      </c>
      <c r="C873" s="210" t="s">
        <v>84</v>
      </c>
      <c r="D873" s="209" t="s">
        <v>432</v>
      </c>
      <c r="E873" s="142">
        <v>42827.0</v>
      </c>
      <c r="F873" s="52" t="str">
        <f t="shared" si="80"/>
        <v>Apr-2017</v>
      </c>
      <c r="G873" s="76" t="s">
        <v>25</v>
      </c>
      <c r="H873" s="55" t="s">
        <v>35</v>
      </c>
      <c r="I873" s="113" t="s">
        <v>435</v>
      </c>
      <c r="J873" s="55" t="s">
        <v>9</v>
      </c>
      <c r="K873" s="55" t="s">
        <v>9</v>
      </c>
      <c r="L873" s="55" t="s">
        <v>24</v>
      </c>
      <c r="M873" s="55"/>
      <c r="N873" s="55" t="s">
        <v>29</v>
      </c>
      <c r="O873" s="143"/>
      <c r="P873" s="143"/>
      <c r="Q873" s="144"/>
    </row>
    <row r="874">
      <c r="A874" s="107"/>
      <c r="B874" s="95"/>
      <c r="C874" s="95"/>
      <c r="D874" s="95"/>
      <c r="E874" s="95"/>
      <c r="I874" s="23"/>
    </row>
    <row r="875">
      <c r="A875" s="133" t="s">
        <v>436</v>
      </c>
      <c r="B875" s="134" t="s">
        <v>151</v>
      </c>
      <c r="C875" s="134" t="s">
        <v>74</v>
      </c>
      <c r="D875" s="133" t="s">
        <v>436</v>
      </c>
      <c r="E875" s="135">
        <v>42838.0</v>
      </c>
      <c r="F875" s="110" t="str">
        <f t="shared" ref="F875:F887" si="81">TEXT(E875, "mmm") &amp; "-" &amp; TEXT(E875, "yyyy") </f>
        <v>Apr-2017</v>
      </c>
      <c r="G875" s="110" t="s">
        <v>20</v>
      </c>
      <c r="H875" s="47" t="s">
        <v>35</v>
      </c>
      <c r="I875" s="79" t="s">
        <v>340</v>
      </c>
      <c r="J875" s="47" t="s">
        <v>23</v>
      </c>
      <c r="K875" s="47" t="s">
        <v>9</v>
      </c>
      <c r="L875" s="47" t="s">
        <v>30</v>
      </c>
      <c r="M875" s="47" t="s">
        <v>30</v>
      </c>
      <c r="N875" s="47" t="s">
        <v>69</v>
      </c>
      <c r="O875" s="152"/>
      <c r="P875" s="152"/>
      <c r="Q875" s="153"/>
    </row>
    <row r="876">
      <c r="A876" s="134" t="s">
        <v>151</v>
      </c>
      <c r="B876" s="134" t="s">
        <v>151</v>
      </c>
      <c r="C876" s="134" t="s">
        <v>74</v>
      </c>
      <c r="D876" s="133" t="s">
        <v>436</v>
      </c>
      <c r="E876" s="135">
        <v>42838.0</v>
      </c>
      <c r="F876" s="13" t="str">
        <f t="shared" si="81"/>
        <v>Apr-2017</v>
      </c>
      <c r="G876" s="17" t="s">
        <v>25</v>
      </c>
      <c r="H876" s="16" t="s">
        <v>35</v>
      </c>
      <c r="I876" s="48" t="s">
        <v>340</v>
      </c>
      <c r="J876" s="16" t="s">
        <v>40</v>
      </c>
      <c r="K876" s="16" t="s">
        <v>9</v>
      </c>
      <c r="L876" s="16" t="s">
        <v>30</v>
      </c>
      <c r="M876" s="16"/>
      <c r="N876" s="16" t="s">
        <v>29</v>
      </c>
      <c r="O876" s="101"/>
      <c r="P876" s="101"/>
      <c r="Q876" s="102"/>
    </row>
    <row r="877">
      <c r="A877" s="134" t="s">
        <v>368</v>
      </c>
      <c r="B877" s="134" t="s">
        <v>151</v>
      </c>
      <c r="C877" s="134" t="s">
        <v>74</v>
      </c>
      <c r="D877" s="133" t="s">
        <v>436</v>
      </c>
      <c r="E877" s="135">
        <v>42838.0</v>
      </c>
      <c r="F877" s="22" t="str">
        <f t="shared" si="81"/>
        <v>Apr-2017</v>
      </c>
      <c r="G877" s="22" t="s">
        <v>20</v>
      </c>
      <c r="H877" s="25" t="s">
        <v>35</v>
      </c>
      <c r="I877" s="80" t="s">
        <v>111</v>
      </c>
      <c r="J877" s="25" t="s">
        <v>216</v>
      </c>
      <c r="K877" s="25" t="s">
        <v>9</v>
      </c>
      <c r="L877" s="25" t="s">
        <v>24</v>
      </c>
      <c r="M877" s="25" t="s">
        <v>24</v>
      </c>
      <c r="N877" s="25" t="s">
        <v>98</v>
      </c>
      <c r="Q877" s="99"/>
    </row>
    <row r="878">
      <c r="A878" s="189">
        <v>42838.0</v>
      </c>
      <c r="B878" s="134" t="s">
        <v>151</v>
      </c>
      <c r="C878" s="134" t="s">
        <v>74</v>
      </c>
      <c r="D878" s="133" t="s">
        <v>436</v>
      </c>
      <c r="E878" s="135">
        <v>42838.0</v>
      </c>
      <c r="F878" s="22" t="str">
        <f t="shared" si="81"/>
        <v>Apr-2017</v>
      </c>
      <c r="G878" s="26" t="s">
        <v>25</v>
      </c>
      <c r="H878" s="25" t="s">
        <v>35</v>
      </c>
      <c r="I878" s="80" t="s">
        <v>111</v>
      </c>
      <c r="J878" s="25" t="s">
        <v>216</v>
      </c>
      <c r="K878" s="25" t="s">
        <v>9</v>
      </c>
      <c r="L878" s="25" t="s">
        <v>24</v>
      </c>
      <c r="M878" s="25"/>
      <c r="N878" s="25" t="s">
        <v>106</v>
      </c>
      <c r="Q878" s="99"/>
    </row>
    <row r="879">
      <c r="A879" s="134" t="s">
        <v>74</v>
      </c>
      <c r="B879" s="134" t="s">
        <v>151</v>
      </c>
      <c r="C879" s="134" t="s">
        <v>74</v>
      </c>
      <c r="D879" s="133" t="s">
        <v>436</v>
      </c>
      <c r="E879" s="135">
        <v>42838.0</v>
      </c>
      <c r="F879" s="13" t="str">
        <f t="shared" si="81"/>
        <v>Apr-2017</v>
      </c>
      <c r="G879" s="13" t="s">
        <v>20</v>
      </c>
      <c r="H879" s="16" t="s">
        <v>35</v>
      </c>
      <c r="I879" s="48" t="s">
        <v>399</v>
      </c>
      <c r="J879" s="16" t="s">
        <v>9</v>
      </c>
      <c r="K879" s="16" t="s">
        <v>9</v>
      </c>
      <c r="L879" s="16" t="s">
        <v>30</v>
      </c>
      <c r="M879" s="16" t="s">
        <v>30</v>
      </c>
      <c r="N879" s="16" t="s">
        <v>98</v>
      </c>
      <c r="O879" s="101"/>
      <c r="P879" s="101"/>
      <c r="Q879" s="102"/>
    </row>
    <row r="880">
      <c r="A880" s="140"/>
      <c r="B880" s="134" t="s">
        <v>151</v>
      </c>
      <c r="C880" s="134" t="s">
        <v>74</v>
      </c>
      <c r="D880" s="133" t="s">
        <v>436</v>
      </c>
      <c r="E880" s="135">
        <v>42838.0</v>
      </c>
      <c r="F880" s="13" t="str">
        <f t="shared" si="81"/>
        <v>Apr-2017</v>
      </c>
      <c r="G880" s="17" t="s">
        <v>25</v>
      </c>
      <c r="H880" s="16" t="s">
        <v>35</v>
      </c>
      <c r="I880" s="48" t="s">
        <v>399</v>
      </c>
      <c r="J880" s="16" t="s">
        <v>27</v>
      </c>
      <c r="K880" s="16" t="s">
        <v>9</v>
      </c>
      <c r="L880" s="16" t="s">
        <v>30</v>
      </c>
      <c r="M880" s="16"/>
      <c r="N880" s="16" t="s">
        <v>69</v>
      </c>
      <c r="O880" s="101"/>
      <c r="P880" s="101"/>
      <c r="Q880" s="102"/>
    </row>
    <row r="881">
      <c r="A881" s="140"/>
      <c r="B881" s="134" t="s">
        <v>151</v>
      </c>
      <c r="C881" s="134" t="s">
        <v>74</v>
      </c>
      <c r="D881" s="133" t="s">
        <v>436</v>
      </c>
      <c r="E881" s="135">
        <v>42838.0</v>
      </c>
      <c r="F881" s="22" t="str">
        <f t="shared" si="81"/>
        <v>Apr-2017</v>
      </c>
      <c r="G881" s="22" t="s">
        <v>20</v>
      </c>
      <c r="H881" s="25" t="s">
        <v>35</v>
      </c>
      <c r="I881" s="80" t="s">
        <v>437</v>
      </c>
      <c r="J881" s="25" t="s">
        <v>9</v>
      </c>
      <c r="K881" s="25" t="s">
        <v>9</v>
      </c>
      <c r="L881" s="25" t="s">
        <v>30</v>
      </c>
      <c r="M881" s="25" t="s">
        <v>30</v>
      </c>
      <c r="N881" s="25" t="s">
        <v>98</v>
      </c>
      <c r="Q881" s="99"/>
    </row>
    <row r="882">
      <c r="A882" s="140"/>
      <c r="B882" s="134" t="s">
        <v>151</v>
      </c>
      <c r="C882" s="134" t="s">
        <v>74</v>
      </c>
      <c r="D882" s="133" t="s">
        <v>436</v>
      </c>
      <c r="E882" s="135">
        <v>42838.0</v>
      </c>
      <c r="F882" s="22" t="str">
        <f t="shared" si="81"/>
        <v>Apr-2017</v>
      </c>
      <c r="G882" s="26" t="s">
        <v>25</v>
      </c>
      <c r="H882" s="25" t="s">
        <v>35</v>
      </c>
      <c r="I882" s="80" t="s">
        <v>437</v>
      </c>
      <c r="J882" s="25" t="s">
        <v>9</v>
      </c>
      <c r="K882" s="25" t="s">
        <v>9</v>
      </c>
      <c r="L882" s="25" t="s">
        <v>30</v>
      </c>
      <c r="M882" s="25"/>
      <c r="N882" s="25" t="s">
        <v>106</v>
      </c>
      <c r="Q882" s="99"/>
    </row>
    <row r="883">
      <c r="A883" s="140"/>
      <c r="B883" s="134" t="s">
        <v>151</v>
      </c>
      <c r="C883" s="134" t="s">
        <v>74</v>
      </c>
      <c r="D883" s="133" t="s">
        <v>436</v>
      </c>
      <c r="E883" s="135">
        <v>42838.0</v>
      </c>
      <c r="F883" s="13" t="str">
        <f t="shared" si="81"/>
        <v>Apr-2017</v>
      </c>
      <c r="G883" s="13" t="s">
        <v>20</v>
      </c>
      <c r="H883" s="16" t="s">
        <v>35</v>
      </c>
      <c r="I883" s="48" t="s">
        <v>393</v>
      </c>
      <c r="J883" s="16" t="s">
        <v>102</v>
      </c>
      <c r="K883" s="16" t="s">
        <v>9</v>
      </c>
      <c r="L883" s="16" t="s">
        <v>30</v>
      </c>
      <c r="M883" s="16" t="s">
        <v>30</v>
      </c>
      <c r="N883" s="16" t="s">
        <v>98</v>
      </c>
      <c r="O883" s="101"/>
      <c r="P883" s="101"/>
      <c r="Q883" s="102"/>
    </row>
    <row r="884">
      <c r="A884" s="140"/>
      <c r="B884" s="134" t="s">
        <v>151</v>
      </c>
      <c r="C884" s="134" t="s">
        <v>74</v>
      </c>
      <c r="D884" s="133" t="s">
        <v>436</v>
      </c>
      <c r="E884" s="135">
        <v>42838.0</v>
      </c>
      <c r="F884" s="13" t="str">
        <f t="shared" si="81"/>
        <v>Apr-2017</v>
      </c>
      <c r="G884" s="17" t="s">
        <v>25</v>
      </c>
      <c r="H884" s="16" t="s">
        <v>35</v>
      </c>
      <c r="I884" s="48" t="s">
        <v>393</v>
      </c>
      <c r="J884" s="16" t="s">
        <v>102</v>
      </c>
      <c r="K884" s="16" t="s">
        <v>9</v>
      </c>
      <c r="L884" s="16" t="s">
        <v>30</v>
      </c>
      <c r="M884" s="16"/>
      <c r="N884" s="16" t="s">
        <v>98</v>
      </c>
      <c r="O884" s="101"/>
      <c r="P884" s="101"/>
      <c r="Q884" s="102"/>
    </row>
    <row r="885">
      <c r="A885" s="140"/>
      <c r="B885" s="134" t="s">
        <v>151</v>
      </c>
      <c r="C885" s="134" t="s">
        <v>74</v>
      </c>
      <c r="D885" s="133" t="s">
        <v>436</v>
      </c>
      <c r="E885" s="135">
        <v>42838.0</v>
      </c>
      <c r="F885" s="22" t="str">
        <f t="shared" si="81"/>
        <v>Apr-2017</v>
      </c>
      <c r="G885" s="22" t="s">
        <v>20</v>
      </c>
      <c r="H885" s="25" t="s">
        <v>35</v>
      </c>
      <c r="I885" s="126" t="s">
        <v>148</v>
      </c>
      <c r="J885" s="119" t="s">
        <v>27</v>
      </c>
      <c r="K885" s="25" t="s">
        <v>9</v>
      </c>
      <c r="L885" s="119" t="s">
        <v>30</v>
      </c>
      <c r="M885" s="119" t="s">
        <v>24</v>
      </c>
      <c r="N885" s="119" t="s">
        <v>69</v>
      </c>
      <c r="O885" s="174"/>
      <c r="P885" s="174"/>
      <c r="Q885" s="175"/>
    </row>
    <row r="886">
      <c r="A886" s="140"/>
      <c r="B886" s="134" t="s">
        <v>151</v>
      </c>
      <c r="C886" s="134" t="s">
        <v>74</v>
      </c>
      <c r="D886" s="133" t="s">
        <v>436</v>
      </c>
      <c r="E886" s="135">
        <v>42838.0</v>
      </c>
      <c r="F886" s="22" t="str">
        <f t="shared" si="81"/>
        <v>Apr-2017</v>
      </c>
      <c r="G886" s="26" t="s">
        <v>25</v>
      </c>
      <c r="H886" s="25" t="s">
        <v>35</v>
      </c>
      <c r="I886" s="126" t="s">
        <v>148</v>
      </c>
      <c r="J886" s="119" t="s">
        <v>27</v>
      </c>
      <c r="K886" s="25" t="s">
        <v>9</v>
      </c>
      <c r="L886" s="119" t="s">
        <v>24</v>
      </c>
      <c r="M886" s="119"/>
      <c r="N886" s="119" t="s">
        <v>37</v>
      </c>
      <c r="O886" s="174"/>
      <c r="P886" s="174"/>
      <c r="Q886" s="175"/>
    </row>
    <row r="887">
      <c r="A887" s="141"/>
      <c r="B887" s="134" t="s">
        <v>151</v>
      </c>
      <c r="C887" s="134" t="s">
        <v>74</v>
      </c>
      <c r="D887" s="133" t="s">
        <v>436</v>
      </c>
      <c r="E887" s="135">
        <v>42838.0</v>
      </c>
      <c r="F887" s="51" t="str">
        <f t="shared" si="81"/>
        <v>Apr-2017</v>
      </c>
      <c r="G887" s="55" t="s">
        <v>32</v>
      </c>
      <c r="H887" s="114" t="s">
        <v>35</v>
      </c>
      <c r="I887" s="130" t="s">
        <v>148</v>
      </c>
      <c r="J887" s="114" t="s">
        <v>27</v>
      </c>
      <c r="K887" s="114" t="s">
        <v>9</v>
      </c>
      <c r="L887" s="114" t="s">
        <v>24</v>
      </c>
      <c r="M887" s="114"/>
      <c r="N887" s="114" t="s">
        <v>98</v>
      </c>
      <c r="O887" s="202"/>
      <c r="P887" s="202"/>
      <c r="Q887" s="203"/>
    </row>
    <row r="888">
      <c r="A888" s="107"/>
      <c r="B888" s="95"/>
      <c r="C888" s="95"/>
      <c r="D888" s="95"/>
      <c r="E888" s="95"/>
      <c r="I888" s="23"/>
    </row>
    <row r="889">
      <c r="A889" s="191" t="s">
        <v>438</v>
      </c>
      <c r="B889" s="192" t="s">
        <v>18</v>
      </c>
      <c r="C889" s="192" t="s">
        <v>116</v>
      </c>
      <c r="D889" s="191" t="s">
        <v>438</v>
      </c>
      <c r="E889" s="164">
        <v>42847.0</v>
      </c>
      <c r="F889" s="110" t="str">
        <f t="shared" ref="F889:F904" si="82">TEXT(E889, "mmm") &amp; "-" &amp; TEXT(E889, "yyyy") </f>
        <v>Apr-2017</v>
      </c>
      <c r="G889" s="110" t="s">
        <v>20</v>
      </c>
      <c r="H889" s="47" t="s">
        <v>287</v>
      </c>
      <c r="I889" s="79" t="s">
        <v>439</v>
      </c>
      <c r="J889" s="47" t="s">
        <v>48</v>
      </c>
      <c r="K889" s="47" t="s">
        <v>9</v>
      </c>
      <c r="L889" s="47" t="s">
        <v>30</v>
      </c>
      <c r="M889" s="47" t="s">
        <v>30</v>
      </c>
      <c r="N889" s="47" t="s">
        <v>98</v>
      </c>
      <c r="O889" s="152"/>
      <c r="P889" s="152"/>
      <c r="Q889" s="153"/>
    </row>
    <row r="890">
      <c r="A890" s="192" t="s">
        <v>18</v>
      </c>
      <c r="B890" s="192" t="s">
        <v>18</v>
      </c>
      <c r="C890" s="192" t="s">
        <v>116</v>
      </c>
      <c r="D890" s="191" t="s">
        <v>438</v>
      </c>
      <c r="E890" s="167">
        <v>42847.0</v>
      </c>
      <c r="F890" s="13" t="str">
        <f t="shared" si="82"/>
        <v>Apr-2017</v>
      </c>
      <c r="G890" s="17" t="s">
        <v>25</v>
      </c>
      <c r="H890" s="16" t="s">
        <v>287</v>
      </c>
      <c r="I890" s="48" t="s">
        <v>439</v>
      </c>
      <c r="J890" s="16" t="s">
        <v>27</v>
      </c>
      <c r="K890" s="16" t="s">
        <v>9</v>
      </c>
      <c r="L890" s="16" t="s">
        <v>30</v>
      </c>
      <c r="M890" s="16"/>
      <c r="N890" s="16" t="s">
        <v>106</v>
      </c>
      <c r="O890" s="101"/>
      <c r="P890" s="101"/>
      <c r="Q890" s="102"/>
    </row>
    <row r="891">
      <c r="A891" s="192" t="s">
        <v>440</v>
      </c>
      <c r="B891" s="192" t="s">
        <v>18</v>
      </c>
      <c r="C891" s="192" t="s">
        <v>116</v>
      </c>
      <c r="D891" s="191" t="s">
        <v>438</v>
      </c>
      <c r="E891" s="167">
        <v>42847.0</v>
      </c>
      <c r="F891" s="22" t="str">
        <f t="shared" si="82"/>
        <v>Apr-2017</v>
      </c>
      <c r="G891" s="22" t="s">
        <v>20</v>
      </c>
      <c r="H891" s="25" t="s">
        <v>287</v>
      </c>
      <c r="I891" s="80" t="s">
        <v>305</v>
      </c>
      <c r="J891" s="25" t="s">
        <v>9</v>
      </c>
      <c r="K891" s="25" t="s">
        <v>9</v>
      </c>
      <c r="L891" s="25" t="s">
        <v>30</v>
      </c>
      <c r="M891" s="25" t="s">
        <v>30</v>
      </c>
      <c r="N891" s="25" t="s">
        <v>98</v>
      </c>
      <c r="Q891" s="99"/>
    </row>
    <row r="892">
      <c r="A892" s="192" t="s">
        <v>198</v>
      </c>
      <c r="B892" s="192" t="s">
        <v>18</v>
      </c>
      <c r="C892" s="192" t="s">
        <v>116</v>
      </c>
      <c r="D892" s="191" t="s">
        <v>438</v>
      </c>
      <c r="E892" s="167">
        <v>42847.0</v>
      </c>
      <c r="F892" s="22" t="str">
        <f t="shared" si="82"/>
        <v>Apr-2017</v>
      </c>
      <c r="G892" s="26" t="s">
        <v>25</v>
      </c>
      <c r="H892" s="25" t="s">
        <v>287</v>
      </c>
      <c r="I892" s="80" t="s">
        <v>305</v>
      </c>
      <c r="J892" s="25" t="s">
        <v>9</v>
      </c>
      <c r="K892" s="25" t="s">
        <v>9</v>
      </c>
      <c r="L892" s="25" t="s">
        <v>30</v>
      </c>
      <c r="M892" s="25"/>
      <c r="N892" s="25" t="s">
        <v>29</v>
      </c>
      <c r="Q892" s="99"/>
    </row>
    <row r="893">
      <c r="A893" s="213">
        <v>42847.0</v>
      </c>
      <c r="B893" s="192" t="s">
        <v>18</v>
      </c>
      <c r="C893" s="192" t="s">
        <v>116</v>
      </c>
      <c r="D893" s="191" t="s">
        <v>438</v>
      </c>
      <c r="E893" s="167">
        <v>42847.0</v>
      </c>
      <c r="F893" s="13" t="str">
        <f t="shared" si="82"/>
        <v>Apr-2017</v>
      </c>
      <c r="G893" s="13" t="s">
        <v>20</v>
      </c>
      <c r="H893" s="16" t="s">
        <v>287</v>
      </c>
      <c r="I893" s="48" t="s">
        <v>358</v>
      </c>
      <c r="J893" s="16" t="s">
        <v>23</v>
      </c>
      <c r="K893" s="16" t="s">
        <v>9</v>
      </c>
      <c r="L893" s="16" t="s">
        <v>24</v>
      </c>
      <c r="M893" s="16" t="s">
        <v>24</v>
      </c>
      <c r="N893" s="16" t="s">
        <v>98</v>
      </c>
      <c r="O893" s="101"/>
      <c r="P893" s="101"/>
      <c r="Q893" s="102"/>
    </row>
    <row r="894">
      <c r="A894" s="192" t="s">
        <v>441</v>
      </c>
      <c r="B894" s="192" t="s">
        <v>18</v>
      </c>
      <c r="C894" s="192" t="s">
        <v>116</v>
      </c>
      <c r="D894" s="191" t="s">
        <v>438</v>
      </c>
      <c r="E894" s="167">
        <v>42847.0</v>
      </c>
      <c r="F894" s="13" t="str">
        <f t="shared" si="82"/>
        <v>Apr-2017</v>
      </c>
      <c r="G894" s="17" t="s">
        <v>25</v>
      </c>
      <c r="H894" s="16" t="s">
        <v>287</v>
      </c>
      <c r="I894" s="48" t="s">
        <v>358</v>
      </c>
      <c r="J894" s="16" t="s">
        <v>23</v>
      </c>
      <c r="K894" s="16" t="s">
        <v>9</v>
      </c>
      <c r="L894" s="16" t="s">
        <v>24</v>
      </c>
      <c r="M894" s="16"/>
      <c r="N894" s="16" t="s">
        <v>69</v>
      </c>
      <c r="O894" s="101"/>
      <c r="P894" s="101"/>
      <c r="Q894" s="102"/>
    </row>
    <row r="895">
      <c r="A895" s="192" t="s">
        <v>116</v>
      </c>
      <c r="B895" s="192" t="s">
        <v>18</v>
      </c>
      <c r="C895" s="192" t="s">
        <v>116</v>
      </c>
      <c r="D895" s="191" t="s">
        <v>438</v>
      </c>
      <c r="E895" s="167">
        <v>42847.0</v>
      </c>
      <c r="F895" s="22" t="str">
        <f t="shared" si="82"/>
        <v>Apr-2017</v>
      </c>
      <c r="G895" s="22" t="s">
        <v>20</v>
      </c>
      <c r="H895" s="25" t="s">
        <v>287</v>
      </c>
      <c r="I895" s="80" t="s">
        <v>219</v>
      </c>
      <c r="J895" s="25" t="s">
        <v>97</v>
      </c>
      <c r="K895" s="25" t="s">
        <v>9</v>
      </c>
      <c r="L895" s="25" t="s">
        <v>24</v>
      </c>
      <c r="M895" s="25" t="s">
        <v>30</v>
      </c>
      <c r="N895" s="25" t="s">
        <v>69</v>
      </c>
      <c r="Q895" s="99"/>
    </row>
    <row r="896">
      <c r="A896" s="195"/>
      <c r="B896" s="192" t="s">
        <v>18</v>
      </c>
      <c r="C896" s="192" t="s">
        <v>116</v>
      </c>
      <c r="D896" s="191" t="s">
        <v>438</v>
      </c>
      <c r="E896" s="167">
        <v>42847.0</v>
      </c>
      <c r="F896" s="22" t="str">
        <f t="shared" si="82"/>
        <v>Apr-2017</v>
      </c>
      <c r="G896" s="26" t="s">
        <v>25</v>
      </c>
      <c r="H896" s="25" t="s">
        <v>287</v>
      </c>
      <c r="I896" s="80" t="s">
        <v>219</v>
      </c>
      <c r="J896" s="25" t="s">
        <v>97</v>
      </c>
      <c r="K896" s="25" t="s">
        <v>9</v>
      </c>
      <c r="L896" s="25" t="s">
        <v>30</v>
      </c>
      <c r="M896" s="25"/>
      <c r="N896" s="25" t="s">
        <v>106</v>
      </c>
      <c r="Q896" s="99"/>
    </row>
    <row r="897">
      <c r="A897" s="195"/>
      <c r="B897" s="192" t="s">
        <v>18</v>
      </c>
      <c r="C897" s="192" t="s">
        <v>116</v>
      </c>
      <c r="D897" s="191" t="s">
        <v>438</v>
      </c>
      <c r="E897" s="167">
        <v>42847.0</v>
      </c>
      <c r="F897" s="22" t="str">
        <f t="shared" si="82"/>
        <v>Apr-2017</v>
      </c>
      <c r="G897" s="25" t="s">
        <v>32</v>
      </c>
      <c r="H897" s="25" t="s">
        <v>287</v>
      </c>
      <c r="I897" s="80" t="s">
        <v>219</v>
      </c>
      <c r="J897" s="25" t="s">
        <v>97</v>
      </c>
      <c r="K897" s="25" t="s">
        <v>9</v>
      </c>
      <c r="L897" s="25" t="s">
        <v>30</v>
      </c>
      <c r="M897" s="25"/>
      <c r="N897" s="25" t="s">
        <v>37</v>
      </c>
      <c r="Q897" s="99"/>
    </row>
    <row r="898">
      <c r="A898" s="195"/>
      <c r="B898" s="192" t="s">
        <v>18</v>
      </c>
      <c r="C898" s="192" t="s">
        <v>116</v>
      </c>
      <c r="D898" s="191" t="s">
        <v>438</v>
      </c>
      <c r="E898" s="167">
        <v>42847.0</v>
      </c>
      <c r="F898" s="13" t="str">
        <f t="shared" si="82"/>
        <v>Apr-2017</v>
      </c>
      <c r="G898" s="13" t="s">
        <v>20</v>
      </c>
      <c r="H898" s="16" t="s">
        <v>35</v>
      </c>
      <c r="I898" s="48" t="s">
        <v>266</v>
      </c>
      <c r="J898" s="16" t="s">
        <v>27</v>
      </c>
      <c r="K898" s="16" t="s">
        <v>9</v>
      </c>
      <c r="L898" s="16" t="s">
        <v>24</v>
      </c>
      <c r="M898" s="16" t="s">
        <v>30</v>
      </c>
      <c r="N898" s="16" t="s">
        <v>69</v>
      </c>
      <c r="O898" s="101"/>
      <c r="P898" s="101"/>
      <c r="Q898" s="102"/>
    </row>
    <row r="899">
      <c r="A899" s="195"/>
      <c r="B899" s="192" t="s">
        <v>18</v>
      </c>
      <c r="C899" s="192" t="s">
        <v>116</v>
      </c>
      <c r="D899" s="191" t="s">
        <v>438</v>
      </c>
      <c r="E899" s="167">
        <v>42847.0</v>
      </c>
      <c r="F899" s="13" t="str">
        <f t="shared" si="82"/>
        <v>Apr-2017</v>
      </c>
      <c r="G899" s="17" t="s">
        <v>25</v>
      </c>
      <c r="H899" s="16" t="s">
        <v>35</v>
      </c>
      <c r="I899" s="48" t="s">
        <v>266</v>
      </c>
      <c r="J899" s="16" t="s">
        <v>27</v>
      </c>
      <c r="K899" s="16" t="s">
        <v>9</v>
      </c>
      <c r="L899" s="16" t="s">
        <v>30</v>
      </c>
      <c r="M899" s="16"/>
      <c r="N899" s="16" t="s">
        <v>98</v>
      </c>
      <c r="O899" s="101"/>
      <c r="P899" s="101"/>
      <c r="Q899" s="102"/>
    </row>
    <row r="900">
      <c r="A900" s="195"/>
      <c r="B900" s="192" t="s">
        <v>18</v>
      </c>
      <c r="C900" s="192" t="s">
        <v>116</v>
      </c>
      <c r="D900" s="191" t="s">
        <v>438</v>
      </c>
      <c r="E900" s="167">
        <v>42847.0</v>
      </c>
      <c r="F900" s="13" t="str">
        <f t="shared" si="82"/>
        <v>Apr-2017</v>
      </c>
      <c r="G900" s="16" t="s">
        <v>32</v>
      </c>
      <c r="H900" s="16" t="s">
        <v>35</v>
      </c>
      <c r="I900" s="48" t="s">
        <v>266</v>
      </c>
      <c r="J900" s="16" t="s">
        <v>27</v>
      </c>
      <c r="K900" s="16" t="s">
        <v>9</v>
      </c>
      <c r="L900" s="16" t="s">
        <v>30</v>
      </c>
      <c r="M900" s="16"/>
      <c r="N900" s="16" t="s">
        <v>106</v>
      </c>
      <c r="O900" s="101"/>
      <c r="P900" s="101"/>
      <c r="Q900" s="102"/>
    </row>
    <row r="901">
      <c r="A901" s="195"/>
      <c r="B901" s="192" t="s">
        <v>18</v>
      </c>
      <c r="C901" s="192" t="s">
        <v>116</v>
      </c>
      <c r="D901" s="191" t="s">
        <v>438</v>
      </c>
      <c r="E901" s="167">
        <v>42847.0</v>
      </c>
      <c r="F901" s="22" t="str">
        <f t="shared" si="82"/>
        <v>Apr-2017</v>
      </c>
      <c r="G901" s="22" t="s">
        <v>20</v>
      </c>
      <c r="H901" s="25" t="s">
        <v>35</v>
      </c>
      <c r="I901" s="80" t="s">
        <v>212</v>
      </c>
      <c r="J901" s="25" t="s">
        <v>71</v>
      </c>
      <c r="K901" s="25" t="s">
        <v>9</v>
      </c>
      <c r="L901" s="25" t="s">
        <v>24</v>
      </c>
      <c r="M901" s="25" t="s">
        <v>24</v>
      </c>
      <c r="N901" s="25" t="s">
        <v>99</v>
      </c>
      <c r="Q901" s="99"/>
    </row>
    <row r="902">
      <c r="A902" s="195"/>
      <c r="B902" s="192" t="s">
        <v>18</v>
      </c>
      <c r="C902" s="192" t="s">
        <v>116</v>
      </c>
      <c r="D902" s="191" t="s">
        <v>438</v>
      </c>
      <c r="E902" s="167">
        <v>42847.0</v>
      </c>
      <c r="F902" s="22" t="str">
        <f t="shared" si="82"/>
        <v>Apr-2017</v>
      </c>
      <c r="G902" s="26" t="s">
        <v>25</v>
      </c>
      <c r="H902" s="25" t="s">
        <v>35</v>
      </c>
      <c r="I902" s="80" t="s">
        <v>212</v>
      </c>
      <c r="J902" s="25" t="s">
        <v>71</v>
      </c>
      <c r="K902" s="25" t="s">
        <v>9</v>
      </c>
      <c r="L902" s="25" t="s">
        <v>24</v>
      </c>
      <c r="M902" s="25"/>
      <c r="N902" s="25" t="s">
        <v>69</v>
      </c>
      <c r="Q902" s="99"/>
    </row>
    <row r="903">
      <c r="A903" s="195"/>
      <c r="B903" s="192" t="s">
        <v>18</v>
      </c>
      <c r="C903" s="192" t="s">
        <v>116</v>
      </c>
      <c r="D903" s="191" t="s">
        <v>438</v>
      </c>
      <c r="E903" s="167">
        <v>42847.0</v>
      </c>
      <c r="F903" s="13" t="str">
        <f t="shared" si="82"/>
        <v>Apr-2017</v>
      </c>
      <c r="G903" s="13" t="s">
        <v>20</v>
      </c>
      <c r="H903" s="16" t="s">
        <v>35</v>
      </c>
      <c r="I903" s="48" t="s">
        <v>442</v>
      </c>
      <c r="J903" s="16" t="s">
        <v>71</v>
      </c>
      <c r="K903" s="16" t="s">
        <v>9</v>
      </c>
      <c r="L903" s="16" t="s">
        <v>24</v>
      </c>
      <c r="M903" s="16" t="s">
        <v>24</v>
      </c>
      <c r="N903" s="16" t="s">
        <v>99</v>
      </c>
      <c r="O903" s="101"/>
      <c r="P903" s="101"/>
      <c r="Q903" s="102"/>
    </row>
    <row r="904">
      <c r="A904" s="196"/>
      <c r="B904" s="192" t="s">
        <v>18</v>
      </c>
      <c r="C904" s="192" t="s">
        <v>116</v>
      </c>
      <c r="D904" s="191" t="s">
        <v>438</v>
      </c>
      <c r="E904" s="169">
        <v>42847.0</v>
      </c>
      <c r="F904" s="35" t="str">
        <f t="shared" si="82"/>
        <v>Apr-2017</v>
      </c>
      <c r="G904" s="93" t="s">
        <v>25</v>
      </c>
      <c r="H904" s="38" t="s">
        <v>35</v>
      </c>
      <c r="I904" s="122" t="s">
        <v>442</v>
      </c>
      <c r="J904" s="38" t="s">
        <v>71</v>
      </c>
      <c r="K904" s="38" t="s">
        <v>9</v>
      </c>
      <c r="L904" s="214" t="s">
        <v>24</v>
      </c>
      <c r="M904" s="38"/>
      <c r="N904" s="38" t="s">
        <v>106</v>
      </c>
      <c r="O904" s="105"/>
      <c r="P904" s="105"/>
      <c r="Q904" s="106"/>
    </row>
    <row r="905">
      <c r="A905" s="107"/>
      <c r="B905" s="95"/>
      <c r="C905" s="95"/>
      <c r="D905" s="95"/>
      <c r="E905" s="95"/>
      <c r="I905" s="23"/>
    </row>
    <row r="906">
      <c r="A906" s="133" t="s">
        <v>443</v>
      </c>
      <c r="B906" s="134" t="s">
        <v>151</v>
      </c>
      <c r="C906" s="134" t="s">
        <v>74</v>
      </c>
      <c r="D906" s="133" t="s">
        <v>443</v>
      </c>
      <c r="E906" s="164">
        <v>42855.0</v>
      </c>
      <c r="F906" s="85" t="str">
        <f t="shared" ref="F906:F923" si="83">TEXT(E906, "mmm") &amp; "-" &amp; TEXT(E906, "yyyy") </f>
        <v>Apr-2017</v>
      </c>
      <c r="G906" s="85" t="s">
        <v>20</v>
      </c>
      <c r="H906" s="73" t="s">
        <v>35</v>
      </c>
      <c r="I906" s="86" t="s">
        <v>444</v>
      </c>
      <c r="J906" s="73" t="s">
        <v>9</v>
      </c>
      <c r="K906" s="73" t="s">
        <v>9</v>
      </c>
      <c r="L906" s="73" t="s">
        <v>30</v>
      </c>
      <c r="M906" s="73" t="s">
        <v>30</v>
      </c>
      <c r="N906" s="73" t="s">
        <v>98</v>
      </c>
      <c r="O906" s="165"/>
      <c r="P906" s="165"/>
      <c r="Q906" s="166"/>
    </row>
    <row r="907">
      <c r="A907" s="134" t="s">
        <v>151</v>
      </c>
      <c r="B907" s="134" t="s">
        <v>151</v>
      </c>
      <c r="C907" s="134" t="s">
        <v>74</v>
      </c>
      <c r="D907" s="133" t="s">
        <v>443</v>
      </c>
      <c r="E907" s="167">
        <v>42855.0</v>
      </c>
      <c r="F907" s="22" t="str">
        <f t="shared" si="83"/>
        <v>Apr-2017</v>
      </c>
      <c r="G907" s="26" t="s">
        <v>25</v>
      </c>
      <c r="H907" s="25" t="s">
        <v>35</v>
      </c>
      <c r="I907" s="80" t="s">
        <v>444</v>
      </c>
      <c r="J907" s="25" t="s">
        <v>9</v>
      </c>
      <c r="K907" s="25" t="s">
        <v>9</v>
      </c>
      <c r="L907" s="25" t="s">
        <v>30</v>
      </c>
      <c r="M907" s="25"/>
      <c r="N907" s="25" t="s">
        <v>106</v>
      </c>
      <c r="Q907" s="99"/>
    </row>
    <row r="908">
      <c r="A908" s="134" t="s">
        <v>368</v>
      </c>
      <c r="B908" s="134" t="s">
        <v>151</v>
      </c>
      <c r="C908" s="134" t="s">
        <v>74</v>
      </c>
      <c r="D908" s="133" t="s">
        <v>443</v>
      </c>
      <c r="E908" s="167">
        <v>42855.0</v>
      </c>
      <c r="F908" s="13" t="str">
        <f t="shared" si="83"/>
        <v>Apr-2017</v>
      </c>
      <c r="G908" s="13" t="s">
        <v>20</v>
      </c>
      <c r="H908" s="16" t="s">
        <v>35</v>
      </c>
      <c r="I908" s="48" t="s">
        <v>111</v>
      </c>
      <c r="J908" s="16" t="s">
        <v>216</v>
      </c>
      <c r="K908" s="16" t="s">
        <v>9</v>
      </c>
      <c r="L908" s="16" t="s">
        <v>30</v>
      </c>
      <c r="M908" s="16" t="s">
        <v>24</v>
      </c>
      <c r="N908" s="16" t="s">
        <v>98</v>
      </c>
      <c r="O908" s="101"/>
      <c r="P908" s="101"/>
      <c r="Q908" s="102"/>
    </row>
    <row r="909">
      <c r="A909" s="189">
        <v>42855.0</v>
      </c>
      <c r="B909" s="134" t="s">
        <v>151</v>
      </c>
      <c r="C909" s="134" t="s">
        <v>74</v>
      </c>
      <c r="D909" s="133" t="s">
        <v>443</v>
      </c>
      <c r="E909" s="167">
        <v>42855.0</v>
      </c>
      <c r="F909" s="13" t="str">
        <f t="shared" si="83"/>
        <v>Apr-2017</v>
      </c>
      <c r="G909" s="17" t="s">
        <v>25</v>
      </c>
      <c r="H909" s="16" t="s">
        <v>35</v>
      </c>
      <c r="I909" s="48" t="s">
        <v>111</v>
      </c>
      <c r="J909" s="16" t="s">
        <v>216</v>
      </c>
      <c r="K909" s="16" t="s">
        <v>9</v>
      </c>
      <c r="L909" s="16" t="s">
        <v>24</v>
      </c>
      <c r="M909" s="16"/>
      <c r="N909" s="16" t="s">
        <v>106</v>
      </c>
      <c r="O909" s="101"/>
      <c r="P909" s="101"/>
      <c r="Q909" s="102"/>
    </row>
    <row r="910">
      <c r="A910" s="134" t="s">
        <v>74</v>
      </c>
      <c r="B910" s="134" t="s">
        <v>151</v>
      </c>
      <c r="C910" s="134" t="s">
        <v>74</v>
      </c>
      <c r="D910" s="133" t="s">
        <v>443</v>
      </c>
      <c r="E910" s="167">
        <v>42855.0</v>
      </c>
      <c r="F910" s="13" t="str">
        <f t="shared" si="83"/>
        <v>Apr-2017</v>
      </c>
      <c r="G910" s="16" t="s">
        <v>32</v>
      </c>
      <c r="H910" s="16" t="s">
        <v>35</v>
      </c>
      <c r="I910" s="48" t="s">
        <v>111</v>
      </c>
      <c r="J910" s="16" t="s">
        <v>216</v>
      </c>
      <c r="K910" s="16" t="s">
        <v>9</v>
      </c>
      <c r="L910" s="16" t="s">
        <v>24</v>
      </c>
      <c r="M910" s="16"/>
      <c r="N910" s="16" t="s">
        <v>99</v>
      </c>
      <c r="O910" s="101"/>
      <c r="P910" s="101"/>
      <c r="Q910" s="102"/>
    </row>
    <row r="911">
      <c r="A911" s="140"/>
      <c r="B911" s="134" t="s">
        <v>151</v>
      </c>
      <c r="C911" s="134" t="s">
        <v>74</v>
      </c>
      <c r="D911" s="133" t="s">
        <v>443</v>
      </c>
      <c r="E911" s="167">
        <v>42855.0</v>
      </c>
      <c r="F911" s="22" t="str">
        <f t="shared" si="83"/>
        <v>Apr-2017</v>
      </c>
      <c r="G911" s="22" t="s">
        <v>20</v>
      </c>
      <c r="H911" s="25" t="s">
        <v>35</v>
      </c>
      <c r="I911" s="80" t="s">
        <v>291</v>
      </c>
      <c r="J911" s="25" t="s">
        <v>44</v>
      </c>
      <c r="K911" s="25" t="s">
        <v>9</v>
      </c>
      <c r="L911" s="25" t="s">
        <v>30</v>
      </c>
      <c r="M911" s="25" t="s">
        <v>30</v>
      </c>
      <c r="N911" s="25" t="s">
        <v>98</v>
      </c>
      <c r="Q911" s="99"/>
    </row>
    <row r="912">
      <c r="A912" s="140"/>
      <c r="B912" s="134" t="s">
        <v>151</v>
      </c>
      <c r="C912" s="134" t="s">
        <v>74</v>
      </c>
      <c r="D912" s="133" t="s">
        <v>443</v>
      </c>
      <c r="E912" s="167">
        <v>42855.0</v>
      </c>
      <c r="F912" s="22" t="str">
        <f t="shared" si="83"/>
        <v>Apr-2017</v>
      </c>
      <c r="G912" s="26" t="s">
        <v>25</v>
      </c>
      <c r="H912" s="25" t="s">
        <v>35</v>
      </c>
      <c r="I912" s="80" t="s">
        <v>291</v>
      </c>
      <c r="J912" s="25" t="s">
        <v>44</v>
      </c>
      <c r="K912" s="25" t="s">
        <v>9</v>
      </c>
      <c r="L912" s="25" t="s">
        <v>30</v>
      </c>
      <c r="M912" s="25"/>
      <c r="N912" s="25" t="s">
        <v>106</v>
      </c>
      <c r="Q912" s="99"/>
    </row>
    <row r="913">
      <c r="A913" s="140"/>
      <c r="B913" s="134" t="s">
        <v>151</v>
      </c>
      <c r="C913" s="134" t="s">
        <v>74</v>
      </c>
      <c r="D913" s="133" t="s">
        <v>443</v>
      </c>
      <c r="E913" s="167">
        <v>42855.0</v>
      </c>
      <c r="F913" s="13" t="str">
        <f t="shared" si="83"/>
        <v>Apr-2017</v>
      </c>
      <c r="G913" s="13" t="s">
        <v>20</v>
      </c>
      <c r="H913" s="16" t="s">
        <v>35</v>
      </c>
      <c r="I913" s="48" t="s">
        <v>445</v>
      </c>
      <c r="J913" s="16" t="s">
        <v>23</v>
      </c>
      <c r="K913" s="16" t="s">
        <v>9</v>
      </c>
      <c r="L913" s="16" t="s">
        <v>30</v>
      </c>
      <c r="M913" s="16" t="s">
        <v>30</v>
      </c>
      <c r="N913" s="16" t="s">
        <v>98</v>
      </c>
      <c r="O913" s="101"/>
      <c r="P913" s="101"/>
      <c r="Q913" s="102"/>
    </row>
    <row r="914">
      <c r="A914" s="140"/>
      <c r="B914" s="134" t="s">
        <v>151</v>
      </c>
      <c r="C914" s="134" t="s">
        <v>74</v>
      </c>
      <c r="D914" s="133" t="s">
        <v>443</v>
      </c>
      <c r="E914" s="167">
        <v>42855.0</v>
      </c>
      <c r="F914" s="13" t="str">
        <f t="shared" si="83"/>
        <v>Apr-2017</v>
      </c>
      <c r="G914" s="17" t="s">
        <v>25</v>
      </c>
      <c r="H914" s="16" t="s">
        <v>35</v>
      </c>
      <c r="I914" s="48" t="s">
        <v>445</v>
      </c>
      <c r="J914" s="16" t="s">
        <v>23</v>
      </c>
      <c r="K914" s="16" t="s">
        <v>9</v>
      </c>
      <c r="L914" s="16" t="s">
        <v>24</v>
      </c>
      <c r="M914" s="16"/>
      <c r="N914" s="16" t="s">
        <v>98</v>
      </c>
      <c r="O914" s="101"/>
      <c r="P914" s="101"/>
      <c r="Q914" s="102"/>
    </row>
    <row r="915">
      <c r="A915" s="140"/>
      <c r="B915" s="134" t="s">
        <v>151</v>
      </c>
      <c r="C915" s="134" t="s">
        <v>74</v>
      </c>
      <c r="D915" s="133" t="s">
        <v>443</v>
      </c>
      <c r="E915" s="167">
        <v>42855.0</v>
      </c>
      <c r="F915" s="13" t="str">
        <f t="shared" si="83"/>
        <v>Apr-2017</v>
      </c>
      <c r="G915" s="16" t="s">
        <v>32</v>
      </c>
      <c r="H915" s="16" t="s">
        <v>35</v>
      </c>
      <c r="I915" s="48" t="s">
        <v>445</v>
      </c>
      <c r="J915" s="16" t="s">
        <v>23</v>
      </c>
      <c r="K915" s="16" t="s">
        <v>9</v>
      </c>
      <c r="L915" s="16" t="s">
        <v>30</v>
      </c>
      <c r="M915" s="16"/>
      <c r="N915" s="16" t="s">
        <v>106</v>
      </c>
      <c r="O915" s="101"/>
      <c r="P915" s="101"/>
      <c r="Q915" s="102"/>
    </row>
    <row r="916">
      <c r="A916" s="140"/>
      <c r="B916" s="134" t="s">
        <v>151</v>
      </c>
      <c r="C916" s="134" t="s">
        <v>74</v>
      </c>
      <c r="D916" s="133" t="s">
        <v>443</v>
      </c>
      <c r="E916" s="167">
        <v>42855.0</v>
      </c>
      <c r="F916" s="22" t="str">
        <f t="shared" si="83"/>
        <v>Apr-2017</v>
      </c>
      <c r="G916" s="22" t="s">
        <v>20</v>
      </c>
      <c r="H916" s="25" t="s">
        <v>35</v>
      </c>
      <c r="I916" s="80" t="s">
        <v>399</v>
      </c>
      <c r="J916" s="25" t="s">
        <v>9</v>
      </c>
      <c r="K916" s="25" t="s">
        <v>9</v>
      </c>
      <c r="L916" s="25" t="s">
        <v>30</v>
      </c>
      <c r="M916" s="25" t="s">
        <v>30</v>
      </c>
      <c r="N916" s="25" t="s">
        <v>69</v>
      </c>
      <c r="Q916" s="99"/>
    </row>
    <row r="917">
      <c r="A917" s="140"/>
      <c r="B917" s="134" t="s">
        <v>151</v>
      </c>
      <c r="C917" s="134" t="s">
        <v>74</v>
      </c>
      <c r="D917" s="133" t="s">
        <v>443</v>
      </c>
      <c r="E917" s="167">
        <v>42855.0</v>
      </c>
      <c r="F917" s="22" t="str">
        <f t="shared" si="83"/>
        <v>Apr-2017</v>
      </c>
      <c r="G917" s="26" t="s">
        <v>25</v>
      </c>
      <c r="H917" s="25" t="s">
        <v>35</v>
      </c>
      <c r="I917" s="80" t="s">
        <v>399</v>
      </c>
      <c r="J917" s="25" t="s">
        <v>9</v>
      </c>
      <c r="K917" s="25" t="s">
        <v>9</v>
      </c>
      <c r="L917" s="25" t="s">
        <v>30</v>
      </c>
      <c r="M917" s="25"/>
      <c r="N917" s="25" t="s">
        <v>99</v>
      </c>
      <c r="Q917" s="99"/>
    </row>
    <row r="918">
      <c r="A918" s="140"/>
      <c r="B918" s="134" t="s">
        <v>151</v>
      </c>
      <c r="C918" s="134" t="s">
        <v>74</v>
      </c>
      <c r="D918" s="133" t="s">
        <v>443</v>
      </c>
      <c r="E918" s="167">
        <v>42855.0</v>
      </c>
      <c r="F918" s="13" t="str">
        <f t="shared" si="83"/>
        <v>Apr-2017</v>
      </c>
      <c r="G918" s="13" t="s">
        <v>20</v>
      </c>
      <c r="H918" s="16" t="s">
        <v>35</v>
      </c>
      <c r="I918" s="48" t="s">
        <v>446</v>
      </c>
      <c r="J918" s="16" t="s">
        <v>86</v>
      </c>
      <c r="K918" s="16" t="s">
        <v>9</v>
      </c>
      <c r="L918" s="16" t="s">
        <v>30</v>
      </c>
      <c r="M918" s="16" t="s">
        <v>30</v>
      </c>
      <c r="N918" s="16" t="s">
        <v>69</v>
      </c>
      <c r="O918" s="101"/>
      <c r="P918" s="101"/>
      <c r="Q918" s="102"/>
    </row>
    <row r="919">
      <c r="A919" s="140"/>
      <c r="B919" s="134" t="s">
        <v>151</v>
      </c>
      <c r="C919" s="134" t="s">
        <v>74</v>
      </c>
      <c r="D919" s="133" t="s">
        <v>443</v>
      </c>
      <c r="E919" s="167">
        <v>42855.0</v>
      </c>
      <c r="F919" s="13" t="str">
        <f t="shared" si="83"/>
        <v>Apr-2017</v>
      </c>
      <c r="G919" s="17" t="s">
        <v>25</v>
      </c>
      <c r="H919" s="16" t="s">
        <v>35</v>
      </c>
      <c r="I919" s="48" t="s">
        <v>446</v>
      </c>
      <c r="J919" s="16" t="s">
        <v>86</v>
      </c>
      <c r="K919" s="16" t="s">
        <v>9</v>
      </c>
      <c r="L919" s="16" t="s">
        <v>24</v>
      </c>
      <c r="M919" s="16"/>
      <c r="N919" s="16" t="s">
        <v>106</v>
      </c>
      <c r="O919" s="101"/>
      <c r="P919" s="101"/>
      <c r="Q919" s="102"/>
    </row>
    <row r="920">
      <c r="A920" s="140"/>
      <c r="B920" s="134" t="s">
        <v>151</v>
      </c>
      <c r="C920" s="134" t="s">
        <v>74</v>
      </c>
      <c r="D920" s="133" t="s">
        <v>443</v>
      </c>
      <c r="E920" s="167">
        <v>42855.0</v>
      </c>
      <c r="F920" s="13" t="str">
        <f t="shared" si="83"/>
        <v>Apr-2017</v>
      </c>
      <c r="G920" s="16" t="s">
        <v>32</v>
      </c>
      <c r="H920" s="16" t="s">
        <v>35</v>
      </c>
      <c r="I920" s="48" t="s">
        <v>446</v>
      </c>
      <c r="J920" s="16" t="s">
        <v>86</v>
      </c>
      <c r="K920" s="16" t="s">
        <v>9</v>
      </c>
      <c r="L920" s="16" t="s">
        <v>30</v>
      </c>
      <c r="M920" s="16"/>
      <c r="N920" s="16" t="s">
        <v>29</v>
      </c>
      <c r="O920" s="101"/>
      <c r="P920" s="101"/>
      <c r="Q920" s="102"/>
    </row>
    <row r="921">
      <c r="A921" s="140"/>
      <c r="B921" s="134" t="s">
        <v>151</v>
      </c>
      <c r="C921" s="134" t="s">
        <v>74</v>
      </c>
      <c r="D921" s="133" t="s">
        <v>443</v>
      </c>
      <c r="E921" s="167">
        <v>42855.0</v>
      </c>
      <c r="F921" s="22" t="str">
        <f t="shared" si="83"/>
        <v>Apr-2017</v>
      </c>
      <c r="G921" s="26" t="s">
        <v>146</v>
      </c>
      <c r="H921" s="25" t="s">
        <v>35</v>
      </c>
      <c r="I921" s="80" t="s">
        <v>111</v>
      </c>
      <c r="J921" s="25" t="s">
        <v>216</v>
      </c>
      <c r="K921" s="25" t="s">
        <v>9</v>
      </c>
      <c r="L921" s="25" t="s">
        <v>24</v>
      </c>
      <c r="M921" s="25" t="s">
        <v>24</v>
      </c>
      <c r="N921" s="25" t="s">
        <v>98</v>
      </c>
      <c r="Q921" s="99"/>
    </row>
    <row r="922">
      <c r="A922" s="140"/>
      <c r="B922" s="134" t="s">
        <v>151</v>
      </c>
      <c r="C922" s="134" t="s">
        <v>74</v>
      </c>
      <c r="D922" s="133" t="s">
        <v>443</v>
      </c>
      <c r="E922" s="167">
        <v>42855.0</v>
      </c>
      <c r="F922" s="22" t="str">
        <f t="shared" si="83"/>
        <v>Apr-2017</v>
      </c>
      <c r="G922" s="26" t="s">
        <v>149</v>
      </c>
      <c r="H922" s="25" t="s">
        <v>35</v>
      </c>
      <c r="I922" s="80" t="s">
        <v>111</v>
      </c>
      <c r="J922" s="25" t="s">
        <v>216</v>
      </c>
      <c r="K922" s="25" t="s">
        <v>9</v>
      </c>
      <c r="L922" s="25" t="s">
        <v>24</v>
      </c>
      <c r="M922" s="25"/>
      <c r="N922" s="25" t="s">
        <v>69</v>
      </c>
      <c r="Q922" s="99"/>
    </row>
    <row r="923">
      <c r="A923" s="141"/>
      <c r="B923" s="134" t="s">
        <v>151</v>
      </c>
      <c r="C923" s="134" t="s">
        <v>74</v>
      </c>
      <c r="D923" s="133" t="s">
        <v>443</v>
      </c>
      <c r="E923" s="169">
        <v>42855.0</v>
      </c>
      <c r="F923" s="52" t="str">
        <f t="shared" si="83"/>
        <v>Apr-2017</v>
      </c>
      <c r="G923" s="55" t="s">
        <v>222</v>
      </c>
      <c r="H923" s="55" t="s">
        <v>35</v>
      </c>
      <c r="I923" s="113" t="s">
        <v>111</v>
      </c>
      <c r="J923" s="55" t="s">
        <v>216</v>
      </c>
      <c r="K923" s="55" t="s">
        <v>9</v>
      </c>
      <c r="L923" s="55" t="s">
        <v>24</v>
      </c>
      <c r="M923" s="55"/>
      <c r="N923" s="55" t="s">
        <v>69</v>
      </c>
      <c r="O923" s="143"/>
      <c r="P923" s="143"/>
      <c r="Q923" s="144"/>
    </row>
    <row r="924">
      <c r="A924" s="107"/>
      <c r="B924" s="95"/>
      <c r="C924" s="95"/>
      <c r="D924" s="95"/>
      <c r="E924" s="95"/>
      <c r="I924" s="23"/>
    </row>
    <row r="925">
      <c r="A925" s="133" t="s">
        <v>447</v>
      </c>
      <c r="B925" s="134" t="s">
        <v>18</v>
      </c>
      <c r="C925" s="134" t="s">
        <v>74</v>
      </c>
      <c r="D925" s="133" t="s">
        <v>447</v>
      </c>
      <c r="E925" s="135">
        <v>42858.0</v>
      </c>
      <c r="F925" s="110" t="str">
        <f t="shared" ref="F925:F944" si="84">TEXT(E925, "mmm") &amp; "-" &amp; TEXT(E925, "yyyy") </f>
        <v>May-2017</v>
      </c>
      <c r="G925" s="110" t="s">
        <v>20</v>
      </c>
      <c r="H925" s="47" t="s">
        <v>35</v>
      </c>
      <c r="I925" s="79" t="s">
        <v>448</v>
      </c>
      <c r="J925" s="47" t="s">
        <v>9</v>
      </c>
      <c r="K925" s="47" t="s">
        <v>9</v>
      </c>
      <c r="L925" s="47" t="s">
        <v>30</v>
      </c>
      <c r="M925" s="47" t="s">
        <v>30</v>
      </c>
      <c r="N925" s="47" t="s">
        <v>98</v>
      </c>
      <c r="O925" s="152"/>
      <c r="P925" s="152"/>
      <c r="Q925" s="153"/>
    </row>
    <row r="926">
      <c r="A926" s="134" t="s">
        <v>18</v>
      </c>
      <c r="B926" s="134" t="s">
        <v>18</v>
      </c>
      <c r="C926" s="134" t="s">
        <v>74</v>
      </c>
      <c r="D926" s="133" t="s">
        <v>447</v>
      </c>
      <c r="E926" s="137">
        <v>42858.0</v>
      </c>
      <c r="F926" s="13" t="str">
        <f t="shared" si="84"/>
        <v>May-2017</v>
      </c>
      <c r="G926" s="17" t="s">
        <v>25</v>
      </c>
      <c r="H926" s="16" t="s">
        <v>35</v>
      </c>
      <c r="I926" s="48" t="s">
        <v>448</v>
      </c>
      <c r="J926" s="16" t="s">
        <v>27</v>
      </c>
      <c r="K926" s="16" t="s">
        <v>9</v>
      </c>
      <c r="L926" s="16" t="s">
        <v>30</v>
      </c>
      <c r="M926" s="16"/>
      <c r="N926" s="16" t="s">
        <v>106</v>
      </c>
      <c r="O926" s="101"/>
      <c r="P926" s="101"/>
      <c r="Q926" s="102"/>
    </row>
    <row r="927">
      <c r="A927" s="134" t="s">
        <v>331</v>
      </c>
      <c r="B927" s="134" t="s">
        <v>18</v>
      </c>
      <c r="C927" s="134" t="s">
        <v>74</v>
      </c>
      <c r="D927" s="133" t="s">
        <v>447</v>
      </c>
      <c r="E927" s="137">
        <v>42858.0</v>
      </c>
      <c r="F927" s="22" t="str">
        <f t="shared" si="84"/>
        <v>May-2017</v>
      </c>
      <c r="G927" s="22" t="s">
        <v>20</v>
      </c>
      <c r="H927" s="25" t="s">
        <v>35</v>
      </c>
      <c r="I927" s="80" t="s">
        <v>449</v>
      </c>
      <c r="J927" s="25" t="s">
        <v>86</v>
      </c>
      <c r="K927" s="25" t="s">
        <v>9</v>
      </c>
      <c r="L927" s="25" t="s">
        <v>30</v>
      </c>
      <c r="M927" s="25" t="s">
        <v>30</v>
      </c>
      <c r="N927" s="25" t="s">
        <v>69</v>
      </c>
      <c r="Q927" s="99"/>
    </row>
    <row r="928">
      <c r="A928" s="189">
        <v>42858.0</v>
      </c>
      <c r="B928" s="134" t="s">
        <v>18</v>
      </c>
      <c r="C928" s="134" t="s">
        <v>74</v>
      </c>
      <c r="D928" s="133" t="s">
        <v>447</v>
      </c>
      <c r="E928" s="137">
        <v>42858.0</v>
      </c>
      <c r="F928" s="22" t="str">
        <f t="shared" si="84"/>
        <v>May-2017</v>
      </c>
      <c r="G928" s="26" t="s">
        <v>25</v>
      </c>
      <c r="H928" s="25" t="s">
        <v>35</v>
      </c>
      <c r="I928" s="80" t="s">
        <v>449</v>
      </c>
      <c r="J928" s="25" t="s">
        <v>86</v>
      </c>
      <c r="K928" s="25" t="s">
        <v>9</v>
      </c>
      <c r="L928" s="25" t="s">
        <v>24</v>
      </c>
      <c r="M928" s="25"/>
      <c r="N928" s="25" t="s">
        <v>98</v>
      </c>
      <c r="Q928" s="99"/>
    </row>
    <row r="929">
      <c r="A929" s="134" t="s">
        <v>74</v>
      </c>
      <c r="B929" s="134" t="s">
        <v>18</v>
      </c>
      <c r="C929" s="134" t="s">
        <v>74</v>
      </c>
      <c r="D929" s="133" t="s">
        <v>447</v>
      </c>
      <c r="E929" s="137">
        <v>42858.0</v>
      </c>
      <c r="F929" s="22" t="str">
        <f t="shared" si="84"/>
        <v>May-2017</v>
      </c>
      <c r="G929" s="25" t="s">
        <v>32</v>
      </c>
      <c r="H929" s="25" t="s">
        <v>35</v>
      </c>
      <c r="I929" s="80" t="s">
        <v>449</v>
      </c>
      <c r="J929" s="25" t="s">
        <v>86</v>
      </c>
      <c r="K929" s="25" t="s">
        <v>9</v>
      </c>
      <c r="L929" s="25" t="s">
        <v>30</v>
      </c>
      <c r="M929" s="25"/>
      <c r="N929" s="25" t="s">
        <v>29</v>
      </c>
      <c r="Q929" s="99"/>
    </row>
    <row r="930">
      <c r="A930" s="140"/>
      <c r="B930" s="134" t="s">
        <v>18</v>
      </c>
      <c r="C930" s="134" t="s">
        <v>74</v>
      </c>
      <c r="D930" s="133" t="s">
        <v>447</v>
      </c>
      <c r="E930" s="137">
        <v>42858.0</v>
      </c>
      <c r="F930" s="13" t="str">
        <f t="shared" si="84"/>
        <v>May-2017</v>
      </c>
      <c r="G930" s="13" t="s">
        <v>20</v>
      </c>
      <c r="H930" s="16" t="s">
        <v>35</v>
      </c>
      <c r="I930" s="48" t="s">
        <v>450</v>
      </c>
      <c r="J930" s="16" t="s">
        <v>9</v>
      </c>
      <c r="K930" s="16" t="s">
        <v>9</v>
      </c>
      <c r="L930" s="16" t="s">
        <v>24</v>
      </c>
      <c r="M930" s="16" t="s">
        <v>24</v>
      </c>
      <c r="N930" s="16" t="s">
        <v>69</v>
      </c>
      <c r="O930" s="101"/>
      <c r="P930" s="101"/>
      <c r="Q930" s="102"/>
    </row>
    <row r="931">
      <c r="A931" s="140"/>
      <c r="B931" s="134" t="s">
        <v>18</v>
      </c>
      <c r="C931" s="134" t="s">
        <v>74</v>
      </c>
      <c r="D931" s="133" t="s">
        <v>447</v>
      </c>
      <c r="E931" s="137">
        <v>42858.0</v>
      </c>
      <c r="F931" s="13" t="str">
        <f t="shared" si="84"/>
        <v>May-2017</v>
      </c>
      <c r="G931" s="17" t="s">
        <v>25</v>
      </c>
      <c r="H931" s="16" t="s">
        <v>35</v>
      </c>
      <c r="I931" s="48" t="s">
        <v>450</v>
      </c>
      <c r="J931" s="16" t="s">
        <v>9</v>
      </c>
      <c r="K931" s="16" t="s">
        <v>9</v>
      </c>
      <c r="L931" s="16" t="s">
        <v>24</v>
      </c>
      <c r="M931" s="16"/>
      <c r="N931" s="16" t="s">
        <v>99</v>
      </c>
      <c r="O931" s="101"/>
      <c r="P931" s="101"/>
      <c r="Q931" s="102"/>
    </row>
    <row r="932">
      <c r="A932" s="140"/>
      <c r="B932" s="134" t="s">
        <v>18</v>
      </c>
      <c r="C932" s="134" t="s">
        <v>74</v>
      </c>
      <c r="D932" s="133" t="s">
        <v>447</v>
      </c>
      <c r="E932" s="137">
        <v>42858.0</v>
      </c>
      <c r="F932" s="22" t="str">
        <f t="shared" si="84"/>
        <v>May-2017</v>
      </c>
      <c r="G932" s="22" t="s">
        <v>20</v>
      </c>
      <c r="H932" s="25" t="s">
        <v>35</v>
      </c>
      <c r="I932" s="80" t="s">
        <v>127</v>
      </c>
      <c r="J932" s="25" t="s">
        <v>44</v>
      </c>
      <c r="K932" s="25" t="s">
        <v>9</v>
      </c>
      <c r="L932" s="25" t="s">
        <v>30</v>
      </c>
      <c r="M932" s="25" t="s">
        <v>30</v>
      </c>
      <c r="N932" s="25" t="s">
        <v>98</v>
      </c>
      <c r="Q932" s="99"/>
    </row>
    <row r="933">
      <c r="A933" s="140"/>
      <c r="B933" s="134" t="s">
        <v>18</v>
      </c>
      <c r="C933" s="134" t="s">
        <v>74</v>
      </c>
      <c r="D933" s="133" t="s">
        <v>447</v>
      </c>
      <c r="E933" s="137">
        <v>42858.0</v>
      </c>
      <c r="F933" s="22" t="str">
        <f t="shared" si="84"/>
        <v>May-2017</v>
      </c>
      <c r="G933" s="26" t="s">
        <v>25</v>
      </c>
      <c r="H933" s="25" t="s">
        <v>35</v>
      </c>
      <c r="I933" s="80" t="s">
        <v>127</v>
      </c>
      <c r="J933" s="25" t="s">
        <v>44</v>
      </c>
      <c r="K933" s="25" t="s">
        <v>9</v>
      </c>
      <c r="L933" s="25" t="s">
        <v>30</v>
      </c>
      <c r="M933" s="25"/>
      <c r="N933" s="25" t="s">
        <v>98</v>
      </c>
      <c r="Q933" s="99"/>
    </row>
    <row r="934">
      <c r="A934" s="140"/>
      <c r="B934" s="134" t="s">
        <v>18</v>
      </c>
      <c r="C934" s="134" t="s">
        <v>74</v>
      </c>
      <c r="D934" s="133" t="s">
        <v>447</v>
      </c>
      <c r="E934" s="137">
        <v>42858.0</v>
      </c>
      <c r="F934" s="13" t="str">
        <f t="shared" si="84"/>
        <v>May-2017</v>
      </c>
      <c r="G934" s="13" t="s">
        <v>20</v>
      </c>
      <c r="H934" s="16" t="s">
        <v>35</v>
      </c>
      <c r="I934" s="48" t="s">
        <v>185</v>
      </c>
      <c r="J934" s="16" t="s">
        <v>138</v>
      </c>
      <c r="K934" s="16" t="s">
        <v>9</v>
      </c>
      <c r="L934" s="16" t="s">
        <v>24</v>
      </c>
      <c r="M934" s="16" t="s">
        <v>24</v>
      </c>
      <c r="N934" s="16" t="s">
        <v>98</v>
      </c>
      <c r="O934" s="101"/>
      <c r="P934" s="101"/>
      <c r="Q934" s="102"/>
    </row>
    <row r="935">
      <c r="A935" s="140"/>
      <c r="B935" s="134" t="s">
        <v>18</v>
      </c>
      <c r="C935" s="134" t="s">
        <v>74</v>
      </c>
      <c r="D935" s="133" t="s">
        <v>447</v>
      </c>
      <c r="E935" s="137">
        <v>42858.0</v>
      </c>
      <c r="F935" s="13" t="str">
        <f t="shared" si="84"/>
        <v>May-2017</v>
      </c>
      <c r="G935" s="17" t="s">
        <v>25</v>
      </c>
      <c r="H935" s="16" t="s">
        <v>35</v>
      </c>
      <c r="I935" s="48" t="s">
        <v>185</v>
      </c>
      <c r="J935" s="16" t="s">
        <v>138</v>
      </c>
      <c r="K935" s="16" t="s">
        <v>9</v>
      </c>
      <c r="L935" s="16" t="s">
        <v>30</v>
      </c>
      <c r="M935" s="16"/>
      <c r="N935" s="16" t="s">
        <v>98</v>
      </c>
      <c r="O935" s="101"/>
      <c r="P935" s="101"/>
      <c r="Q935" s="102"/>
    </row>
    <row r="936">
      <c r="A936" s="140"/>
      <c r="B936" s="134" t="s">
        <v>18</v>
      </c>
      <c r="C936" s="134" t="s">
        <v>74</v>
      </c>
      <c r="D936" s="133" t="s">
        <v>447</v>
      </c>
      <c r="E936" s="137">
        <v>42858.0</v>
      </c>
      <c r="F936" s="13" t="str">
        <f t="shared" si="84"/>
        <v>May-2017</v>
      </c>
      <c r="G936" s="16" t="s">
        <v>32</v>
      </c>
      <c r="H936" s="16" t="s">
        <v>35</v>
      </c>
      <c r="I936" s="48" t="s">
        <v>185</v>
      </c>
      <c r="J936" s="16" t="s">
        <v>138</v>
      </c>
      <c r="K936" s="16" t="s">
        <v>9</v>
      </c>
      <c r="L936" s="16" t="s">
        <v>24</v>
      </c>
      <c r="M936" s="16"/>
      <c r="N936" s="16" t="s">
        <v>37</v>
      </c>
      <c r="O936" s="101"/>
      <c r="P936" s="101"/>
      <c r="Q936" s="102"/>
    </row>
    <row r="937">
      <c r="A937" s="140"/>
      <c r="B937" s="134" t="s">
        <v>18</v>
      </c>
      <c r="C937" s="134" t="s">
        <v>74</v>
      </c>
      <c r="D937" s="133" t="s">
        <v>447</v>
      </c>
      <c r="E937" s="137">
        <v>42858.0</v>
      </c>
      <c r="F937" s="22" t="str">
        <f t="shared" si="84"/>
        <v>May-2017</v>
      </c>
      <c r="G937" s="22" t="s">
        <v>20</v>
      </c>
      <c r="H937" s="25" t="s">
        <v>278</v>
      </c>
      <c r="I937" s="80" t="s">
        <v>451</v>
      </c>
      <c r="J937" s="25" t="s">
        <v>139</v>
      </c>
      <c r="K937" s="25" t="s">
        <v>9</v>
      </c>
      <c r="L937" s="25" t="s">
        <v>24</v>
      </c>
      <c r="M937" s="25" t="s">
        <v>24</v>
      </c>
      <c r="N937" s="25" t="s">
        <v>98</v>
      </c>
      <c r="Q937" s="99"/>
    </row>
    <row r="938">
      <c r="A938" s="140"/>
      <c r="B938" s="134" t="s">
        <v>18</v>
      </c>
      <c r="C938" s="134" t="s">
        <v>74</v>
      </c>
      <c r="D938" s="133" t="s">
        <v>447</v>
      </c>
      <c r="E938" s="137">
        <v>42858.0</v>
      </c>
      <c r="F938" s="22" t="str">
        <f t="shared" si="84"/>
        <v>May-2017</v>
      </c>
      <c r="G938" s="26" t="s">
        <v>25</v>
      </c>
      <c r="H938" s="25" t="s">
        <v>278</v>
      </c>
      <c r="I938" s="80" t="s">
        <v>451</v>
      </c>
      <c r="J938" s="25" t="s">
        <v>139</v>
      </c>
      <c r="K938" s="25" t="s">
        <v>9</v>
      </c>
      <c r="L938" s="25" t="s">
        <v>24</v>
      </c>
      <c r="M938" s="25"/>
      <c r="N938" s="25" t="s">
        <v>106</v>
      </c>
      <c r="Q938" s="99"/>
    </row>
    <row r="939">
      <c r="A939" s="140"/>
      <c r="B939" s="134" t="s">
        <v>18</v>
      </c>
      <c r="C939" s="134" t="s">
        <v>74</v>
      </c>
      <c r="D939" s="133" t="s">
        <v>447</v>
      </c>
      <c r="E939" s="137">
        <v>42858.0</v>
      </c>
      <c r="F939" s="13" t="str">
        <f t="shared" si="84"/>
        <v>May-2017</v>
      </c>
      <c r="G939" s="13" t="s">
        <v>20</v>
      </c>
      <c r="H939" s="16" t="s">
        <v>278</v>
      </c>
      <c r="I939" s="48" t="s">
        <v>270</v>
      </c>
      <c r="J939" s="16" t="s">
        <v>9</v>
      </c>
      <c r="K939" s="16" t="s">
        <v>9</v>
      </c>
      <c r="L939" s="16" t="s">
        <v>30</v>
      </c>
      <c r="M939" s="16" t="s">
        <v>30</v>
      </c>
      <c r="N939" s="16" t="s">
        <v>98</v>
      </c>
      <c r="O939" s="101"/>
      <c r="P939" s="101"/>
      <c r="Q939" s="102"/>
    </row>
    <row r="940">
      <c r="A940" s="140"/>
      <c r="B940" s="134" t="s">
        <v>18</v>
      </c>
      <c r="C940" s="134" t="s">
        <v>74</v>
      </c>
      <c r="D940" s="133" t="s">
        <v>447</v>
      </c>
      <c r="E940" s="137">
        <v>42858.0</v>
      </c>
      <c r="F940" s="13" t="str">
        <f t="shared" si="84"/>
        <v>May-2017</v>
      </c>
      <c r="G940" s="17" t="s">
        <v>25</v>
      </c>
      <c r="H940" s="16" t="s">
        <v>278</v>
      </c>
      <c r="I940" s="48" t="s">
        <v>270</v>
      </c>
      <c r="J940" s="16" t="s">
        <v>9</v>
      </c>
      <c r="K940" s="16" t="s">
        <v>9</v>
      </c>
      <c r="L940" s="16" t="s">
        <v>30</v>
      </c>
      <c r="M940" s="16"/>
      <c r="N940" s="16" t="s">
        <v>98</v>
      </c>
      <c r="O940" s="101"/>
      <c r="P940" s="101"/>
      <c r="Q940" s="102"/>
    </row>
    <row r="941">
      <c r="A941" s="140"/>
      <c r="B941" s="134" t="s">
        <v>18</v>
      </c>
      <c r="C941" s="134" t="s">
        <v>74</v>
      </c>
      <c r="D941" s="133" t="s">
        <v>447</v>
      </c>
      <c r="E941" s="137">
        <v>42858.0</v>
      </c>
      <c r="F941" s="22" t="str">
        <f t="shared" si="84"/>
        <v>May-2017</v>
      </c>
      <c r="G941" s="22" t="s">
        <v>20</v>
      </c>
      <c r="H941" s="25" t="s">
        <v>278</v>
      </c>
      <c r="I941" s="80" t="s">
        <v>452</v>
      </c>
      <c r="J941" s="25" t="s">
        <v>86</v>
      </c>
      <c r="K941" s="25" t="s">
        <v>27</v>
      </c>
      <c r="L941" s="25" t="s">
        <v>30</v>
      </c>
      <c r="M941" s="25" t="s">
        <v>30</v>
      </c>
      <c r="N941" s="25" t="s">
        <v>98</v>
      </c>
      <c r="Q941" s="99"/>
    </row>
    <row r="942">
      <c r="A942" s="140"/>
      <c r="B942" s="134" t="s">
        <v>18</v>
      </c>
      <c r="C942" s="134" t="s">
        <v>74</v>
      </c>
      <c r="D942" s="133" t="s">
        <v>447</v>
      </c>
      <c r="E942" s="137">
        <v>42858.0</v>
      </c>
      <c r="F942" s="22" t="str">
        <f t="shared" si="84"/>
        <v>May-2017</v>
      </c>
      <c r="G942" s="26" t="s">
        <v>25</v>
      </c>
      <c r="H942" s="25" t="s">
        <v>278</v>
      </c>
      <c r="I942" s="80" t="s">
        <v>452</v>
      </c>
      <c r="J942" s="25" t="s">
        <v>86</v>
      </c>
      <c r="K942" s="25" t="s">
        <v>27</v>
      </c>
      <c r="L942" s="25" t="s">
        <v>30</v>
      </c>
      <c r="M942" s="25"/>
      <c r="N942" s="25" t="s">
        <v>98</v>
      </c>
      <c r="Q942" s="99"/>
    </row>
    <row r="943">
      <c r="A943" s="140"/>
      <c r="B943" s="134" t="s">
        <v>18</v>
      </c>
      <c r="C943" s="134" t="s">
        <v>74</v>
      </c>
      <c r="D943" s="133" t="s">
        <v>447</v>
      </c>
      <c r="E943" s="137">
        <v>42858.0</v>
      </c>
      <c r="F943" s="13" t="str">
        <f t="shared" si="84"/>
        <v>May-2017</v>
      </c>
      <c r="G943" s="13" t="s">
        <v>20</v>
      </c>
      <c r="H943" s="16" t="s">
        <v>278</v>
      </c>
      <c r="I943" s="48" t="s">
        <v>453</v>
      </c>
      <c r="J943" s="16" t="s">
        <v>23</v>
      </c>
      <c r="K943" s="16" t="s">
        <v>9</v>
      </c>
      <c r="L943" s="16" t="s">
        <v>24</v>
      </c>
      <c r="M943" s="16" t="s">
        <v>24</v>
      </c>
      <c r="N943" s="16" t="s">
        <v>98</v>
      </c>
      <c r="O943" s="101"/>
      <c r="P943" s="101"/>
      <c r="Q943" s="102"/>
    </row>
    <row r="944">
      <c r="A944" s="141"/>
      <c r="B944" s="134" t="s">
        <v>18</v>
      </c>
      <c r="C944" s="134" t="s">
        <v>74</v>
      </c>
      <c r="D944" s="133" t="s">
        <v>447</v>
      </c>
      <c r="E944" s="142">
        <v>42858.0</v>
      </c>
      <c r="F944" s="35" t="str">
        <f t="shared" si="84"/>
        <v>May-2017</v>
      </c>
      <c r="G944" s="93" t="s">
        <v>25</v>
      </c>
      <c r="H944" s="38" t="s">
        <v>278</v>
      </c>
      <c r="I944" s="122" t="s">
        <v>453</v>
      </c>
      <c r="J944" s="38" t="s">
        <v>23</v>
      </c>
      <c r="K944" s="38" t="s">
        <v>9</v>
      </c>
      <c r="L944" s="38" t="s">
        <v>24</v>
      </c>
      <c r="M944" s="38"/>
      <c r="N944" s="38" t="s">
        <v>69</v>
      </c>
      <c r="O944" s="105"/>
      <c r="P944" s="105"/>
      <c r="Q944" s="106"/>
    </row>
    <row r="945">
      <c r="A945" s="107"/>
      <c r="B945" s="95"/>
      <c r="C945" s="95"/>
      <c r="D945" s="95"/>
      <c r="E945" s="95"/>
      <c r="I945" s="23"/>
    </row>
    <row r="946">
      <c r="A946" s="133" t="s">
        <v>454</v>
      </c>
      <c r="B946" s="134" t="s">
        <v>151</v>
      </c>
      <c r="C946" s="134" t="s">
        <v>74</v>
      </c>
      <c r="D946" s="133" t="s">
        <v>454</v>
      </c>
      <c r="E946" s="189">
        <v>42860.0</v>
      </c>
      <c r="F946" s="85" t="str">
        <f t="shared" ref="F946:F953" si="85">TEXT(E946, "mmm") &amp; "-" &amp; TEXT(E946, "yyyy") </f>
        <v>May-2017</v>
      </c>
      <c r="G946" s="85" t="s">
        <v>20</v>
      </c>
      <c r="H946" s="73" t="s">
        <v>35</v>
      </c>
      <c r="I946" s="86" t="s">
        <v>291</v>
      </c>
      <c r="J946" s="73" t="s">
        <v>44</v>
      </c>
      <c r="K946" s="73" t="s">
        <v>9</v>
      </c>
      <c r="L946" s="73" t="s">
        <v>30</v>
      </c>
      <c r="M946" s="73" t="s">
        <v>30</v>
      </c>
      <c r="N946" s="73" t="s">
        <v>98</v>
      </c>
      <c r="O946" s="165"/>
      <c r="P946" s="165"/>
      <c r="Q946" s="166"/>
    </row>
    <row r="947">
      <c r="A947" s="134" t="s">
        <v>151</v>
      </c>
      <c r="B947" s="134" t="s">
        <v>151</v>
      </c>
      <c r="C947" s="134" t="s">
        <v>74</v>
      </c>
      <c r="D947" s="133" t="s">
        <v>454</v>
      </c>
      <c r="E947" s="189">
        <v>42860.0</v>
      </c>
      <c r="F947" s="22" t="str">
        <f t="shared" si="85"/>
        <v>May-2017</v>
      </c>
      <c r="G947" s="26" t="s">
        <v>25</v>
      </c>
      <c r="H947" s="25" t="s">
        <v>35</v>
      </c>
      <c r="I947" s="80" t="s">
        <v>291</v>
      </c>
      <c r="J947" s="25" t="s">
        <v>44</v>
      </c>
      <c r="K947" s="25" t="s">
        <v>9</v>
      </c>
      <c r="L947" s="25" t="s">
        <v>30</v>
      </c>
      <c r="M947" s="25"/>
      <c r="N947" s="25" t="s">
        <v>99</v>
      </c>
      <c r="Q947" s="99"/>
    </row>
    <row r="948">
      <c r="A948" s="134" t="s">
        <v>368</v>
      </c>
      <c r="B948" s="134" t="s">
        <v>151</v>
      </c>
      <c r="C948" s="134" t="s">
        <v>74</v>
      </c>
      <c r="D948" s="133" t="s">
        <v>454</v>
      </c>
      <c r="E948" s="189">
        <v>42860.0</v>
      </c>
      <c r="F948" s="13" t="str">
        <f t="shared" si="85"/>
        <v>May-2017</v>
      </c>
      <c r="G948" s="13" t="s">
        <v>20</v>
      </c>
      <c r="H948" s="16" t="s">
        <v>35</v>
      </c>
      <c r="I948" s="48" t="s">
        <v>226</v>
      </c>
      <c r="J948" s="16" t="s">
        <v>216</v>
      </c>
      <c r="K948" s="16" t="s">
        <v>9</v>
      </c>
      <c r="L948" s="16" t="s">
        <v>24</v>
      </c>
      <c r="M948" s="16" t="s">
        <v>24</v>
      </c>
      <c r="N948" s="16" t="s">
        <v>98</v>
      </c>
      <c r="O948" s="101"/>
      <c r="P948" s="101"/>
      <c r="Q948" s="102"/>
    </row>
    <row r="949">
      <c r="A949" s="189">
        <v>42860.0</v>
      </c>
      <c r="B949" s="134" t="s">
        <v>151</v>
      </c>
      <c r="C949" s="134" t="s">
        <v>74</v>
      </c>
      <c r="D949" s="133" t="s">
        <v>454</v>
      </c>
      <c r="E949" s="189">
        <v>42860.0</v>
      </c>
      <c r="F949" s="13" t="str">
        <f t="shared" si="85"/>
        <v>May-2017</v>
      </c>
      <c r="G949" s="17" t="s">
        <v>25</v>
      </c>
      <c r="H949" s="16" t="s">
        <v>35</v>
      </c>
      <c r="I949" s="48" t="s">
        <v>226</v>
      </c>
      <c r="J949" s="16" t="s">
        <v>216</v>
      </c>
      <c r="K949" s="16" t="s">
        <v>9</v>
      </c>
      <c r="L949" s="16" t="s">
        <v>24</v>
      </c>
      <c r="M949" s="16"/>
      <c r="N949" s="16" t="s">
        <v>98</v>
      </c>
      <c r="O949" s="101"/>
      <c r="P949" s="101"/>
      <c r="Q949" s="102"/>
    </row>
    <row r="950">
      <c r="A950" s="134" t="s">
        <v>74</v>
      </c>
      <c r="B950" s="134" t="s">
        <v>151</v>
      </c>
      <c r="C950" s="134" t="s">
        <v>74</v>
      </c>
      <c r="D950" s="133" t="s">
        <v>454</v>
      </c>
      <c r="E950" s="189">
        <v>42860.0</v>
      </c>
      <c r="F950" s="22" t="str">
        <f t="shared" si="85"/>
        <v>May-2017</v>
      </c>
      <c r="G950" s="22" t="s">
        <v>20</v>
      </c>
      <c r="H950" s="25" t="s">
        <v>35</v>
      </c>
      <c r="I950" s="80" t="s">
        <v>446</v>
      </c>
      <c r="J950" s="25" t="s">
        <v>86</v>
      </c>
      <c r="K950" s="25" t="s">
        <v>9</v>
      </c>
      <c r="L950" s="25" t="s">
        <v>30</v>
      </c>
      <c r="M950" s="25" t="s">
        <v>30</v>
      </c>
      <c r="N950" s="25" t="s">
        <v>69</v>
      </c>
      <c r="Q950" s="99"/>
    </row>
    <row r="951">
      <c r="A951" s="140"/>
      <c r="B951" s="134" t="s">
        <v>151</v>
      </c>
      <c r="C951" s="134" t="s">
        <v>74</v>
      </c>
      <c r="D951" s="133" t="s">
        <v>454</v>
      </c>
      <c r="E951" s="189">
        <v>42860.0</v>
      </c>
      <c r="F951" s="22" t="str">
        <f t="shared" si="85"/>
        <v>May-2017</v>
      </c>
      <c r="G951" s="26" t="s">
        <v>25</v>
      </c>
      <c r="H951" s="25" t="s">
        <v>35</v>
      </c>
      <c r="I951" s="80" t="s">
        <v>446</v>
      </c>
      <c r="J951" s="25" t="s">
        <v>86</v>
      </c>
      <c r="K951" s="25" t="s">
        <v>9</v>
      </c>
      <c r="L951" s="25" t="s">
        <v>30</v>
      </c>
      <c r="M951" s="25"/>
      <c r="N951" s="25" t="s">
        <v>106</v>
      </c>
      <c r="Q951" s="99"/>
    </row>
    <row r="952">
      <c r="A952" s="140"/>
      <c r="B952" s="134" t="s">
        <v>151</v>
      </c>
      <c r="C952" s="134" t="s">
        <v>74</v>
      </c>
      <c r="D952" s="133" t="s">
        <v>454</v>
      </c>
      <c r="E952" s="189">
        <v>42860.0</v>
      </c>
      <c r="F952" s="13" t="str">
        <f t="shared" si="85"/>
        <v>May-2017</v>
      </c>
      <c r="G952" s="13" t="s">
        <v>20</v>
      </c>
      <c r="H952" s="16" t="s">
        <v>35</v>
      </c>
      <c r="I952" s="48" t="s">
        <v>111</v>
      </c>
      <c r="J952" s="16" t="s">
        <v>216</v>
      </c>
      <c r="K952" s="16" t="s">
        <v>9</v>
      </c>
      <c r="L952" s="16" t="s">
        <v>24</v>
      </c>
      <c r="M952" s="16" t="s">
        <v>24</v>
      </c>
      <c r="N952" s="16" t="s">
        <v>98</v>
      </c>
      <c r="O952" s="101"/>
      <c r="P952" s="101"/>
      <c r="Q952" s="102"/>
    </row>
    <row r="953">
      <c r="A953" s="141"/>
      <c r="B953" s="134" t="s">
        <v>151</v>
      </c>
      <c r="C953" s="134" t="s">
        <v>74</v>
      </c>
      <c r="D953" s="133" t="s">
        <v>454</v>
      </c>
      <c r="E953" s="201">
        <v>42860.0</v>
      </c>
      <c r="F953" s="35" t="str">
        <f t="shared" si="85"/>
        <v>May-2017</v>
      </c>
      <c r="G953" s="93" t="s">
        <v>25</v>
      </c>
      <c r="H953" s="38" t="s">
        <v>35</v>
      </c>
      <c r="I953" s="122" t="s">
        <v>111</v>
      </c>
      <c r="J953" s="38" t="s">
        <v>216</v>
      </c>
      <c r="K953" s="38" t="s">
        <v>9</v>
      </c>
      <c r="L953" s="38" t="s">
        <v>24</v>
      </c>
      <c r="M953" s="38"/>
      <c r="N953" s="38" t="s">
        <v>98</v>
      </c>
      <c r="O953" s="105"/>
      <c r="P953" s="105"/>
      <c r="Q953" s="106"/>
    </row>
    <row r="954">
      <c r="A954" s="107"/>
      <c r="B954" s="95"/>
      <c r="C954" s="95"/>
      <c r="D954" s="95"/>
      <c r="E954" s="95"/>
      <c r="I954" s="23"/>
    </row>
    <row r="955">
      <c r="A955" s="133" t="s">
        <v>455</v>
      </c>
      <c r="B955" s="134" t="s">
        <v>272</v>
      </c>
      <c r="C955" s="134" t="s">
        <v>19</v>
      </c>
      <c r="D955" s="133" t="s">
        <v>455</v>
      </c>
      <c r="E955" s="164">
        <v>42861.0</v>
      </c>
      <c r="F955" s="85" t="str">
        <f t="shared" ref="F955:F974" si="86">TEXT(E955, "mmm") &amp; "-" &amp; TEXT(E955, "yyyy") </f>
        <v>May-2017</v>
      </c>
      <c r="G955" s="73" t="s">
        <v>20</v>
      </c>
      <c r="H955" s="73" t="s">
        <v>35</v>
      </c>
      <c r="I955" s="86" t="s">
        <v>456</v>
      </c>
      <c r="J955" s="73" t="s">
        <v>48</v>
      </c>
      <c r="K955" s="73" t="s">
        <v>9</v>
      </c>
      <c r="L955" s="73" t="s">
        <v>24</v>
      </c>
      <c r="M955" s="73" t="s">
        <v>24</v>
      </c>
      <c r="N955" s="73" t="s">
        <v>98</v>
      </c>
      <c r="O955" s="165"/>
      <c r="P955" s="165"/>
      <c r="Q955" s="193" t="s">
        <v>56</v>
      </c>
    </row>
    <row r="956">
      <c r="A956" s="134" t="s">
        <v>272</v>
      </c>
      <c r="B956" s="134" t="s">
        <v>272</v>
      </c>
      <c r="C956" s="134" t="s">
        <v>19</v>
      </c>
      <c r="D956" s="133" t="s">
        <v>455</v>
      </c>
      <c r="E956" s="167">
        <v>42861.0</v>
      </c>
      <c r="F956" s="22" t="str">
        <f t="shared" si="86"/>
        <v>May-2017</v>
      </c>
      <c r="G956" s="26" t="s">
        <v>25</v>
      </c>
      <c r="H956" s="25" t="s">
        <v>35</v>
      </c>
      <c r="I956" s="80" t="s">
        <v>456</v>
      </c>
      <c r="J956" s="25" t="s">
        <v>48</v>
      </c>
      <c r="K956" s="25" t="s">
        <v>9</v>
      </c>
      <c r="L956" s="25" t="s">
        <v>30</v>
      </c>
      <c r="M956" s="25"/>
      <c r="N956" s="25" t="s">
        <v>106</v>
      </c>
      <c r="Q956" s="184" t="s">
        <v>56</v>
      </c>
    </row>
    <row r="957">
      <c r="A957" s="134" t="s">
        <v>457</v>
      </c>
      <c r="B957" s="134" t="s">
        <v>272</v>
      </c>
      <c r="C957" s="134" t="s">
        <v>19</v>
      </c>
      <c r="D957" s="133" t="s">
        <v>455</v>
      </c>
      <c r="E957" s="167">
        <v>42861.0</v>
      </c>
      <c r="F957" s="22" t="str">
        <f t="shared" si="86"/>
        <v>May-2017</v>
      </c>
      <c r="G957" s="25" t="s">
        <v>32</v>
      </c>
      <c r="H957" s="25" t="s">
        <v>35</v>
      </c>
      <c r="I957" s="80" t="s">
        <v>456</v>
      </c>
      <c r="J957" s="25" t="s">
        <v>48</v>
      </c>
      <c r="K957" s="25" t="s">
        <v>9</v>
      </c>
      <c r="L957" s="25" t="s">
        <v>24</v>
      </c>
      <c r="M957" s="25"/>
      <c r="N957" s="25" t="s">
        <v>29</v>
      </c>
      <c r="Q957" s="184" t="s">
        <v>56</v>
      </c>
    </row>
    <row r="958">
      <c r="A958" s="168">
        <v>42861.0</v>
      </c>
      <c r="B958" s="134" t="s">
        <v>272</v>
      </c>
      <c r="C958" s="134" t="s">
        <v>19</v>
      </c>
      <c r="D958" s="133" t="s">
        <v>455</v>
      </c>
      <c r="E958" s="167">
        <v>42861.0</v>
      </c>
      <c r="F958" s="22" t="str">
        <f t="shared" si="86"/>
        <v>May-2017</v>
      </c>
      <c r="G958" s="16" t="s">
        <v>20</v>
      </c>
      <c r="H958" s="16" t="s">
        <v>35</v>
      </c>
      <c r="I958" s="48" t="s">
        <v>458</v>
      </c>
      <c r="J958" s="16" t="s">
        <v>23</v>
      </c>
      <c r="K958" s="16" t="s">
        <v>9</v>
      </c>
      <c r="L958" s="16" t="s">
        <v>24</v>
      </c>
      <c r="M958" s="16" t="s">
        <v>24</v>
      </c>
      <c r="N958" s="16" t="s">
        <v>37</v>
      </c>
      <c r="O958" s="16">
        <v>4.0</v>
      </c>
      <c r="P958" s="16"/>
      <c r="Q958" s="138" t="s">
        <v>459</v>
      </c>
    </row>
    <row r="959">
      <c r="A959" s="134" t="s">
        <v>19</v>
      </c>
      <c r="B959" s="134" t="s">
        <v>272</v>
      </c>
      <c r="C959" s="134" t="s">
        <v>19</v>
      </c>
      <c r="D959" s="133" t="s">
        <v>455</v>
      </c>
      <c r="E959" s="167">
        <v>42861.0</v>
      </c>
      <c r="F959" s="22" t="str">
        <f t="shared" si="86"/>
        <v>May-2017</v>
      </c>
      <c r="G959" s="17" t="s">
        <v>25</v>
      </c>
      <c r="H959" s="16" t="s">
        <v>35</v>
      </c>
      <c r="I959" s="48" t="s">
        <v>458</v>
      </c>
      <c r="J959" s="16" t="s">
        <v>23</v>
      </c>
      <c r="K959" s="16" t="s">
        <v>9</v>
      </c>
      <c r="L959" s="16" t="s">
        <v>24</v>
      </c>
      <c r="M959" s="16"/>
      <c r="N959" s="16" t="s">
        <v>106</v>
      </c>
      <c r="O959" s="16">
        <v>4.0</v>
      </c>
      <c r="P959" s="16"/>
      <c r="Q959" s="138" t="s">
        <v>459</v>
      </c>
    </row>
    <row r="960">
      <c r="A960" s="140"/>
      <c r="B960" s="134" t="s">
        <v>272</v>
      </c>
      <c r="C960" s="134" t="s">
        <v>19</v>
      </c>
      <c r="D960" s="133" t="s">
        <v>455</v>
      </c>
      <c r="E960" s="167">
        <v>42861.0</v>
      </c>
      <c r="F960" s="22" t="str">
        <f t="shared" si="86"/>
        <v>May-2017</v>
      </c>
      <c r="G960" s="25" t="s">
        <v>20</v>
      </c>
      <c r="H960" s="25" t="s">
        <v>278</v>
      </c>
      <c r="I960" s="80" t="s">
        <v>460</v>
      </c>
      <c r="J960" s="25" t="s">
        <v>27</v>
      </c>
      <c r="K960" s="25" t="s">
        <v>9</v>
      </c>
      <c r="L960" s="25" t="s">
        <v>30</v>
      </c>
      <c r="M960" s="25" t="s">
        <v>30</v>
      </c>
      <c r="N960" s="25" t="s">
        <v>37</v>
      </c>
      <c r="Q960" s="99"/>
    </row>
    <row r="961">
      <c r="A961" s="140"/>
      <c r="B961" s="134" t="s">
        <v>272</v>
      </c>
      <c r="C961" s="134" t="s">
        <v>19</v>
      </c>
      <c r="D961" s="133" t="s">
        <v>455</v>
      </c>
      <c r="E961" s="167">
        <v>42861.0</v>
      </c>
      <c r="F961" s="22" t="str">
        <f t="shared" si="86"/>
        <v>May-2017</v>
      </c>
      <c r="G961" s="26" t="s">
        <v>25</v>
      </c>
      <c r="H961" s="25" t="s">
        <v>278</v>
      </c>
      <c r="I961" s="80" t="s">
        <v>460</v>
      </c>
      <c r="J961" s="25" t="s">
        <v>27</v>
      </c>
      <c r="K961" s="25" t="s">
        <v>9</v>
      </c>
      <c r="L961" s="25" t="s">
        <v>30</v>
      </c>
      <c r="M961" s="25"/>
      <c r="N961" s="25" t="s">
        <v>99</v>
      </c>
      <c r="Q961" s="99"/>
    </row>
    <row r="962">
      <c r="A962" s="140"/>
      <c r="B962" s="134" t="s">
        <v>272</v>
      </c>
      <c r="C962" s="134" t="s">
        <v>19</v>
      </c>
      <c r="D962" s="133" t="s">
        <v>455</v>
      </c>
      <c r="E962" s="167">
        <v>42861.0</v>
      </c>
      <c r="F962" s="22" t="str">
        <f t="shared" si="86"/>
        <v>May-2017</v>
      </c>
      <c r="G962" s="16" t="s">
        <v>20</v>
      </c>
      <c r="H962" s="16" t="s">
        <v>278</v>
      </c>
      <c r="I962" s="48" t="s">
        <v>461</v>
      </c>
      <c r="J962" s="16" t="s">
        <v>44</v>
      </c>
      <c r="K962" s="16" t="s">
        <v>9</v>
      </c>
      <c r="L962" s="16" t="s">
        <v>30</v>
      </c>
      <c r="M962" s="16" t="s">
        <v>30</v>
      </c>
      <c r="N962" s="16" t="s">
        <v>98</v>
      </c>
      <c r="O962" s="101"/>
      <c r="P962" s="101"/>
      <c r="Q962" s="102"/>
    </row>
    <row r="963">
      <c r="A963" s="140"/>
      <c r="B963" s="134" t="s">
        <v>272</v>
      </c>
      <c r="C963" s="134" t="s">
        <v>19</v>
      </c>
      <c r="D963" s="133" t="s">
        <v>455</v>
      </c>
      <c r="E963" s="167">
        <v>42861.0</v>
      </c>
      <c r="F963" s="22" t="str">
        <f t="shared" si="86"/>
        <v>May-2017</v>
      </c>
      <c r="G963" s="17" t="s">
        <v>25</v>
      </c>
      <c r="H963" s="16" t="s">
        <v>278</v>
      </c>
      <c r="I963" s="48" t="s">
        <v>461</v>
      </c>
      <c r="J963" s="16" t="s">
        <v>44</v>
      </c>
      <c r="K963" s="16" t="s">
        <v>9</v>
      </c>
      <c r="L963" s="16" t="s">
        <v>30</v>
      </c>
      <c r="M963" s="16"/>
      <c r="N963" s="16" t="s">
        <v>69</v>
      </c>
      <c r="O963" s="101"/>
      <c r="P963" s="101"/>
      <c r="Q963" s="102"/>
    </row>
    <row r="964">
      <c r="A964" s="140"/>
      <c r="B964" s="134" t="s">
        <v>272</v>
      </c>
      <c r="C964" s="134" t="s">
        <v>19</v>
      </c>
      <c r="D964" s="133" t="s">
        <v>455</v>
      </c>
      <c r="E964" s="167">
        <v>42861.0</v>
      </c>
      <c r="F964" s="22" t="str">
        <f t="shared" si="86"/>
        <v>May-2017</v>
      </c>
      <c r="G964" s="25" t="s">
        <v>20</v>
      </c>
      <c r="H964" s="25" t="s">
        <v>278</v>
      </c>
      <c r="I964" s="80" t="s">
        <v>462</v>
      </c>
      <c r="J964" s="25" t="s">
        <v>48</v>
      </c>
      <c r="K964" s="25" t="s">
        <v>9</v>
      </c>
      <c r="L964" s="25" t="s">
        <v>30</v>
      </c>
      <c r="M964" s="25" t="s">
        <v>30</v>
      </c>
      <c r="N964" s="25" t="s">
        <v>98</v>
      </c>
      <c r="Q964" s="99"/>
    </row>
    <row r="965">
      <c r="A965" s="140"/>
      <c r="B965" s="134" t="s">
        <v>272</v>
      </c>
      <c r="C965" s="134" t="s">
        <v>19</v>
      </c>
      <c r="D965" s="133" t="s">
        <v>455</v>
      </c>
      <c r="E965" s="167">
        <v>42861.0</v>
      </c>
      <c r="F965" s="22" t="str">
        <f t="shared" si="86"/>
        <v>May-2017</v>
      </c>
      <c r="G965" s="26" t="s">
        <v>25</v>
      </c>
      <c r="H965" s="25" t="s">
        <v>278</v>
      </c>
      <c r="I965" s="80" t="s">
        <v>462</v>
      </c>
      <c r="J965" s="25" t="s">
        <v>48</v>
      </c>
      <c r="K965" s="25" t="s">
        <v>9</v>
      </c>
      <c r="L965" s="25" t="s">
        <v>24</v>
      </c>
      <c r="M965" s="25"/>
      <c r="N965" s="25" t="s">
        <v>99</v>
      </c>
      <c r="Q965" s="99"/>
    </row>
    <row r="966">
      <c r="A966" s="140"/>
      <c r="B966" s="134" t="s">
        <v>272</v>
      </c>
      <c r="C966" s="134" t="s">
        <v>19</v>
      </c>
      <c r="D966" s="133" t="s">
        <v>455</v>
      </c>
      <c r="E966" s="167">
        <v>42861.0</v>
      </c>
      <c r="F966" s="22" t="str">
        <f t="shared" si="86"/>
        <v>May-2017</v>
      </c>
      <c r="G966" s="25" t="s">
        <v>32</v>
      </c>
      <c r="H966" s="25" t="s">
        <v>278</v>
      </c>
      <c r="I966" s="80" t="s">
        <v>462</v>
      </c>
      <c r="J966" s="25" t="s">
        <v>48</v>
      </c>
      <c r="K966" s="25" t="s">
        <v>9</v>
      </c>
      <c r="L966" s="25" t="s">
        <v>30</v>
      </c>
      <c r="M966" s="25"/>
      <c r="N966" s="25" t="s">
        <v>106</v>
      </c>
      <c r="Q966" s="99"/>
    </row>
    <row r="967">
      <c r="A967" s="140"/>
      <c r="B967" s="134" t="s">
        <v>272</v>
      </c>
      <c r="C967" s="134" t="s">
        <v>19</v>
      </c>
      <c r="D967" s="133" t="s">
        <v>455</v>
      </c>
      <c r="E967" s="167">
        <v>42861.0</v>
      </c>
      <c r="F967" s="22" t="str">
        <f t="shared" si="86"/>
        <v>May-2017</v>
      </c>
      <c r="G967" s="16" t="s">
        <v>20</v>
      </c>
      <c r="H967" s="16" t="s">
        <v>278</v>
      </c>
      <c r="I967" s="48" t="s">
        <v>463</v>
      </c>
      <c r="J967" s="16" t="s">
        <v>9</v>
      </c>
      <c r="K967" s="16" t="s">
        <v>9</v>
      </c>
      <c r="L967" s="16" t="s">
        <v>30</v>
      </c>
      <c r="M967" s="16" t="s">
        <v>30</v>
      </c>
      <c r="N967" s="16" t="s">
        <v>98</v>
      </c>
      <c r="O967" s="101"/>
      <c r="P967" s="101"/>
      <c r="Q967" s="102"/>
    </row>
    <row r="968">
      <c r="A968" s="140"/>
      <c r="B968" s="134" t="s">
        <v>272</v>
      </c>
      <c r="C968" s="134" t="s">
        <v>19</v>
      </c>
      <c r="D968" s="133" t="s">
        <v>455</v>
      </c>
      <c r="E968" s="167">
        <v>42861.0</v>
      </c>
      <c r="F968" s="22" t="str">
        <f t="shared" si="86"/>
        <v>May-2017</v>
      </c>
      <c r="G968" s="17" t="s">
        <v>25</v>
      </c>
      <c r="H968" s="16" t="s">
        <v>278</v>
      </c>
      <c r="I968" s="48" t="s">
        <v>463</v>
      </c>
      <c r="J968" s="16" t="s">
        <v>9</v>
      </c>
      <c r="K968" s="16" t="s">
        <v>9</v>
      </c>
      <c r="L968" s="16" t="s">
        <v>30</v>
      </c>
      <c r="M968" s="16"/>
      <c r="N968" s="16" t="s">
        <v>29</v>
      </c>
      <c r="O968" s="101"/>
      <c r="P968" s="101"/>
      <c r="Q968" s="102"/>
    </row>
    <row r="969">
      <c r="A969" s="140"/>
      <c r="B969" s="134" t="s">
        <v>272</v>
      </c>
      <c r="C969" s="134" t="s">
        <v>19</v>
      </c>
      <c r="D969" s="133" t="s">
        <v>455</v>
      </c>
      <c r="E969" s="167">
        <v>42861.0</v>
      </c>
      <c r="F969" s="22" t="str">
        <f t="shared" si="86"/>
        <v>May-2017</v>
      </c>
      <c r="G969" s="25" t="s">
        <v>20</v>
      </c>
      <c r="H969" s="25" t="s">
        <v>278</v>
      </c>
      <c r="I969" s="80" t="s">
        <v>464</v>
      </c>
      <c r="J969" s="25" t="s">
        <v>27</v>
      </c>
      <c r="K969" s="25" t="s">
        <v>9</v>
      </c>
      <c r="L969" s="25" t="s">
        <v>30</v>
      </c>
      <c r="M969" s="25" t="s">
        <v>30</v>
      </c>
      <c r="N969" s="25" t="s">
        <v>37</v>
      </c>
      <c r="Q969" s="99"/>
    </row>
    <row r="970">
      <c r="A970" s="140"/>
      <c r="B970" s="134" t="s">
        <v>272</v>
      </c>
      <c r="C970" s="134" t="s">
        <v>19</v>
      </c>
      <c r="D970" s="133" t="s">
        <v>455</v>
      </c>
      <c r="E970" s="167">
        <v>42861.0</v>
      </c>
      <c r="F970" s="22" t="str">
        <f t="shared" si="86"/>
        <v>May-2017</v>
      </c>
      <c r="G970" s="26" t="s">
        <v>25</v>
      </c>
      <c r="H970" s="25" t="s">
        <v>278</v>
      </c>
      <c r="I970" s="80" t="s">
        <v>464</v>
      </c>
      <c r="J970" s="25" t="s">
        <v>27</v>
      </c>
      <c r="K970" s="25" t="s">
        <v>9</v>
      </c>
      <c r="L970" s="25" t="s">
        <v>30</v>
      </c>
      <c r="M970" s="25"/>
      <c r="N970" s="25" t="s">
        <v>99</v>
      </c>
      <c r="Q970" s="99"/>
    </row>
    <row r="971">
      <c r="A971" s="140"/>
      <c r="B971" s="134" t="s">
        <v>272</v>
      </c>
      <c r="C971" s="134" t="s">
        <v>19</v>
      </c>
      <c r="D971" s="133" t="s">
        <v>455</v>
      </c>
      <c r="E971" s="167">
        <v>42861.0</v>
      </c>
      <c r="F971" s="22" t="str">
        <f t="shared" si="86"/>
        <v>May-2017</v>
      </c>
      <c r="G971" s="16" t="s">
        <v>146</v>
      </c>
      <c r="H971" s="16" t="s">
        <v>278</v>
      </c>
      <c r="I971" s="48" t="s">
        <v>465</v>
      </c>
      <c r="J971" s="16" t="s">
        <v>139</v>
      </c>
      <c r="K971" s="16" t="s">
        <v>9</v>
      </c>
      <c r="L971" s="16" t="s">
        <v>24</v>
      </c>
      <c r="M971" s="16" t="s">
        <v>24</v>
      </c>
      <c r="N971" s="16" t="s">
        <v>98</v>
      </c>
      <c r="O971" s="101"/>
      <c r="P971" s="101"/>
      <c r="Q971" s="138" t="s">
        <v>466</v>
      </c>
    </row>
    <row r="972">
      <c r="A972" s="140"/>
      <c r="B972" s="134" t="s">
        <v>272</v>
      </c>
      <c r="C972" s="134" t="s">
        <v>19</v>
      </c>
      <c r="D972" s="133" t="s">
        <v>455</v>
      </c>
      <c r="E972" s="167">
        <v>42861.0</v>
      </c>
      <c r="F972" s="22" t="str">
        <f t="shared" si="86"/>
        <v>May-2017</v>
      </c>
      <c r="G972" s="16" t="s">
        <v>149</v>
      </c>
      <c r="H972" s="16" t="s">
        <v>278</v>
      </c>
      <c r="I972" s="48" t="s">
        <v>465</v>
      </c>
      <c r="J972" s="16" t="s">
        <v>139</v>
      </c>
      <c r="K972" s="16" t="s">
        <v>9</v>
      </c>
      <c r="L972" s="16" t="s">
        <v>24</v>
      </c>
      <c r="M972" s="16"/>
      <c r="N972" s="16" t="s">
        <v>106</v>
      </c>
      <c r="O972" s="101"/>
      <c r="P972" s="101"/>
      <c r="Q972" s="138" t="s">
        <v>466</v>
      </c>
    </row>
    <row r="973">
      <c r="A973" s="140"/>
      <c r="B973" s="134" t="s">
        <v>272</v>
      </c>
      <c r="C973" s="134" t="s">
        <v>19</v>
      </c>
      <c r="D973" s="133" t="s">
        <v>455</v>
      </c>
      <c r="E973" s="167">
        <v>42861.0</v>
      </c>
      <c r="F973" s="22" t="str">
        <f t="shared" si="86"/>
        <v>May-2017</v>
      </c>
      <c r="G973" s="16" t="s">
        <v>222</v>
      </c>
      <c r="H973" s="16" t="s">
        <v>278</v>
      </c>
      <c r="I973" s="48" t="s">
        <v>465</v>
      </c>
      <c r="J973" s="16" t="s">
        <v>139</v>
      </c>
      <c r="K973" s="16" t="s">
        <v>27</v>
      </c>
      <c r="L973" s="16" t="s">
        <v>30</v>
      </c>
      <c r="M973" s="16"/>
      <c r="N973" s="16" t="s">
        <v>106</v>
      </c>
      <c r="O973" s="101"/>
      <c r="P973" s="101"/>
      <c r="Q973" s="138" t="s">
        <v>466</v>
      </c>
    </row>
    <row r="974">
      <c r="A974" s="141"/>
      <c r="B974" s="134" t="s">
        <v>272</v>
      </c>
      <c r="C974" s="134" t="s">
        <v>19</v>
      </c>
      <c r="D974" s="133" t="s">
        <v>455</v>
      </c>
      <c r="E974" s="169">
        <v>42861.0</v>
      </c>
      <c r="F974" s="52" t="str">
        <f t="shared" si="86"/>
        <v>May-2017</v>
      </c>
      <c r="G974" s="38" t="s">
        <v>467</v>
      </c>
      <c r="H974" s="38" t="s">
        <v>278</v>
      </c>
      <c r="I974" s="122" t="s">
        <v>465</v>
      </c>
      <c r="J974" s="38" t="s">
        <v>139</v>
      </c>
      <c r="K974" s="38" t="s">
        <v>27</v>
      </c>
      <c r="L974" s="38" t="s">
        <v>24</v>
      </c>
      <c r="M974" s="38"/>
      <c r="N974" s="38" t="s">
        <v>29</v>
      </c>
      <c r="O974" s="105"/>
      <c r="P974" s="105"/>
      <c r="Q974" s="177" t="s">
        <v>466</v>
      </c>
    </row>
    <row r="975">
      <c r="A975" s="107"/>
      <c r="B975" s="95"/>
      <c r="C975" s="95"/>
      <c r="D975" s="95"/>
      <c r="E975" s="95"/>
      <c r="I975" s="23"/>
    </row>
    <row r="976">
      <c r="A976" s="133" t="s">
        <v>468</v>
      </c>
      <c r="B976" s="134" t="s">
        <v>18</v>
      </c>
      <c r="C976" s="134" t="s">
        <v>427</v>
      </c>
      <c r="D976" s="133" t="s">
        <v>468</v>
      </c>
      <c r="E976" s="164">
        <v>42863.0</v>
      </c>
      <c r="F976" s="85" t="str">
        <f t="shared" ref="F976:F987" si="87">TEXT(E976, "mmm") &amp; "-" &amp; TEXT(E976, "yyyy") </f>
        <v>May-2017</v>
      </c>
      <c r="G976" s="73" t="s">
        <v>20</v>
      </c>
      <c r="H976" s="73" t="s">
        <v>35</v>
      </c>
      <c r="I976" s="86" t="s">
        <v>469</v>
      </c>
      <c r="J976" s="73" t="s">
        <v>44</v>
      </c>
      <c r="K976" s="73" t="s">
        <v>9</v>
      </c>
      <c r="L976" s="73" t="s">
        <v>30</v>
      </c>
      <c r="M976" s="73" t="s">
        <v>30</v>
      </c>
      <c r="N976" s="73" t="s">
        <v>98</v>
      </c>
      <c r="O976" s="165"/>
      <c r="P976" s="165"/>
      <c r="Q976" s="166"/>
    </row>
    <row r="977">
      <c r="A977" s="134" t="s">
        <v>18</v>
      </c>
      <c r="B977" s="134" t="s">
        <v>18</v>
      </c>
      <c r="C977" s="134" t="s">
        <v>427</v>
      </c>
      <c r="D977" s="133" t="s">
        <v>468</v>
      </c>
      <c r="E977" s="167">
        <v>42863.0</v>
      </c>
      <c r="F977" s="22" t="str">
        <f t="shared" si="87"/>
        <v>May-2017</v>
      </c>
      <c r="G977" s="26" t="s">
        <v>25</v>
      </c>
      <c r="H977" s="25" t="s">
        <v>35</v>
      </c>
      <c r="I977" s="80" t="s">
        <v>469</v>
      </c>
      <c r="J977" s="25" t="s">
        <v>44</v>
      </c>
      <c r="K977" s="25" t="s">
        <v>9</v>
      </c>
      <c r="L977" s="25" t="s">
        <v>30</v>
      </c>
      <c r="M977" s="25"/>
      <c r="N977" s="25" t="s">
        <v>69</v>
      </c>
      <c r="Q977" s="99"/>
    </row>
    <row r="978">
      <c r="A978" s="134" t="s">
        <v>428</v>
      </c>
      <c r="B978" s="134" t="s">
        <v>18</v>
      </c>
      <c r="C978" s="134" t="s">
        <v>427</v>
      </c>
      <c r="D978" s="133" t="s">
        <v>468</v>
      </c>
      <c r="E978" s="215">
        <v>42863.0</v>
      </c>
      <c r="F978" s="13" t="str">
        <f t="shared" si="87"/>
        <v>May-2017</v>
      </c>
      <c r="G978" s="16" t="s">
        <v>20</v>
      </c>
      <c r="H978" s="16" t="s">
        <v>35</v>
      </c>
      <c r="I978" s="48" t="s">
        <v>470</v>
      </c>
      <c r="J978" s="16" t="s">
        <v>44</v>
      </c>
      <c r="K978" s="16" t="s">
        <v>9</v>
      </c>
      <c r="L978" s="16" t="s">
        <v>24</v>
      </c>
      <c r="M978" s="16" t="s">
        <v>24</v>
      </c>
      <c r="N978" s="16" t="s">
        <v>69</v>
      </c>
      <c r="O978" s="101"/>
      <c r="P978" s="101"/>
      <c r="Q978" s="102"/>
    </row>
    <row r="979">
      <c r="A979" s="168">
        <v>42863.0</v>
      </c>
      <c r="B979" s="134" t="s">
        <v>18</v>
      </c>
      <c r="C979" s="134" t="s">
        <v>427</v>
      </c>
      <c r="D979" s="133" t="s">
        <v>468</v>
      </c>
      <c r="E979" s="215">
        <v>42863.0</v>
      </c>
      <c r="F979" s="13" t="str">
        <f t="shared" si="87"/>
        <v>May-2017</v>
      </c>
      <c r="G979" s="17" t="s">
        <v>25</v>
      </c>
      <c r="H979" s="16" t="s">
        <v>35</v>
      </c>
      <c r="I979" s="48" t="s">
        <v>470</v>
      </c>
      <c r="J979" s="16" t="s">
        <v>44</v>
      </c>
      <c r="K979" s="16" t="s">
        <v>9</v>
      </c>
      <c r="L979" s="16" t="s">
        <v>30</v>
      </c>
      <c r="M979" s="16"/>
      <c r="N979" s="16" t="s">
        <v>98</v>
      </c>
      <c r="O979" s="101"/>
      <c r="P979" s="101"/>
      <c r="Q979" s="102"/>
    </row>
    <row r="980">
      <c r="A980" s="134" t="s">
        <v>427</v>
      </c>
      <c r="B980" s="134" t="s">
        <v>18</v>
      </c>
      <c r="C980" s="134" t="s">
        <v>427</v>
      </c>
      <c r="D980" s="133" t="s">
        <v>468</v>
      </c>
      <c r="E980" s="215">
        <v>42863.0</v>
      </c>
      <c r="F980" s="13" t="str">
        <f t="shared" si="87"/>
        <v>May-2017</v>
      </c>
      <c r="G980" s="16" t="s">
        <v>32</v>
      </c>
      <c r="H980" s="16" t="s">
        <v>35</v>
      </c>
      <c r="I980" s="48" t="s">
        <v>470</v>
      </c>
      <c r="J980" s="16" t="s">
        <v>44</v>
      </c>
      <c r="K980" s="16" t="s">
        <v>9</v>
      </c>
      <c r="L980" s="16" t="s">
        <v>24</v>
      </c>
      <c r="M980" s="16"/>
      <c r="N980" s="16" t="s">
        <v>99</v>
      </c>
      <c r="O980" s="101"/>
      <c r="P980" s="101"/>
      <c r="Q980" s="102"/>
    </row>
    <row r="981">
      <c r="A981" s="140"/>
      <c r="B981" s="134" t="s">
        <v>18</v>
      </c>
      <c r="C981" s="134" t="s">
        <v>427</v>
      </c>
      <c r="D981" s="133" t="s">
        <v>468</v>
      </c>
      <c r="E981" s="167">
        <v>42863.0</v>
      </c>
      <c r="F981" s="22" t="str">
        <f t="shared" si="87"/>
        <v>May-2017</v>
      </c>
      <c r="G981" s="25" t="s">
        <v>20</v>
      </c>
      <c r="H981" s="25" t="s">
        <v>35</v>
      </c>
      <c r="I981" s="80" t="s">
        <v>471</v>
      </c>
      <c r="J981" s="25" t="s">
        <v>48</v>
      </c>
      <c r="K981" s="25" t="s">
        <v>9</v>
      </c>
      <c r="L981" s="25" t="s">
        <v>30</v>
      </c>
      <c r="M981" s="25" t="s">
        <v>30</v>
      </c>
      <c r="N981" s="25" t="s">
        <v>29</v>
      </c>
      <c r="Q981" s="99"/>
    </row>
    <row r="982">
      <c r="A982" s="140"/>
      <c r="B982" s="134" t="s">
        <v>18</v>
      </c>
      <c r="C982" s="134" t="s">
        <v>427</v>
      </c>
      <c r="D982" s="133" t="s">
        <v>468</v>
      </c>
      <c r="E982" s="167">
        <v>42863.0</v>
      </c>
      <c r="F982" s="22" t="str">
        <f t="shared" si="87"/>
        <v>May-2017</v>
      </c>
      <c r="G982" s="26" t="s">
        <v>25</v>
      </c>
      <c r="H982" s="25" t="s">
        <v>35</v>
      </c>
      <c r="I982" s="80" t="s">
        <v>471</v>
      </c>
      <c r="J982" s="25" t="s">
        <v>48</v>
      </c>
      <c r="K982" s="25" t="s">
        <v>9</v>
      </c>
      <c r="L982" s="25" t="s">
        <v>30</v>
      </c>
      <c r="M982" s="25"/>
      <c r="N982" s="25" t="s">
        <v>106</v>
      </c>
      <c r="Q982" s="99"/>
    </row>
    <row r="983">
      <c r="A983" s="140"/>
      <c r="B983" s="134" t="s">
        <v>18</v>
      </c>
      <c r="C983" s="134" t="s">
        <v>427</v>
      </c>
      <c r="D983" s="133" t="s">
        <v>468</v>
      </c>
      <c r="E983" s="215">
        <v>42863.0</v>
      </c>
      <c r="F983" s="13" t="str">
        <f t="shared" si="87"/>
        <v>May-2017</v>
      </c>
      <c r="G983" s="16" t="s">
        <v>20</v>
      </c>
      <c r="H983" s="16" t="s">
        <v>35</v>
      </c>
      <c r="I983" s="48" t="s">
        <v>472</v>
      </c>
      <c r="J983" s="16" t="s">
        <v>71</v>
      </c>
      <c r="K983" s="16" t="s">
        <v>9</v>
      </c>
      <c r="L983" s="16" t="s">
        <v>30</v>
      </c>
      <c r="M983" s="16" t="s">
        <v>30</v>
      </c>
      <c r="N983" s="16" t="s">
        <v>99</v>
      </c>
      <c r="O983" s="101"/>
      <c r="P983" s="101"/>
      <c r="Q983" s="102"/>
    </row>
    <row r="984">
      <c r="A984" s="140"/>
      <c r="B984" s="134" t="s">
        <v>18</v>
      </c>
      <c r="C984" s="134" t="s">
        <v>427</v>
      </c>
      <c r="D984" s="133" t="s">
        <v>468</v>
      </c>
      <c r="E984" s="215">
        <v>42863.0</v>
      </c>
      <c r="F984" s="13" t="str">
        <f t="shared" si="87"/>
        <v>May-2017</v>
      </c>
      <c r="G984" s="17" t="s">
        <v>25</v>
      </c>
      <c r="H984" s="16" t="s">
        <v>35</v>
      </c>
      <c r="I984" s="48" t="s">
        <v>472</v>
      </c>
      <c r="J984" s="16" t="s">
        <v>71</v>
      </c>
      <c r="K984" s="16" t="s">
        <v>9</v>
      </c>
      <c r="L984" s="16" t="s">
        <v>30</v>
      </c>
      <c r="M984" s="16"/>
      <c r="N984" s="16" t="s">
        <v>99</v>
      </c>
      <c r="O984" s="101"/>
      <c r="P984" s="101"/>
      <c r="Q984" s="102"/>
    </row>
    <row r="985">
      <c r="A985" s="140"/>
      <c r="B985" s="134" t="s">
        <v>18</v>
      </c>
      <c r="C985" s="134" t="s">
        <v>427</v>
      </c>
      <c r="D985" s="133" t="s">
        <v>468</v>
      </c>
      <c r="E985" s="167">
        <v>42863.0</v>
      </c>
      <c r="F985" s="22" t="str">
        <f t="shared" si="87"/>
        <v>May-2017</v>
      </c>
      <c r="G985" s="25" t="s">
        <v>20</v>
      </c>
      <c r="H985" s="25" t="s">
        <v>35</v>
      </c>
      <c r="I985" s="80" t="s">
        <v>190</v>
      </c>
      <c r="J985" s="25" t="s">
        <v>9</v>
      </c>
      <c r="K985" s="25" t="s">
        <v>9</v>
      </c>
      <c r="L985" s="25" t="s">
        <v>24</v>
      </c>
      <c r="M985" s="25" t="s">
        <v>24</v>
      </c>
      <c r="N985" s="25" t="s">
        <v>98</v>
      </c>
      <c r="Q985" s="99"/>
    </row>
    <row r="986">
      <c r="A986" s="140"/>
      <c r="B986" s="134" t="s">
        <v>18</v>
      </c>
      <c r="C986" s="134" t="s">
        <v>427</v>
      </c>
      <c r="D986" s="133" t="s">
        <v>468</v>
      </c>
      <c r="E986" s="167">
        <v>42863.0</v>
      </c>
      <c r="F986" s="22" t="str">
        <f t="shared" si="87"/>
        <v>May-2017</v>
      </c>
      <c r="G986" s="26" t="s">
        <v>25</v>
      </c>
      <c r="H986" s="25" t="s">
        <v>35</v>
      </c>
      <c r="I986" s="80" t="s">
        <v>190</v>
      </c>
      <c r="J986" s="25" t="s">
        <v>9</v>
      </c>
      <c r="K986" s="25" t="s">
        <v>9</v>
      </c>
      <c r="L986" s="25" t="s">
        <v>30</v>
      </c>
      <c r="M986" s="25"/>
      <c r="N986" s="25" t="s">
        <v>69</v>
      </c>
      <c r="Q986" s="99"/>
    </row>
    <row r="987">
      <c r="A987" s="141"/>
      <c r="B987" s="134" t="s">
        <v>18</v>
      </c>
      <c r="C987" s="134" t="s">
        <v>427</v>
      </c>
      <c r="D987" s="133" t="s">
        <v>468</v>
      </c>
      <c r="E987" s="169">
        <v>42863.0</v>
      </c>
      <c r="F987" s="52" t="str">
        <f t="shared" si="87"/>
        <v>May-2017</v>
      </c>
      <c r="G987" s="55" t="s">
        <v>32</v>
      </c>
      <c r="H987" s="55" t="s">
        <v>35</v>
      </c>
      <c r="I987" s="113" t="s">
        <v>190</v>
      </c>
      <c r="J987" s="55" t="s">
        <v>9</v>
      </c>
      <c r="K987" s="55" t="s">
        <v>9</v>
      </c>
      <c r="L987" s="55" t="s">
        <v>24</v>
      </c>
      <c r="M987" s="55"/>
      <c r="N987" s="55" t="s">
        <v>37</v>
      </c>
      <c r="O987" s="143"/>
      <c r="P987" s="143"/>
      <c r="Q987" s="144"/>
    </row>
    <row r="988">
      <c r="A988" s="107"/>
      <c r="B988" s="95"/>
      <c r="C988" s="95"/>
      <c r="D988" s="95"/>
      <c r="E988" s="95"/>
      <c r="I988" s="23"/>
    </row>
    <row r="989">
      <c r="A989" s="133" t="s">
        <v>473</v>
      </c>
      <c r="B989" s="134" t="s">
        <v>18</v>
      </c>
      <c r="C989" s="134" t="s">
        <v>74</v>
      </c>
      <c r="D989" s="133" t="s">
        <v>473</v>
      </c>
      <c r="E989" s="216">
        <v>42865.0</v>
      </c>
      <c r="F989" s="110" t="str">
        <f t="shared" ref="F989:F1000" si="88">TEXT(E989, "mmm") &amp; "-" &amp; TEXT(E989, "yyyy") </f>
        <v>May-2017</v>
      </c>
      <c r="G989" s="47" t="s">
        <v>20</v>
      </c>
      <c r="H989" s="47" t="s">
        <v>35</v>
      </c>
      <c r="I989" s="79" t="s">
        <v>135</v>
      </c>
      <c r="J989" s="47" t="s">
        <v>86</v>
      </c>
      <c r="K989" s="47" t="s">
        <v>9</v>
      </c>
      <c r="L989" s="47" t="s">
        <v>24</v>
      </c>
      <c r="M989" s="47" t="s">
        <v>24</v>
      </c>
      <c r="N989" s="47" t="s">
        <v>69</v>
      </c>
      <c r="O989" s="152"/>
      <c r="P989" s="152"/>
      <c r="Q989" s="153"/>
    </row>
    <row r="990">
      <c r="A990" s="134" t="s">
        <v>18</v>
      </c>
      <c r="B990" s="134" t="s">
        <v>18</v>
      </c>
      <c r="C990" s="134" t="s">
        <v>74</v>
      </c>
      <c r="D990" s="133" t="s">
        <v>473</v>
      </c>
      <c r="E990" s="215">
        <v>42865.0</v>
      </c>
      <c r="F990" s="13" t="str">
        <f t="shared" si="88"/>
        <v>May-2017</v>
      </c>
      <c r="G990" s="17" t="s">
        <v>25</v>
      </c>
      <c r="H990" s="16" t="s">
        <v>35</v>
      </c>
      <c r="I990" s="48" t="s">
        <v>135</v>
      </c>
      <c r="J990" s="16" t="s">
        <v>86</v>
      </c>
      <c r="K990" s="16" t="s">
        <v>9</v>
      </c>
      <c r="L990" s="16" t="s">
        <v>30</v>
      </c>
      <c r="M990" s="16"/>
      <c r="N990" s="16" t="s">
        <v>99</v>
      </c>
      <c r="O990" s="101"/>
      <c r="P990" s="101"/>
      <c r="Q990" s="102"/>
    </row>
    <row r="991">
      <c r="A991" s="134" t="s">
        <v>331</v>
      </c>
      <c r="B991" s="134" t="s">
        <v>18</v>
      </c>
      <c r="C991" s="134" t="s">
        <v>74</v>
      </c>
      <c r="D991" s="133" t="s">
        <v>473</v>
      </c>
      <c r="E991" s="215">
        <v>42865.0</v>
      </c>
      <c r="F991" s="13" t="str">
        <f t="shared" si="88"/>
        <v>May-2017</v>
      </c>
      <c r="G991" s="16" t="s">
        <v>32</v>
      </c>
      <c r="H991" s="16" t="s">
        <v>35</v>
      </c>
      <c r="I991" s="48" t="s">
        <v>135</v>
      </c>
      <c r="J991" s="16" t="s">
        <v>86</v>
      </c>
      <c r="K991" s="16" t="s">
        <v>9</v>
      </c>
      <c r="L991" s="16" t="s">
        <v>24</v>
      </c>
      <c r="M991" s="16"/>
      <c r="N991" s="16" t="s">
        <v>98</v>
      </c>
      <c r="O991" s="101"/>
      <c r="P991" s="101"/>
      <c r="Q991" s="102"/>
    </row>
    <row r="992">
      <c r="A992" s="168">
        <v>42865.0</v>
      </c>
      <c r="B992" s="134" t="s">
        <v>18</v>
      </c>
      <c r="C992" s="134" t="s">
        <v>74</v>
      </c>
      <c r="D992" s="133" t="s">
        <v>473</v>
      </c>
      <c r="E992" s="167">
        <v>42865.0</v>
      </c>
      <c r="F992" s="22" t="str">
        <f t="shared" si="88"/>
        <v>May-2017</v>
      </c>
      <c r="G992" s="25" t="s">
        <v>20</v>
      </c>
      <c r="H992" s="25" t="s">
        <v>35</v>
      </c>
      <c r="I992" s="80" t="s">
        <v>474</v>
      </c>
      <c r="J992" s="25" t="s">
        <v>27</v>
      </c>
      <c r="K992" s="25" t="s">
        <v>9</v>
      </c>
      <c r="L992" s="25" t="s">
        <v>30</v>
      </c>
      <c r="M992" s="25" t="s">
        <v>30</v>
      </c>
      <c r="N992" s="25" t="s">
        <v>69</v>
      </c>
      <c r="Q992" s="99"/>
    </row>
    <row r="993">
      <c r="A993" s="134" t="s">
        <v>74</v>
      </c>
      <c r="B993" s="134" t="s">
        <v>18</v>
      </c>
      <c r="C993" s="134" t="s">
        <v>74</v>
      </c>
      <c r="D993" s="133" t="s">
        <v>473</v>
      </c>
      <c r="E993" s="167">
        <v>42865.0</v>
      </c>
      <c r="F993" s="22" t="str">
        <f t="shared" si="88"/>
        <v>May-2017</v>
      </c>
      <c r="G993" s="26" t="s">
        <v>25</v>
      </c>
      <c r="H993" s="25" t="s">
        <v>35</v>
      </c>
      <c r="I993" s="80" t="s">
        <v>474</v>
      </c>
      <c r="J993" s="25" t="s">
        <v>27</v>
      </c>
      <c r="K993" s="25" t="s">
        <v>9</v>
      </c>
      <c r="L993" s="25" t="s">
        <v>30</v>
      </c>
      <c r="M993" s="25"/>
      <c r="N993" s="25" t="s">
        <v>99</v>
      </c>
      <c r="Q993" s="99"/>
    </row>
    <row r="994">
      <c r="A994" s="140"/>
      <c r="B994" s="134" t="s">
        <v>18</v>
      </c>
      <c r="C994" s="134" t="s">
        <v>74</v>
      </c>
      <c r="D994" s="133" t="s">
        <v>473</v>
      </c>
      <c r="E994" s="215">
        <v>42865.0</v>
      </c>
      <c r="F994" s="13" t="str">
        <f t="shared" si="88"/>
        <v>May-2017</v>
      </c>
      <c r="G994" s="16" t="s">
        <v>20</v>
      </c>
      <c r="H994" s="16" t="s">
        <v>35</v>
      </c>
      <c r="I994" s="48" t="s">
        <v>472</v>
      </c>
      <c r="J994" s="16" t="s">
        <v>71</v>
      </c>
      <c r="K994" s="16" t="s">
        <v>9</v>
      </c>
      <c r="L994" s="16" t="s">
        <v>30</v>
      </c>
      <c r="M994" s="16" t="s">
        <v>30</v>
      </c>
      <c r="N994" s="16" t="s">
        <v>99</v>
      </c>
      <c r="O994" s="101"/>
      <c r="P994" s="101"/>
      <c r="Q994" s="102"/>
    </row>
    <row r="995">
      <c r="A995" s="140"/>
      <c r="B995" s="134" t="s">
        <v>18</v>
      </c>
      <c r="C995" s="134" t="s">
        <v>74</v>
      </c>
      <c r="D995" s="133" t="s">
        <v>473</v>
      </c>
      <c r="E995" s="215">
        <v>42865.0</v>
      </c>
      <c r="F995" s="13" t="str">
        <f t="shared" si="88"/>
        <v>May-2017</v>
      </c>
      <c r="G995" s="17" t="s">
        <v>25</v>
      </c>
      <c r="H995" s="16" t="s">
        <v>35</v>
      </c>
      <c r="I995" s="48" t="s">
        <v>472</v>
      </c>
      <c r="J995" s="16" t="s">
        <v>71</v>
      </c>
      <c r="K995" s="16" t="s">
        <v>9</v>
      </c>
      <c r="L995" s="16" t="s">
        <v>30</v>
      </c>
      <c r="M995" s="16"/>
      <c r="N995" s="16" t="s">
        <v>37</v>
      </c>
      <c r="O995" s="101"/>
      <c r="P995" s="101"/>
      <c r="Q995" s="102"/>
    </row>
    <row r="996">
      <c r="A996" s="140"/>
      <c r="B996" s="134" t="s">
        <v>18</v>
      </c>
      <c r="C996" s="134" t="s">
        <v>74</v>
      </c>
      <c r="D996" s="133" t="s">
        <v>473</v>
      </c>
      <c r="E996" s="167">
        <v>42865.0</v>
      </c>
      <c r="F996" s="22" t="str">
        <f t="shared" si="88"/>
        <v>May-2017</v>
      </c>
      <c r="G996" s="25" t="s">
        <v>20</v>
      </c>
      <c r="H996" s="25" t="s">
        <v>35</v>
      </c>
      <c r="I996" s="80" t="s">
        <v>218</v>
      </c>
      <c r="J996" s="25" t="s">
        <v>86</v>
      </c>
      <c r="K996" s="25" t="s">
        <v>9</v>
      </c>
      <c r="L996" s="25" t="s">
        <v>24</v>
      </c>
      <c r="M996" s="25" t="s">
        <v>30</v>
      </c>
      <c r="N996" s="25" t="s">
        <v>69</v>
      </c>
      <c r="O996" s="25" t="s">
        <v>475</v>
      </c>
      <c r="Q996" s="25" t="s">
        <v>476</v>
      </c>
    </row>
    <row r="997">
      <c r="A997" s="140"/>
      <c r="B997" s="134" t="s">
        <v>18</v>
      </c>
      <c r="C997" s="134" t="s">
        <v>74</v>
      </c>
      <c r="D997" s="133" t="s">
        <v>473</v>
      </c>
      <c r="E997" s="167">
        <v>42865.0</v>
      </c>
      <c r="F997" s="22" t="str">
        <f t="shared" si="88"/>
        <v>May-2017</v>
      </c>
      <c r="G997" s="26" t="s">
        <v>25</v>
      </c>
      <c r="H997" s="25" t="s">
        <v>35</v>
      </c>
      <c r="I997" s="80" t="s">
        <v>218</v>
      </c>
      <c r="J997" s="25" t="s">
        <v>86</v>
      </c>
      <c r="K997" s="25" t="s">
        <v>9</v>
      </c>
      <c r="L997" s="25" t="s">
        <v>30</v>
      </c>
      <c r="M997" s="25"/>
      <c r="N997" s="25" t="s">
        <v>99</v>
      </c>
      <c r="O997" s="25" t="s">
        <v>475</v>
      </c>
      <c r="Q997" s="25" t="s">
        <v>476</v>
      </c>
    </row>
    <row r="998">
      <c r="A998" s="140"/>
      <c r="B998" s="134" t="s">
        <v>18</v>
      </c>
      <c r="C998" s="134" t="s">
        <v>74</v>
      </c>
      <c r="D998" s="133" t="s">
        <v>473</v>
      </c>
      <c r="E998" s="167">
        <v>42865.0</v>
      </c>
      <c r="F998" s="22" t="str">
        <f t="shared" si="88"/>
        <v>May-2017</v>
      </c>
      <c r="G998" s="25" t="s">
        <v>32</v>
      </c>
      <c r="H998" s="25" t="s">
        <v>35</v>
      </c>
      <c r="I998" s="80" t="s">
        <v>218</v>
      </c>
      <c r="J998" s="25" t="s">
        <v>86</v>
      </c>
      <c r="K998" s="25" t="s">
        <v>9</v>
      </c>
      <c r="L998" s="25" t="s">
        <v>30</v>
      </c>
      <c r="M998" s="25"/>
      <c r="N998" s="25" t="s">
        <v>98</v>
      </c>
      <c r="O998" s="25" t="s">
        <v>475</v>
      </c>
      <c r="Q998" s="25" t="s">
        <v>476</v>
      </c>
    </row>
    <row r="999">
      <c r="A999" s="140"/>
      <c r="B999" s="134" t="s">
        <v>18</v>
      </c>
      <c r="C999" s="134" t="s">
        <v>74</v>
      </c>
      <c r="D999" s="133" t="s">
        <v>473</v>
      </c>
      <c r="E999" s="215">
        <v>42865.0</v>
      </c>
      <c r="F999" s="13" t="str">
        <f t="shared" si="88"/>
        <v>May-2017</v>
      </c>
      <c r="G999" s="16" t="s">
        <v>20</v>
      </c>
      <c r="H999" s="16" t="s">
        <v>35</v>
      </c>
      <c r="I999" s="48" t="s">
        <v>142</v>
      </c>
      <c r="J999" s="16" t="s">
        <v>44</v>
      </c>
      <c r="K999" s="16" t="s">
        <v>9</v>
      </c>
      <c r="L999" s="16" t="s">
        <v>24</v>
      </c>
      <c r="M999" s="16" t="s">
        <v>24</v>
      </c>
      <c r="N999" s="16" t="s">
        <v>98</v>
      </c>
      <c r="O999" s="101"/>
      <c r="P999" s="101"/>
      <c r="Q999" s="102"/>
    </row>
    <row r="1000">
      <c r="A1000" s="141"/>
      <c r="B1000" s="134" t="s">
        <v>18</v>
      </c>
      <c r="C1000" s="134" t="s">
        <v>74</v>
      </c>
      <c r="D1000" s="133" t="s">
        <v>473</v>
      </c>
      <c r="E1000" s="217">
        <v>42865.0</v>
      </c>
      <c r="F1000" s="35" t="str">
        <f t="shared" si="88"/>
        <v>May-2017</v>
      </c>
      <c r="G1000" s="93" t="s">
        <v>25</v>
      </c>
      <c r="H1000" s="38" t="s">
        <v>35</v>
      </c>
      <c r="I1000" s="122" t="s">
        <v>142</v>
      </c>
      <c r="J1000" s="38" t="s">
        <v>44</v>
      </c>
      <c r="K1000" s="38" t="s">
        <v>9</v>
      </c>
      <c r="L1000" s="38" t="s">
        <v>24</v>
      </c>
      <c r="M1000" s="38"/>
      <c r="N1000" s="38" t="s">
        <v>99</v>
      </c>
      <c r="O1000" s="105"/>
      <c r="P1000" s="105"/>
      <c r="Q1000" s="106"/>
    </row>
    <row r="1001">
      <c r="A1001" s="107"/>
      <c r="B1001" s="95"/>
      <c r="C1001" s="95"/>
      <c r="D1001" s="95"/>
      <c r="E1001" s="95"/>
      <c r="I1001" s="23"/>
    </row>
    <row r="1002">
      <c r="A1002" s="133" t="s">
        <v>477</v>
      </c>
      <c r="B1002" s="134" t="s">
        <v>151</v>
      </c>
      <c r="C1002" s="134" t="s">
        <v>74</v>
      </c>
      <c r="D1002" s="133" t="s">
        <v>477</v>
      </c>
      <c r="E1002" s="164">
        <v>42867.0</v>
      </c>
      <c r="F1002" s="85" t="str">
        <f t="shared" ref="F1002:F1017" si="89">TEXT(E1002, "mmm") &amp; "-" &amp; TEXT(E1002, "yyyy") </f>
        <v>May-2017</v>
      </c>
      <c r="G1002" s="73" t="s">
        <v>20</v>
      </c>
      <c r="H1002" s="73" t="s">
        <v>35</v>
      </c>
      <c r="I1002" s="86" t="s">
        <v>119</v>
      </c>
      <c r="J1002" s="73" t="s">
        <v>48</v>
      </c>
      <c r="K1002" s="73" t="s">
        <v>9</v>
      </c>
      <c r="L1002" s="73" t="s">
        <v>30</v>
      </c>
      <c r="M1002" s="73" t="s">
        <v>30</v>
      </c>
      <c r="N1002" s="73" t="s">
        <v>98</v>
      </c>
      <c r="O1002" s="165"/>
      <c r="P1002" s="165"/>
      <c r="Q1002" s="166"/>
    </row>
    <row r="1003">
      <c r="A1003" s="134" t="s">
        <v>151</v>
      </c>
      <c r="B1003" s="134" t="s">
        <v>151</v>
      </c>
      <c r="C1003" s="134" t="s">
        <v>74</v>
      </c>
      <c r="D1003" s="133" t="s">
        <v>477</v>
      </c>
      <c r="E1003" s="167">
        <v>42867.0</v>
      </c>
      <c r="F1003" s="22" t="str">
        <f t="shared" si="89"/>
        <v>May-2017</v>
      </c>
      <c r="G1003" s="26" t="s">
        <v>25</v>
      </c>
      <c r="H1003" s="25" t="s">
        <v>35</v>
      </c>
      <c r="I1003" s="80" t="s">
        <v>119</v>
      </c>
      <c r="J1003" s="25" t="s">
        <v>48</v>
      </c>
      <c r="K1003" s="25" t="s">
        <v>9</v>
      </c>
      <c r="L1003" s="25" t="s">
        <v>30</v>
      </c>
      <c r="M1003" s="25"/>
      <c r="N1003" s="25" t="s">
        <v>99</v>
      </c>
      <c r="Q1003" s="99"/>
    </row>
    <row r="1004">
      <c r="A1004" s="134" t="s">
        <v>368</v>
      </c>
      <c r="B1004" s="134" t="s">
        <v>151</v>
      </c>
      <c r="C1004" s="134" t="s">
        <v>74</v>
      </c>
      <c r="D1004" s="133" t="s">
        <v>477</v>
      </c>
      <c r="E1004" s="167">
        <v>42867.0</v>
      </c>
      <c r="F1004" s="22" t="str">
        <f t="shared" si="89"/>
        <v>May-2017</v>
      </c>
      <c r="G1004" s="16" t="s">
        <v>20</v>
      </c>
      <c r="H1004" s="16" t="s">
        <v>35</v>
      </c>
      <c r="I1004" s="48" t="s">
        <v>431</v>
      </c>
      <c r="J1004" s="16" t="s">
        <v>23</v>
      </c>
      <c r="K1004" s="16" t="s">
        <v>9</v>
      </c>
      <c r="L1004" s="16" t="s">
        <v>30</v>
      </c>
      <c r="M1004" s="16" t="s">
        <v>30</v>
      </c>
      <c r="N1004" s="16" t="s">
        <v>98</v>
      </c>
      <c r="O1004" s="101"/>
      <c r="P1004" s="101"/>
      <c r="Q1004" s="102"/>
    </row>
    <row r="1005">
      <c r="A1005" s="168">
        <v>42867.0</v>
      </c>
      <c r="B1005" s="134" t="s">
        <v>151</v>
      </c>
      <c r="C1005" s="134" t="s">
        <v>74</v>
      </c>
      <c r="D1005" s="133" t="s">
        <v>477</v>
      </c>
      <c r="E1005" s="167">
        <v>42867.0</v>
      </c>
      <c r="F1005" s="22" t="str">
        <f t="shared" si="89"/>
        <v>May-2017</v>
      </c>
      <c r="G1005" s="17" t="s">
        <v>25</v>
      </c>
      <c r="H1005" s="16" t="s">
        <v>35</v>
      </c>
      <c r="I1005" s="48" t="s">
        <v>431</v>
      </c>
      <c r="J1005" s="16" t="s">
        <v>23</v>
      </c>
      <c r="K1005" s="16" t="s">
        <v>9</v>
      </c>
      <c r="L1005" s="16" t="s">
        <v>30</v>
      </c>
      <c r="M1005" s="16"/>
      <c r="N1005" s="16" t="s">
        <v>37</v>
      </c>
      <c r="O1005" s="101"/>
      <c r="P1005" s="101"/>
      <c r="Q1005" s="102"/>
    </row>
    <row r="1006">
      <c r="A1006" s="134" t="s">
        <v>74</v>
      </c>
      <c r="B1006" s="134" t="s">
        <v>151</v>
      </c>
      <c r="C1006" s="134" t="s">
        <v>74</v>
      </c>
      <c r="D1006" s="133" t="s">
        <v>477</v>
      </c>
      <c r="E1006" s="167">
        <v>42867.0</v>
      </c>
      <c r="F1006" s="22" t="str">
        <f t="shared" si="89"/>
        <v>May-2017</v>
      </c>
      <c r="G1006" s="25" t="s">
        <v>146</v>
      </c>
      <c r="H1006" s="25" t="s">
        <v>35</v>
      </c>
      <c r="I1006" s="80" t="s">
        <v>274</v>
      </c>
      <c r="J1006" s="25" t="s">
        <v>71</v>
      </c>
      <c r="K1006" s="25" t="s">
        <v>9</v>
      </c>
      <c r="L1006" s="25" t="s">
        <v>24</v>
      </c>
      <c r="M1006" s="25" t="s">
        <v>24</v>
      </c>
      <c r="N1006" s="25" t="s">
        <v>99</v>
      </c>
      <c r="Q1006" s="99"/>
    </row>
    <row r="1007">
      <c r="A1007" s="140"/>
      <c r="B1007" s="134" t="s">
        <v>151</v>
      </c>
      <c r="C1007" s="134" t="s">
        <v>74</v>
      </c>
      <c r="D1007" s="133" t="s">
        <v>477</v>
      </c>
      <c r="E1007" s="167">
        <v>42867.0</v>
      </c>
      <c r="F1007" s="22" t="str">
        <f t="shared" si="89"/>
        <v>May-2017</v>
      </c>
      <c r="G1007" s="26" t="s">
        <v>149</v>
      </c>
      <c r="H1007" s="25" t="s">
        <v>35</v>
      </c>
      <c r="I1007" s="80" t="s">
        <v>274</v>
      </c>
      <c r="J1007" s="25" t="s">
        <v>71</v>
      </c>
      <c r="K1007" s="25" t="s">
        <v>9</v>
      </c>
      <c r="L1007" s="25" t="s">
        <v>30</v>
      </c>
      <c r="M1007" s="25"/>
      <c r="N1007" s="25" t="s">
        <v>69</v>
      </c>
      <c r="Q1007" s="99"/>
    </row>
    <row r="1008">
      <c r="A1008" s="140"/>
      <c r="B1008" s="134" t="s">
        <v>151</v>
      </c>
      <c r="C1008" s="134" t="s">
        <v>74</v>
      </c>
      <c r="D1008" s="133" t="s">
        <v>477</v>
      </c>
      <c r="E1008" s="167">
        <v>42867.0</v>
      </c>
      <c r="F1008" s="22" t="str">
        <f t="shared" si="89"/>
        <v>May-2017</v>
      </c>
      <c r="G1008" s="25" t="s">
        <v>222</v>
      </c>
      <c r="H1008" s="25" t="s">
        <v>35</v>
      </c>
      <c r="I1008" s="80" t="s">
        <v>274</v>
      </c>
      <c r="J1008" s="25" t="s">
        <v>71</v>
      </c>
      <c r="K1008" s="25" t="s">
        <v>9</v>
      </c>
      <c r="L1008" s="25" t="s">
        <v>24</v>
      </c>
      <c r="M1008" s="25"/>
      <c r="N1008" s="25" t="s">
        <v>37</v>
      </c>
      <c r="Q1008" s="99"/>
    </row>
    <row r="1009">
      <c r="A1009" s="140"/>
      <c r="B1009" s="134" t="s">
        <v>151</v>
      </c>
      <c r="C1009" s="134" t="s">
        <v>74</v>
      </c>
      <c r="D1009" s="133" t="s">
        <v>477</v>
      </c>
      <c r="E1009" s="167">
        <v>42867.0</v>
      </c>
      <c r="F1009" s="22" t="str">
        <f t="shared" si="89"/>
        <v>May-2017</v>
      </c>
      <c r="G1009" s="25" t="s">
        <v>467</v>
      </c>
      <c r="H1009" s="25" t="s">
        <v>35</v>
      </c>
      <c r="I1009" s="80" t="s">
        <v>274</v>
      </c>
      <c r="J1009" s="25" t="s">
        <v>71</v>
      </c>
      <c r="K1009" s="25" t="s">
        <v>9</v>
      </c>
      <c r="L1009" s="25" t="s">
        <v>24</v>
      </c>
      <c r="M1009" s="25"/>
      <c r="N1009" s="25" t="s">
        <v>106</v>
      </c>
      <c r="Q1009" s="99"/>
    </row>
    <row r="1010">
      <c r="A1010" s="140"/>
      <c r="B1010" s="134" t="s">
        <v>151</v>
      </c>
      <c r="C1010" s="134" t="s">
        <v>74</v>
      </c>
      <c r="D1010" s="133" t="s">
        <v>477</v>
      </c>
      <c r="E1010" s="167">
        <v>42867.0</v>
      </c>
      <c r="F1010" s="22" t="str">
        <f t="shared" si="89"/>
        <v>May-2017</v>
      </c>
      <c r="G1010" s="16" t="s">
        <v>146</v>
      </c>
      <c r="H1010" s="16" t="s">
        <v>35</v>
      </c>
      <c r="I1010" s="48" t="s">
        <v>478</v>
      </c>
      <c r="J1010" s="16" t="s">
        <v>479</v>
      </c>
      <c r="K1010" s="16" t="s">
        <v>9</v>
      </c>
      <c r="L1010" s="16" t="s">
        <v>30</v>
      </c>
      <c r="M1010" s="16" t="s">
        <v>30</v>
      </c>
      <c r="N1010" s="16" t="s">
        <v>99</v>
      </c>
      <c r="O1010" s="101"/>
      <c r="P1010" s="101"/>
      <c r="Q1010" s="102"/>
    </row>
    <row r="1011">
      <c r="A1011" s="140"/>
      <c r="B1011" s="134" t="s">
        <v>151</v>
      </c>
      <c r="C1011" s="134" t="s">
        <v>74</v>
      </c>
      <c r="D1011" s="133" t="s">
        <v>477</v>
      </c>
      <c r="E1011" s="167">
        <v>42867.0</v>
      </c>
      <c r="F1011" s="22" t="str">
        <f t="shared" si="89"/>
        <v>May-2017</v>
      </c>
      <c r="G1011" s="17" t="s">
        <v>149</v>
      </c>
      <c r="H1011" s="16" t="s">
        <v>35</v>
      </c>
      <c r="I1011" s="48" t="s">
        <v>478</v>
      </c>
      <c r="J1011" s="16" t="s">
        <v>479</v>
      </c>
      <c r="K1011" s="16" t="s">
        <v>9</v>
      </c>
      <c r="L1011" s="16" t="s">
        <v>24</v>
      </c>
      <c r="M1011" s="16"/>
      <c r="N1011" s="16" t="s">
        <v>99</v>
      </c>
      <c r="O1011" s="101"/>
      <c r="P1011" s="101"/>
      <c r="Q1011" s="102"/>
    </row>
    <row r="1012">
      <c r="A1012" s="140"/>
      <c r="B1012" s="134" t="s">
        <v>151</v>
      </c>
      <c r="C1012" s="134" t="s">
        <v>74</v>
      </c>
      <c r="D1012" s="133" t="s">
        <v>477</v>
      </c>
      <c r="E1012" s="167">
        <v>42867.0</v>
      </c>
      <c r="F1012" s="22" t="str">
        <f t="shared" si="89"/>
        <v>May-2017</v>
      </c>
      <c r="G1012" s="16" t="s">
        <v>222</v>
      </c>
      <c r="H1012" s="16" t="s">
        <v>35</v>
      </c>
      <c r="I1012" s="48" t="s">
        <v>478</v>
      </c>
      <c r="J1012" s="16" t="s">
        <v>479</v>
      </c>
      <c r="K1012" s="16" t="s">
        <v>9</v>
      </c>
      <c r="L1012" s="16" t="s">
        <v>30</v>
      </c>
      <c r="M1012" s="16"/>
      <c r="N1012" s="16" t="s">
        <v>29</v>
      </c>
      <c r="O1012" s="101"/>
      <c r="P1012" s="101"/>
      <c r="Q1012" s="102"/>
    </row>
    <row r="1013">
      <c r="A1013" s="140"/>
      <c r="B1013" s="134" t="s">
        <v>151</v>
      </c>
      <c r="C1013" s="134" t="s">
        <v>74</v>
      </c>
      <c r="D1013" s="133" t="s">
        <v>477</v>
      </c>
      <c r="E1013" s="167">
        <v>42867.0</v>
      </c>
      <c r="F1013" s="22" t="str">
        <f t="shared" si="89"/>
        <v>May-2017</v>
      </c>
      <c r="G1013" s="16" t="s">
        <v>467</v>
      </c>
      <c r="H1013" s="16" t="s">
        <v>35</v>
      </c>
      <c r="I1013" s="48" t="s">
        <v>478</v>
      </c>
      <c r="J1013" s="16" t="s">
        <v>479</v>
      </c>
      <c r="K1013" s="16" t="s">
        <v>9</v>
      </c>
      <c r="L1013" s="16" t="s">
        <v>24</v>
      </c>
      <c r="M1013" s="16"/>
      <c r="N1013" s="16" t="s">
        <v>98</v>
      </c>
      <c r="O1013" s="101"/>
      <c r="P1013" s="101"/>
      <c r="Q1013" s="102"/>
    </row>
    <row r="1014">
      <c r="A1014" s="140"/>
      <c r="B1014" s="134" t="s">
        <v>151</v>
      </c>
      <c r="C1014" s="134" t="s">
        <v>74</v>
      </c>
      <c r="D1014" s="133" t="s">
        <v>477</v>
      </c>
      <c r="E1014" s="167">
        <v>42867.0</v>
      </c>
      <c r="F1014" s="22" t="str">
        <f t="shared" si="89"/>
        <v>May-2017</v>
      </c>
      <c r="G1014" s="16" t="s">
        <v>480</v>
      </c>
      <c r="H1014" s="16" t="s">
        <v>35</v>
      </c>
      <c r="I1014" s="48" t="s">
        <v>478</v>
      </c>
      <c r="J1014" s="16" t="s">
        <v>479</v>
      </c>
      <c r="K1014" s="16" t="s">
        <v>9</v>
      </c>
      <c r="L1014" s="16" t="s">
        <v>30</v>
      </c>
      <c r="M1014" s="16"/>
      <c r="N1014" s="16" t="s">
        <v>106</v>
      </c>
      <c r="O1014" s="101"/>
      <c r="P1014" s="101"/>
      <c r="Q1014" s="102"/>
    </row>
    <row r="1015">
      <c r="A1015" s="140"/>
      <c r="B1015" s="134" t="s">
        <v>151</v>
      </c>
      <c r="C1015" s="134" t="s">
        <v>74</v>
      </c>
      <c r="D1015" s="133" t="s">
        <v>477</v>
      </c>
      <c r="E1015" s="167">
        <v>42867.0</v>
      </c>
      <c r="F1015" s="22" t="str">
        <f t="shared" si="89"/>
        <v>May-2017</v>
      </c>
      <c r="G1015" s="25" t="s">
        <v>146</v>
      </c>
      <c r="H1015" s="25" t="s">
        <v>35</v>
      </c>
      <c r="I1015" s="80" t="s">
        <v>274</v>
      </c>
      <c r="J1015" s="25" t="s">
        <v>71</v>
      </c>
      <c r="K1015" s="25" t="s">
        <v>9</v>
      </c>
      <c r="L1015" s="25" t="s">
        <v>24</v>
      </c>
      <c r="M1015" s="25" t="s">
        <v>24</v>
      </c>
      <c r="N1015" s="25" t="s">
        <v>99</v>
      </c>
      <c r="Q1015" s="99"/>
    </row>
    <row r="1016">
      <c r="A1016" s="140"/>
      <c r="B1016" s="134" t="s">
        <v>151</v>
      </c>
      <c r="C1016" s="134" t="s">
        <v>74</v>
      </c>
      <c r="D1016" s="133" t="s">
        <v>477</v>
      </c>
      <c r="E1016" s="167">
        <v>42867.0</v>
      </c>
      <c r="F1016" s="22" t="str">
        <f t="shared" si="89"/>
        <v>May-2017</v>
      </c>
      <c r="G1016" s="26" t="s">
        <v>149</v>
      </c>
      <c r="H1016" s="25" t="s">
        <v>35</v>
      </c>
      <c r="I1016" s="80" t="s">
        <v>274</v>
      </c>
      <c r="J1016" s="25" t="s">
        <v>71</v>
      </c>
      <c r="K1016" s="25" t="s">
        <v>9</v>
      </c>
      <c r="L1016" s="25" t="s">
        <v>24</v>
      </c>
      <c r="M1016" s="25"/>
      <c r="N1016" s="25" t="s">
        <v>69</v>
      </c>
      <c r="Q1016" s="99"/>
    </row>
    <row r="1017">
      <c r="A1017" s="141"/>
      <c r="B1017" s="134" t="s">
        <v>151</v>
      </c>
      <c r="C1017" s="134" t="s">
        <v>74</v>
      </c>
      <c r="D1017" s="133" t="s">
        <v>477</v>
      </c>
      <c r="E1017" s="169">
        <v>42867.0</v>
      </c>
      <c r="F1017" s="52" t="str">
        <f t="shared" si="89"/>
        <v>May-2017</v>
      </c>
      <c r="G1017" s="55" t="s">
        <v>222</v>
      </c>
      <c r="H1017" s="55" t="s">
        <v>35</v>
      </c>
      <c r="I1017" s="113" t="s">
        <v>274</v>
      </c>
      <c r="J1017" s="55" t="s">
        <v>71</v>
      </c>
      <c r="K1017" s="55" t="s">
        <v>9</v>
      </c>
      <c r="L1017" s="55" t="s">
        <v>24</v>
      </c>
      <c r="M1017" s="55"/>
      <c r="N1017" s="55" t="s">
        <v>69</v>
      </c>
      <c r="O1017" s="143"/>
      <c r="P1017" s="143"/>
      <c r="Q1017" s="144"/>
    </row>
    <row r="1018">
      <c r="A1018" s="107"/>
      <c r="B1018" s="95"/>
      <c r="C1018" s="95"/>
      <c r="D1018" s="95"/>
      <c r="E1018" s="95"/>
      <c r="I1018" s="23"/>
    </row>
    <row r="1019">
      <c r="A1019" s="133" t="s">
        <v>481</v>
      </c>
      <c r="B1019" s="134" t="s">
        <v>18</v>
      </c>
      <c r="C1019" s="134" t="s">
        <v>74</v>
      </c>
      <c r="D1019" s="133" t="s">
        <v>481</v>
      </c>
      <c r="E1019" s="168">
        <v>42872.0</v>
      </c>
      <c r="F1019" s="110" t="str">
        <f t="shared" ref="F1019:F1028" si="90">TEXT(E1019, "mmm") &amp; "-" &amp; TEXT(E1019, "yyyy") </f>
        <v>May-2017</v>
      </c>
      <c r="G1019" s="47" t="s">
        <v>20</v>
      </c>
      <c r="H1019" s="47" t="s">
        <v>35</v>
      </c>
      <c r="I1019" s="79" t="s">
        <v>236</v>
      </c>
      <c r="J1019" s="47" t="s">
        <v>44</v>
      </c>
      <c r="K1019" s="47" t="s">
        <v>9</v>
      </c>
      <c r="L1019" s="47" t="s">
        <v>30</v>
      </c>
      <c r="M1019" s="47" t="s">
        <v>30</v>
      </c>
      <c r="N1019" s="47" t="s">
        <v>69</v>
      </c>
      <c r="O1019" s="152"/>
      <c r="P1019" s="152"/>
      <c r="Q1019" s="153"/>
    </row>
    <row r="1020">
      <c r="A1020" s="134" t="s">
        <v>18</v>
      </c>
      <c r="B1020" s="134" t="s">
        <v>18</v>
      </c>
      <c r="C1020" s="134" t="s">
        <v>74</v>
      </c>
      <c r="D1020" s="133" t="s">
        <v>481</v>
      </c>
      <c r="E1020" s="168">
        <v>42872.0</v>
      </c>
      <c r="F1020" s="13" t="str">
        <f t="shared" si="90"/>
        <v>May-2017</v>
      </c>
      <c r="G1020" s="17" t="s">
        <v>25</v>
      </c>
      <c r="H1020" s="16" t="s">
        <v>35</v>
      </c>
      <c r="I1020" s="48" t="s">
        <v>236</v>
      </c>
      <c r="J1020" s="16" t="s">
        <v>44</v>
      </c>
      <c r="K1020" s="16" t="s">
        <v>9</v>
      </c>
      <c r="L1020" s="16" t="s">
        <v>24</v>
      </c>
      <c r="M1020" s="16"/>
      <c r="N1020" s="16" t="s">
        <v>69</v>
      </c>
      <c r="O1020" s="101"/>
      <c r="P1020" s="101"/>
      <c r="Q1020" s="102"/>
    </row>
    <row r="1021">
      <c r="A1021" s="134" t="s">
        <v>331</v>
      </c>
      <c r="B1021" s="134" t="s">
        <v>18</v>
      </c>
      <c r="C1021" s="134" t="s">
        <v>74</v>
      </c>
      <c r="D1021" s="133" t="s">
        <v>481</v>
      </c>
      <c r="E1021" s="168">
        <v>42872.0</v>
      </c>
      <c r="F1021" s="13" t="str">
        <f t="shared" si="90"/>
        <v>May-2017</v>
      </c>
      <c r="G1021" s="16" t="s">
        <v>32</v>
      </c>
      <c r="H1021" s="16" t="s">
        <v>35</v>
      </c>
      <c r="I1021" s="48" t="s">
        <v>236</v>
      </c>
      <c r="J1021" s="16" t="s">
        <v>44</v>
      </c>
      <c r="K1021" s="16" t="s">
        <v>9</v>
      </c>
      <c r="L1021" s="16" t="s">
        <v>30</v>
      </c>
      <c r="M1021" s="16"/>
      <c r="N1021" s="16" t="s">
        <v>37</v>
      </c>
      <c r="O1021" s="101"/>
      <c r="P1021" s="101"/>
      <c r="Q1021" s="102"/>
    </row>
    <row r="1022">
      <c r="A1022" s="168">
        <v>42872.0</v>
      </c>
      <c r="B1022" s="134" t="s">
        <v>18</v>
      </c>
      <c r="C1022" s="134" t="s">
        <v>74</v>
      </c>
      <c r="D1022" s="133" t="s">
        <v>481</v>
      </c>
      <c r="E1022" s="168">
        <v>42872.0</v>
      </c>
      <c r="F1022" s="22" t="str">
        <f t="shared" si="90"/>
        <v>May-2017</v>
      </c>
      <c r="G1022" s="25" t="s">
        <v>20</v>
      </c>
      <c r="H1022" s="25" t="s">
        <v>35</v>
      </c>
      <c r="I1022" s="80" t="s">
        <v>394</v>
      </c>
      <c r="J1022" s="25" t="s">
        <v>27</v>
      </c>
      <c r="K1022" s="25" t="s">
        <v>9</v>
      </c>
      <c r="L1022" s="25" t="s">
        <v>24</v>
      </c>
      <c r="M1022" s="25" t="s">
        <v>24</v>
      </c>
      <c r="N1022" s="25" t="s">
        <v>69</v>
      </c>
      <c r="Q1022" s="99"/>
    </row>
    <row r="1023">
      <c r="A1023" s="134" t="s">
        <v>74</v>
      </c>
      <c r="B1023" s="134" t="s">
        <v>18</v>
      </c>
      <c r="C1023" s="134" t="s">
        <v>74</v>
      </c>
      <c r="D1023" s="133" t="s">
        <v>481</v>
      </c>
      <c r="E1023" s="168">
        <v>42872.0</v>
      </c>
      <c r="F1023" s="22" t="str">
        <f t="shared" si="90"/>
        <v>May-2017</v>
      </c>
      <c r="G1023" s="26" t="s">
        <v>25</v>
      </c>
      <c r="H1023" s="25" t="s">
        <v>35</v>
      </c>
      <c r="I1023" s="80" t="s">
        <v>394</v>
      </c>
      <c r="J1023" s="25" t="s">
        <v>27</v>
      </c>
      <c r="K1023" s="25" t="s">
        <v>9</v>
      </c>
      <c r="L1023" s="25" t="s">
        <v>24</v>
      </c>
      <c r="M1023" s="25"/>
      <c r="N1023" s="25" t="s">
        <v>106</v>
      </c>
      <c r="Q1023" s="99"/>
    </row>
    <row r="1024">
      <c r="A1024" s="140"/>
      <c r="B1024" s="134" t="s">
        <v>18</v>
      </c>
      <c r="C1024" s="134" t="s">
        <v>74</v>
      </c>
      <c r="D1024" s="133" t="s">
        <v>481</v>
      </c>
      <c r="E1024" s="168">
        <v>42872.0</v>
      </c>
      <c r="F1024" s="13" t="str">
        <f t="shared" si="90"/>
        <v>May-2017</v>
      </c>
      <c r="G1024" s="16" t="s">
        <v>20</v>
      </c>
      <c r="H1024" s="16" t="s">
        <v>35</v>
      </c>
      <c r="I1024" s="48" t="s">
        <v>345</v>
      </c>
      <c r="J1024" s="16" t="s">
        <v>9</v>
      </c>
      <c r="K1024" s="16" t="s">
        <v>9</v>
      </c>
      <c r="L1024" s="16" t="s">
        <v>30</v>
      </c>
      <c r="M1024" s="16" t="s">
        <v>30</v>
      </c>
      <c r="N1024" s="16" t="s">
        <v>98</v>
      </c>
      <c r="O1024" s="101"/>
      <c r="P1024" s="101"/>
      <c r="Q1024" s="102"/>
    </row>
    <row r="1025">
      <c r="A1025" s="140"/>
      <c r="B1025" s="134" t="s">
        <v>18</v>
      </c>
      <c r="C1025" s="134" t="s">
        <v>74</v>
      </c>
      <c r="D1025" s="133" t="s">
        <v>481</v>
      </c>
      <c r="E1025" s="168">
        <v>42872.0</v>
      </c>
      <c r="F1025" s="13" t="str">
        <f t="shared" si="90"/>
        <v>May-2017</v>
      </c>
      <c r="G1025" s="17" t="s">
        <v>25</v>
      </c>
      <c r="H1025" s="16" t="s">
        <v>35</v>
      </c>
      <c r="I1025" s="48" t="s">
        <v>345</v>
      </c>
      <c r="J1025" s="16" t="s">
        <v>9</v>
      </c>
      <c r="K1025" s="16" t="s">
        <v>9</v>
      </c>
      <c r="L1025" s="16" t="s">
        <v>30</v>
      </c>
      <c r="M1025" s="16"/>
      <c r="N1025" s="16" t="s">
        <v>37</v>
      </c>
      <c r="O1025" s="101"/>
      <c r="P1025" s="101"/>
      <c r="Q1025" s="102"/>
    </row>
    <row r="1026">
      <c r="A1026" s="140"/>
      <c r="B1026" s="134" t="s">
        <v>18</v>
      </c>
      <c r="C1026" s="134" t="s">
        <v>74</v>
      </c>
      <c r="D1026" s="133" t="s">
        <v>481</v>
      </c>
      <c r="E1026" s="168">
        <v>42872.0</v>
      </c>
      <c r="F1026" s="22" t="str">
        <f t="shared" si="90"/>
        <v>May-2017</v>
      </c>
      <c r="G1026" s="25" t="s">
        <v>20</v>
      </c>
      <c r="H1026" s="25" t="s">
        <v>35</v>
      </c>
      <c r="I1026" s="80" t="s">
        <v>482</v>
      </c>
      <c r="J1026" s="25" t="s">
        <v>27</v>
      </c>
      <c r="K1026" s="25" t="s">
        <v>9</v>
      </c>
      <c r="L1026" s="25" t="s">
        <v>30</v>
      </c>
      <c r="M1026" s="25" t="s">
        <v>24</v>
      </c>
      <c r="N1026" s="25" t="s">
        <v>98</v>
      </c>
      <c r="Q1026" s="99"/>
    </row>
    <row r="1027">
      <c r="A1027" s="140"/>
      <c r="B1027" s="134" t="s">
        <v>18</v>
      </c>
      <c r="C1027" s="134" t="s">
        <v>74</v>
      </c>
      <c r="D1027" s="133" t="s">
        <v>481</v>
      </c>
      <c r="E1027" s="168">
        <v>42872.0</v>
      </c>
      <c r="F1027" s="22" t="str">
        <f t="shared" si="90"/>
        <v>May-2017</v>
      </c>
      <c r="G1027" s="26" t="s">
        <v>25</v>
      </c>
      <c r="H1027" s="25" t="s">
        <v>35</v>
      </c>
      <c r="I1027" s="80" t="s">
        <v>482</v>
      </c>
      <c r="J1027" s="25" t="s">
        <v>338</v>
      </c>
      <c r="K1027" s="25" t="s">
        <v>9</v>
      </c>
      <c r="L1027" s="25" t="s">
        <v>24</v>
      </c>
      <c r="M1027" s="25"/>
      <c r="N1027" s="25" t="s">
        <v>69</v>
      </c>
      <c r="Q1027" s="99"/>
    </row>
    <row r="1028">
      <c r="A1028" s="141"/>
      <c r="B1028" s="134" t="s">
        <v>18</v>
      </c>
      <c r="C1028" s="134" t="s">
        <v>74</v>
      </c>
      <c r="D1028" s="133" t="s">
        <v>481</v>
      </c>
      <c r="E1028" s="170">
        <v>42872.0</v>
      </c>
      <c r="F1028" s="52" t="str">
        <f t="shared" si="90"/>
        <v>May-2017</v>
      </c>
      <c r="G1028" s="55" t="s">
        <v>32</v>
      </c>
      <c r="H1028" s="55" t="s">
        <v>35</v>
      </c>
      <c r="I1028" s="113" t="s">
        <v>482</v>
      </c>
      <c r="J1028" s="55" t="s">
        <v>338</v>
      </c>
      <c r="K1028" s="55" t="s">
        <v>9</v>
      </c>
      <c r="L1028" s="55" t="s">
        <v>24</v>
      </c>
      <c r="M1028" s="55"/>
      <c r="N1028" s="55" t="s">
        <v>106</v>
      </c>
      <c r="O1028" s="143"/>
      <c r="P1028" s="143"/>
      <c r="Q1028" s="144"/>
    </row>
    <row r="1029">
      <c r="A1029" s="107"/>
      <c r="B1029" s="95"/>
      <c r="C1029" s="95"/>
      <c r="D1029" s="95"/>
      <c r="E1029" s="95"/>
      <c r="I1029" s="23"/>
    </row>
    <row r="1030">
      <c r="A1030" s="133" t="s">
        <v>483</v>
      </c>
      <c r="B1030" s="134" t="s">
        <v>151</v>
      </c>
      <c r="C1030" s="134" t="s">
        <v>74</v>
      </c>
      <c r="D1030" s="133" t="s">
        <v>483</v>
      </c>
      <c r="E1030" s="168">
        <v>42874.0</v>
      </c>
      <c r="F1030" s="110" t="str">
        <f t="shared" ref="F1030:F1031" si="91">TEXT(E1030, "mmm") &amp; "-" &amp; TEXT(E1030, "yyyy") </f>
        <v>May-2017</v>
      </c>
      <c r="G1030" s="47" t="s">
        <v>20</v>
      </c>
      <c r="H1030" s="47" t="s">
        <v>35</v>
      </c>
      <c r="I1030" s="79" t="s">
        <v>484</v>
      </c>
      <c r="J1030" s="47" t="s">
        <v>9</v>
      </c>
      <c r="K1030" s="47" t="s">
        <v>9</v>
      </c>
      <c r="L1030" s="47" t="s">
        <v>30</v>
      </c>
      <c r="M1030" s="47" t="s">
        <v>30</v>
      </c>
      <c r="N1030" s="47" t="s">
        <v>98</v>
      </c>
      <c r="O1030" s="152"/>
      <c r="P1030" s="152"/>
      <c r="Q1030" s="153"/>
    </row>
    <row r="1031">
      <c r="A1031" s="134" t="s">
        <v>151</v>
      </c>
      <c r="B1031" s="134" t="s">
        <v>151</v>
      </c>
      <c r="C1031" s="134" t="s">
        <v>74</v>
      </c>
      <c r="D1031" s="133" t="s">
        <v>483</v>
      </c>
      <c r="E1031" s="168">
        <v>42874.0</v>
      </c>
      <c r="F1031" s="13" t="str">
        <f t="shared" si="91"/>
        <v>May-2017</v>
      </c>
      <c r="G1031" s="17" t="s">
        <v>25</v>
      </c>
      <c r="H1031" s="16" t="s">
        <v>35</v>
      </c>
      <c r="I1031" s="48" t="s">
        <v>484</v>
      </c>
      <c r="J1031" s="16" t="s">
        <v>9</v>
      </c>
      <c r="K1031" s="16" t="s">
        <v>9</v>
      </c>
      <c r="L1031" s="16" t="s">
        <v>30</v>
      </c>
      <c r="M1031" s="16"/>
      <c r="N1031" s="16" t="s">
        <v>106</v>
      </c>
      <c r="O1031" s="101"/>
      <c r="P1031" s="101"/>
      <c r="Q1031" s="102"/>
    </row>
    <row r="1032">
      <c r="A1032" s="134" t="s">
        <v>368</v>
      </c>
      <c r="B1032" s="134" t="s">
        <v>151</v>
      </c>
      <c r="C1032" s="134" t="s">
        <v>74</v>
      </c>
      <c r="D1032" s="133" t="s">
        <v>483</v>
      </c>
      <c r="E1032" s="168">
        <v>42874.0</v>
      </c>
      <c r="F1032" s="22" t="str">
        <f>TEXT(E1032:E1033, "mmm") &amp; "-" &amp; TEXT(E1032:E1033, "yyyy") </f>
        <v>May-2017</v>
      </c>
      <c r="G1032" s="25" t="s">
        <v>20</v>
      </c>
      <c r="H1032" s="25" t="s">
        <v>35</v>
      </c>
      <c r="I1032" s="80" t="s">
        <v>442</v>
      </c>
      <c r="J1032" s="25" t="s">
        <v>71</v>
      </c>
      <c r="K1032" s="25" t="s">
        <v>9</v>
      </c>
      <c r="L1032" s="25" t="s">
        <v>24</v>
      </c>
      <c r="M1032" s="25" t="s">
        <v>24</v>
      </c>
      <c r="N1032" s="25" t="s">
        <v>99</v>
      </c>
      <c r="Q1032" s="99"/>
    </row>
    <row r="1033">
      <c r="A1033" s="168">
        <v>42874.0</v>
      </c>
      <c r="B1033" s="134" t="s">
        <v>151</v>
      </c>
      <c r="C1033" s="134" t="s">
        <v>74</v>
      </c>
      <c r="D1033" s="133" t="s">
        <v>483</v>
      </c>
      <c r="E1033" s="168">
        <v>42874.0</v>
      </c>
      <c r="F1033" s="22" t="str">
        <f t="shared" ref="F1033:F1038" si="92">TEXT(E1032:E1033, "mmm") &amp; "-" &amp; TEXT(E1032:E1033, "yyyy") </f>
        <v>May-2017</v>
      </c>
      <c r="G1033" s="26" t="s">
        <v>25</v>
      </c>
      <c r="H1033" s="25" t="s">
        <v>35</v>
      </c>
      <c r="I1033" s="80" t="s">
        <v>442</v>
      </c>
      <c r="J1033" s="25" t="s">
        <v>71</v>
      </c>
      <c r="K1033" s="25" t="s">
        <v>9</v>
      </c>
      <c r="L1033" s="25" t="s">
        <v>24</v>
      </c>
      <c r="M1033" s="25"/>
      <c r="N1033" s="25" t="s">
        <v>106</v>
      </c>
      <c r="Q1033" s="99"/>
    </row>
    <row r="1034">
      <c r="A1034" s="134" t="s">
        <v>74</v>
      </c>
      <c r="B1034" s="134" t="s">
        <v>151</v>
      </c>
      <c r="C1034" s="134" t="s">
        <v>74</v>
      </c>
      <c r="D1034" s="133" t="s">
        <v>483</v>
      </c>
      <c r="E1034" s="168">
        <v>42874.0</v>
      </c>
      <c r="F1034" s="13" t="str">
        <f t="shared" si="92"/>
        <v>May-2017</v>
      </c>
      <c r="G1034" s="16" t="s">
        <v>20</v>
      </c>
      <c r="H1034" s="16" t="s">
        <v>35</v>
      </c>
      <c r="I1034" s="48" t="s">
        <v>478</v>
      </c>
      <c r="J1034" s="16" t="s">
        <v>479</v>
      </c>
      <c r="K1034" s="16" t="s">
        <v>9</v>
      </c>
      <c r="L1034" s="16" t="s">
        <v>30</v>
      </c>
      <c r="M1034" s="16" t="s">
        <v>30</v>
      </c>
      <c r="N1034" s="16" t="s">
        <v>37</v>
      </c>
      <c r="O1034" s="101"/>
      <c r="P1034" s="101"/>
      <c r="Q1034" s="102"/>
    </row>
    <row r="1035">
      <c r="A1035" s="140"/>
      <c r="B1035" s="134" t="s">
        <v>151</v>
      </c>
      <c r="C1035" s="134" t="s">
        <v>74</v>
      </c>
      <c r="D1035" s="133" t="s">
        <v>483</v>
      </c>
      <c r="E1035" s="168">
        <v>42874.0</v>
      </c>
      <c r="F1035" s="13" t="str">
        <f t="shared" si="92"/>
        <v>May-2017</v>
      </c>
      <c r="G1035" s="17" t="s">
        <v>25</v>
      </c>
      <c r="H1035" s="16" t="s">
        <v>35</v>
      </c>
      <c r="I1035" s="48" t="s">
        <v>478</v>
      </c>
      <c r="J1035" s="16" t="s">
        <v>479</v>
      </c>
      <c r="K1035" s="16" t="s">
        <v>9</v>
      </c>
      <c r="L1035" s="16" t="s">
        <v>30</v>
      </c>
      <c r="M1035" s="16"/>
      <c r="N1035" s="16" t="s">
        <v>106</v>
      </c>
      <c r="O1035" s="101"/>
      <c r="P1035" s="101"/>
      <c r="Q1035" s="102"/>
    </row>
    <row r="1036">
      <c r="A1036" s="140"/>
      <c r="B1036" s="134" t="s">
        <v>151</v>
      </c>
      <c r="C1036" s="134" t="s">
        <v>74</v>
      </c>
      <c r="D1036" s="133" t="s">
        <v>483</v>
      </c>
      <c r="E1036" s="168">
        <v>42874.0</v>
      </c>
      <c r="F1036" s="22" t="str">
        <f t="shared" si="92"/>
        <v>May-2017</v>
      </c>
      <c r="G1036" s="25" t="s">
        <v>20</v>
      </c>
      <c r="H1036" s="25" t="s">
        <v>35</v>
      </c>
      <c r="I1036" s="80" t="s">
        <v>446</v>
      </c>
      <c r="J1036" s="25" t="s">
        <v>86</v>
      </c>
      <c r="K1036" s="25" t="s">
        <v>9</v>
      </c>
      <c r="L1036" s="25" t="s">
        <v>24</v>
      </c>
      <c r="M1036" s="25" t="s">
        <v>24</v>
      </c>
      <c r="N1036" s="25" t="s">
        <v>69</v>
      </c>
      <c r="Q1036" s="99"/>
    </row>
    <row r="1037">
      <c r="A1037" s="140"/>
      <c r="B1037" s="134" t="s">
        <v>151</v>
      </c>
      <c r="C1037" s="134" t="s">
        <v>74</v>
      </c>
      <c r="D1037" s="133" t="s">
        <v>483</v>
      </c>
      <c r="E1037" s="168">
        <v>42874.0</v>
      </c>
      <c r="F1037" s="22" t="str">
        <f t="shared" si="92"/>
        <v>May-2017</v>
      </c>
      <c r="G1037" s="26" t="s">
        <v>25</v>
      </c>
      <c r="H1037" s="25" t="s">
        <v>35</v>
      </c>
      <c r="I1037" s="80" t="s">
        <v>446</v>
      </c>
      <c r="J1037" s="25" t="s">
        <v>86</v>
      </c>
      <c r="K1037" s="25" t="s">
        <v>9</v>
      </c>
      <c r="L1037" s="25" t="s">
        <v>30</v>
      </c>
      <c r="M1037" s="25"/>
      <c r="N1037" s="25" t="s">
        <v>99</v>
      </c>
      <c r="Q1037" s="99"/>
    </row>
    <row r="1038">
      <c r="A1038" s="141"/>
      <c r="B1038" s="134" t="s">
        <v>151</v>
      </c>
      <c r="C1038" s="134" t="s">
        <v>74</v>
      </c>
      <c r="D1038" s="133" t="s">
        <v>483</v>
      </c>
      <c r="E1038" s="168">
        <v>42874.0</v>
      </c>
      <c r="F1038" s="52" t="str">
        <f t="shared" si="92"/>
        <v>May-2017</v>
      </c>
      <c r="G1038" s="55" t="s">
        <v>32</v>
      </c>
      <c r="H1038" s="55" t="s">
        <v>35</v>
      </c>
      <c r="I1038" s="113" t="s">
        <v>446</v>
      </c>
      <c r="J1038" s="55" t="s">
        <v>86</v>
      </c>
      <c r="K1038" s="55" t="s">
        <v>9</v>
      </c>
      <c r="L1038" s="55" t="s">
        <v>24</v>
      </c>
      <c r="M1038" s="55"/>
      <c r="N1038" s="55" t="s">
        <v>106</v>
      </c>
      <c r="O1038" s="143"/>
      <c r="P1038" s="143"/>
      <c r="Q1038" s="144"/>
    </row>
    <row r="1039">
      <c r="A1039" s="107"/>
      <c r="B1039" s="95"/>
      <c r="C1039" s="95"/>
      <c r="D1039" s="95"/>
      <c r="E1039" s="95"/>
      <c r="I1039" s="23"/>
    </row>
    <row r="1040">
      <c r="A1040" s="133" t="s">
        <v>485</v>
      </c>
      <c r="B1040" s="134" t="s">
        <v>18</v>
      </c>
      <c r="C1040" s="134" t="s">
        <v>19</v>
      </c>
      <c r="D1040" s="133" t="s">
        <v>485</v>
      </c>
      <c r="E1040" s="164">
        <v>42875.0</v>
      </c>
      <c r="F1040" s="85" t="str">
        <f t="shared" ref="F1040:F1054" si="93">TEXT(E1039:E1040, "mmm") &amp; "-" &amp; TEXT(E1039:E1040, "yyyy") </f>
        <v>May-2017</v>
      </c>
      <c r="G1040" s="47" t="s">
        <v>20</v>
      </c>
      <c r="H1040" s="47" t="s">
        <v>273</v>
      </c>
      <c r="I1040" s="79" t="s">
        <v>456</v>
      </c>
      <c r="J1040" s="47" t="s">
        <v>48</v>
      </c>
      <c r="K1040" s="47" t="s">
        <v>9</v>
      </c>
      <c r="L1040" s="47" t="s">
        <v>30</v>
      </c>
      <c r="M1040" s="47" t="s">
        <v>30</v>
      </c>
      <c r="N1040" s="47" t="s">
        <v>98</v>
      </c>
      <c r="O1040" s="152"/>
      <c r="P1040" s="152"/>
      <c r="Q1040" s="153"/>
    </row>
    <row r="1041">
      <c r="A1041" s="134" t="s">
        <v>18</v>
      </c>
      <c r="B1041" s="134" t="s">
        <v>18</v>
      </c>
      <c r="C1041" s="134" t="s">
        <v>19</v>
      </c>
      <c r="D1041" s="133" t="s">
        <v>485</v>
      </c>
      <c r="E1041" s="167">
        <v>42875.0</v>
      </c>
      <c r="F1041" s="22" t="str">
        <f t="shared" si="93"/>
        <v>May-2017</v>
      </c>
      <c r="G1041" s="17" t="s">
        <v>25</v>
      </c>
      <c r="H1041" s="16" t="s">
        <v>273</v>
      </c>
      <c r="I1041" s="48" t="s">
        <v>456</v>
      </c>
      <c r="J1041" s="16" t="s">
        <v>48</v>
      </c>
      <c r="K1041" s="16" t="s">
        <v>9</v>
      </c>
      <c r="L1041" s="16" t="s">
        <v>30</v>
      </c>
      <c r="M1041" s="16"/>
      <c r="N1041" s="16" t="s">
        <v>98</v>
      </c>
      <c r="O1041" s="101"/>
      <c r="P1041" s="101"/>
      <c r="Q1041" s="102"/>
    </row>
    <row r="1042">
      <c r="A1042" s="134" t="s">
        <v>486</v>
      </c>
      <c r="B1042" s="134" t="s">
        <v>18</v>
      </c>
      <c r="C1042" s="134" t="s">
        <v>19</v>
      </c>
      <c r="D1042" s="133" t="s">
        <v>485</v>
      </c>
      <c r="E1042" s="167">
        <v>42875.0</v>
      </c>
      <c r="F1042" s="22" t="str">
        <f t="shared" si="93"/>
        <v>May-2017</v>
      </c>
      <c r="G1042" s="25" t="s">
        <v>20</v>
      </c>
      <c r="H1042" s="25" t="s">
        <v>273</v>
      </c>
      <c r="I1042" s="80" t="s">
        <v>239</v>
      </c>
      <c r="J1042" s="25" t="s">
        <v>27</v>
      </c>
      <c r="K1042" s="25" t="s">
        <v>9</v>
      </c>
      <c r="L1042" s="25" t="s">
        <v>24</v>
      </c>
      <c r="M1042" s="25" t="s">
        <v>24</v>
      </c>
      <c r="N1042" s="25" t="s">
        <v>69</v>
      </c>
      <c r="Q1042" s="99"/>
    </row>
    <row r="1043">
      <c r="A1043" s="168">
        <v>42875.0</v>
      </c>
      <c r="B1043" s="134" t="s">
        <v>18</v>
      </c>
      <c r="C1043" s="134" t="s">
        <v>19</v>
      </c>
      <c r="D1043" s="133" t="s">
        <v>485</v>
      </c>
      <c r="E1043" s="167">
        <v>42875.0</v>
      </c>
      <c r="F1043" s="22" t="str">
        <f t="shared" si="93"/>
        <v>May-2017</v>
      </c>
      <c r="G1043" s="26" t="s">
        <v>25</v>
      </c>
      <c r="H1043" s="25" t="s">
        <v>273</v>
      </c>
      <c r="I1043" s="80" t="s">
        <v>239</v>
      </c>
      <c r="J1043" s="25" t="s">
        <v>27</v>
      </c>
      <c r="K1043" s="25" t="s">
        <v>9</v>
      </c>
      <c r="L1043" s="25" t="s">
        <v>24</v>
      </c>
      <c r="M1043" s="25"/>
      <c r="N1043" s="25" t="s">
        <v>98</v>
      </c>
      <c r="Q1043" s="99"/>
    </row>
    <row r="1044">
      <c r="A1044" s="134" t="s">
        <v>19</v>
      </c>
      <c r="B1044" s="134" t="s">
        <v>18</v>
      </c>
      <c r="C1044" s="134" t="s">
        <v>19</v>
      </c>
      <c r="D1044" s="133" t="s">
        <v>485</v>
      </c>
      <c r="E1044" s="167">
        <v>42875.0</v>
      </c>
      <c r="F1044" s="22" t="str">
        <f t="shared" si="93"/>
        <v>May-2017</v>
      </c>
      <c r="G1044" s="16" t="s">
        <v>20</v>
      </c>
      <c r="H1044" s="16" t="s">
        <v>273</v>
      </c>
      <c r="I1044" s="48" t="s">
        <v>487</v>
      </c>
      <c r="J1044" s="16" t="s">
        <v>44</v>
      </c>
      <c r="K1044" s="16" t="s">
        <v>9</v>
      </c>
      <c r="L1044" s="16" t="s">
        <v>24</v>
      </c>
      <c r="M1044" s="16" t="s">
        <v>30</v>
      </c>
      <c r="N1044" s="16" t="s">
        <v>98</v>
      </c>
      <c r="O1044" s="101"/>
      <c r="P1044" s="101"/>
      <c r="Q1044" s="102"/>
    </row>
    <row r="1045">
      <c r="A1045" s="140"/>
      <c r="B1045" s="134" t="s">
        <v>18</v>
      </c>
      <c r="C1045" s="134" t="s">
        <v>19</v>
      </c>
      <c r="D1045" s="133" t="s">
        <v>485</v>
      </c>
      <c r="E1045" s="167">
        <v>42875.0</v>
      </c>
      <c r="F1045" s="22" t="str">
        <f t="shared" si="93"/>
        <v>May-2017</v>
      </c>
      <c r="G1045" s="17" t="s">
        <v>25</v>
      </c>
      <c r="H1045" s="16" t="s">
        <v>273</v>
      </c>
      <c r="I1045" s="48" t="s">
        <v>487</v>
      </c>
      <c r="J1045" s="16" t="s">
        <v>44</v>
      </c>
      <c r="K1045" s="16" t="s">
        <v>9</v>
      </c>
      <c r="L1045" s="16" t="s">
        <v>30</v>
      </c>
      <c r="M1045" s="16"/>
      <c r="N1045" s="16" t="s">
        <v>106</v>
      </c>
      <c r="O1045" s="101"/>
      <c r="P1045" s="101"/>
      <c r="Q1045" s="102"/>
    </row>
    <row r="1046">
      <c r="A1046" s="140"/>
      <c r="B1046" s="134" t="s">
        <v>18</v>
      </c>
      <c r="C1046" s="134" t="s">
        <v>19</v>
      </c>
      <c r="D1046" s="133" t="s">
        <v>485</v>
      </c>
      <c r="E1046" s="167">
        <v>42875.0</v>
      </c>
      <c r="F1046" s="22" t="str">
        <f t="shared" si="93"/>
        <v>May-2017</v>
      </c>
      <c r="G1046" s="16" t="s">
        <v>32</v>
      </c>
      <c r="H1046" s="16" t="s">
        <v>273</v>
      </c>
      <c r="I1046" s="48" t="s">
        <v>487</v>
      </c>
      <c r="J1046" s="16" t="s">
        <v>44</v>
      </c>
      <c r="K1046" s="16" t="s">
        <v>9</v>
      </c>
      <c r="L1046" s="16" t="s">
        <v>30</v>
      </c>
      <c r="M1046" s="16"/>
      <c r="N1046" s="16" t="s">
        <v>69</v>
      </c>
      <c r="O1046" s="101"/>
      <c r="P1046" s="101"/>
      <c r="Q1046" s="102"/>
    </row>
    <row r="1047">
      <c r="A1047" s="140"/>
      <c r="B1047" s="134" t="s">
        <v>18</v>
      </c>
      <c r="C1047" s="134" t="s">
        <v>19</v>
      </c>
      <c r="D1047" s="133" t="s">
        <v>485</v>
      </c>
      <c r="E1047" s="167">
        <v>42875.0</v>
      </c>
      <c r="F1047" s="22" t="str">
        <f t="shared" si="93"/>
        <v>May-2017</v>
      </c>
      <c r="G1047" s="25" t="s">
        <v>20</v>
      </c>
      <c r="H1047" s="25" t="s">
        <v>273</v>
      </c>
      <c r="I1047" s="80" t="s">
        <v>212</v>
      </c>
      <c r="J1047" s="25" t="s">
        <v>71</v>
      </c>
      <c r="K1047" s="25" t="s">
        <v>9</v>
      </c>
      <c r="L1047" s="25" t="s">
        <v>24</v>
      </c>
      <c r="M1047" s="25" t="s">
        <v>24</v>
      </c>
      <c r="N1047" s="25" t="s">
        <v>99</v>
      </c>
      <c r="Q1047" s="99"/>
    </row>
    <row r="1048">
      <c r="A1048" s="140"/>
      <c r="B1048" s="134" t="s">
        <v>18</v>
      </c>
      <c r="C1048" s="134" t="s">
        <v>19</v>
      </c>
      <c r="D1048" s="133" t="s">
        <v>485</v>
      </c>
      <c r="E1048" s="167">
        <v>42875.0</v>
      </c>
      <c r="F1048" s="22" t="str">
        <f t="shared" si="93"/>
        <v>May-2017</v>
      </c>
      <c r="G1048" s="26" t="s">
        <v>25</v>
      </c>
      <c r="H1048" s="25" t="s">
        <v>273</v>
      </c>
      <c r="I1048" s="80" t="s">
        <v>212</v>
      </c>
      <c r="J1048" s="25" t="s">
        <v>71</v>
      </c>
      <c r="K1048" s="25" t="s">
        <v>9</v>
      </c>
      <c r="L1048" s="25" t="s">
        <v>24</v>
      </c>
      <c r="M1048" s="25"/>
      <c r="N1048" s="25" t="s">
        <v>106</v>
      </c>
      <c r="Q1048" s="99"/>
    </row>
    <row r="1049">
      <c r="A1049" s="140"/>
      <c r="B1049" s="134" t="s">
        <v>18</v>
      </c>
      <c r="C1049" s="134" t="s">
        <v>19</v>
      </c>
      <c r="D1049" s="133" t="s">
        <v>485</v>
      </c>
      <c r="E1049" s="167">
        <v>42875.0</v>
      </c>
      <c r="F1049" s="22" t="str">
        <f t="shared" si="93"/>
        <v>May-2017</v>
      </c>
      <c r="G1049" s="16" t="s">
        <v>20</v>
      </c>
      <c r="H1049" s="16" t="s">
        <v>278</v>
      </c>
      <c r="I1049" s="48" t="s">
        <v>464</v>
      </c>
      <c r="J1049" s="16" t="s">
        <v>27</v>
      </c>
      <c r="K1049" s="16" t="s">
        <v>9</v>
      </c>
      <c r="L1049" s="16" t="s">
        <v>24</v>
      </c>
      <c r="M1049" s="16" t="s">
        <v>30</v>
      </c>
      <c r="N1049" s="16" t="s">
        <v>37</v>
      </c>
      <c r="O1049" s="101"/>
      <c r="P1049" s="101"/>
      <c r="Q1049" s="102"/>
    </row>
    <row r="1050">
      <c r="A1050" s="140"/>
      <c r="B1050" s="134" t="s">
        <v>18</v>
      </c>
      <c r="C1050" s="134" t="s">
        <v>19</v>
      </c>
      <c r="D1050" s="133" t="s">
        <v>485</v>
      </c>
      <c r="E1050" s="167">
        <v>42875.0</v>
      </c>
      <c r="F1050" s="22" t="str">
        <f t="shared" si="93"/>
        <v>May-2017</v>
      </c>
      <c r="G1050" s="17" t="s">
        <v>25</v>
      </c>
      <c r="H1050" s="16" t="s">
        <v>278</v>
      </c>
      <c r="I1050" s="48" t="s">
        <v>464</v>
      </c>
      <c r="J1050" s="16" t="s">
        <v>27</v>
      </c>
      <c r="K1050" s="16" t="s">
        <v>9</v>
      </c>
      <c r="L1050" s="16" t="s">
        <v>30</v>
      </c>
      <c r="M1050" s="16"/>
      <c r="N1050" s="16" t="s">
        <v>69</v>
      </c>
      <c r="O1050" s="101"/>
      <c r="P1050" s="101"/>
      <c r="Q1050" s="102"/>
    </row>
    <row r="1051">
      <c r="A1051" s="140"/>
      <c r="B1051" s="134" t="s">
        <v>18</v>
      </c>
      <c r="C1051" s="134" t="s">
        <v>19</v>
      </c>
      <c r="D1051" s="133" t="s">
        <v>485</v>
      </c>
      <c r="E1051" s="167">
        <v>42875.0</v>
      </c>
      <c r="F1051" s="22" t="str">
        <f t="shared" si="93"/>
        <v>May-2017</v>
      </c>
      <c r="G1051" s="16" t="s">
        <v>32</v>
      </c>
      <c r="H1051" s="16" t="s">
        <v>278</v>
      </c>
      <c r="I1051" s="48" t="s">
        <v>464</v>
      </c>
      <c r="J1051" s="16" t="s">
        <v>27</v>
      </c>
      <c r="K1051" s="16" t="s">
        <v>9</v>
      </c>
      <c r="L1051" s="16" t="s">
        <v>30</v>
      </c>
      <c r="M1051" s="16"/>
      <c r="N1051" s="16" t="s">
        <v>29</v>
      </c>
      <c r="O1051" s="101"/>
      <c r="P1051" s="101"/>
      <c r="Q1051" s="102"/>
    </row>
    <row r="1052">
      <c r="A1052" s="140"/>
      <c r="B1052" s="134" t="s">
        <v>18</v>
      </c>
      <c r="C1052" s="134" t="s">
        <v>19</v>
      </c>
      <c r="D1052" s="133" t="s">
        <v>485</v>
      </c>
      <c r="E1052" s="167">
        <v>42875.0</v>
      </c>
      <c r="F1052" s="22" t="str">
        <f t="shared" si="93"/>
        <v>May-2017</v>
      </c>
      <c r="G1052" s="25" t="s">
        <v>20</v>
      </c>
      <c r="H1052" s="25" t="s">
        <v>278</v>
      </c>
      <c r="I1052" s="80" t="s">
        <v>310</v>
      </c>
      <c r="J1052" s="25" t="s">
        <v>48</v>
      </c>
      <c r="K1052" s="25" t="s">
        <v>9</v>
      </c>
      <c r="L1052" s="25" t="s">
        <v>24</v>
      </c>
      <c r="M1052" s="25" t="s">
        <v>24</v>
      </c>
      <c r="N1052" s="25" t="s">
        <v>98</v>
      </c>
      <c r="Q1052" s="99"/>
    </row>
    <row r="1053">
      <c r="A1053" s="140"/>
      <c r="B1053" s="134" t="s">
        <v>18</v>
      </c>
      <c r="C1053" s="134" t="s">
        <v>19</v>
      </c>
      <c r="D1053" s="133" t="s">
        <v>485</v>
      </c>
      <c r="E1053" s="167">
        <v>42875.0</v>
      </c>
      <c r="F1053" s="22" t="str">
        <f t="shared" si="93"/>
        <v>May-2017</v>
      </c>
      <c r="G1053" s="26" t="s">
        <v>25</v>
      </c>
      <c r="H1053" s="25" t="s">
        <v>278</v>
      </c>
      <c r="I1053" s="80" t="s">
        <v>310</v>
      </c>
      <c r="J1053" s="25" t="s">
        <v>48</v>
      </c>
      <c r="K1053" s="25" t="s">
        <v>9</v>
      </c>
      <c r="L1053" s="25" t="s">
        <v>30</v>
      </c>
      <c r="M1053" s="25"/>
      <c r="N1053" s="25" t="s">
        <v>106</v>
      </c>
      <c r="Q1053" s="99"/>
    </row>
    <row r="1054">
      <c r="A1054" s="141"/>
      <c r="B1054" s="134" t="s">
        <v>18</v>
      </c>
      <c r="C1054" s="134" t="s">
        <v>19</v>
      </c>
      <c r="D1054" s="133" t="s">
        <v>485</v>
      </c>
      <c r="E1054" s="169">
        <v>42875.0</v>
      </c>
      <c r="F1054" s="52" t="str">
        <f t="shared" si="93"/>
        <v>May-2017</v>
      </c>
      <c r="G1054" s="55" t="s">
        <v>32</v>
      </c>
      <c r="H1054" s="55" t="s">
        <v>278</v>
      </c>
      <c r="I1054" s="113" t="s">
        <v>310</v>
      </c>
      <c r="J1054" s="55" t="s">
        <v>48</v>
      </c>
      <c r="K1054" s="55" t="s">
        <v>9</v>
      </c>
      <c r="L1054" s="55" t="s">
        <v>24</v>
      </c>
      <c r="M1054" s="55"/>
      <c r="N1054" s="55" t="s">
        <v>98</v>
      </c>
      <c r="O1054" s="143"/>
      <c r="P1054" s="143"/>
      <c r="Q1054" s="144"/>
    </row>
    <row r="1055">
      <c r="A1055" s="107"/>
      <c r="B1055" s="95"/>
      <c r="C1055" s="95"/>
      <c r="D1055" s="95"/>
      <c r="E1055" s="95"/>
      <c r="I1055" s="23"/>
    </row>
    <row r="1056">
      <c r="A1056" s="133" t="s">
        <v>488</v>
      </c>
      <c r="B1056" s="134" t="s">
        <v>18</v>
      </c>
      <c r="C1056" s="134" t="s">
        <v>74</v>
      </c>
      <c r="D1056" s="133" t="s">
        <v>488</v>
      </c>
      <c r="E1056" s="168">
        <v>42879.0</v>
      </c>
      <c r="F1056" s="85" t="str">
        <f t="shared" ref="F1056:F1070" si="94">TEXT(E1055:E1056, "mmm") &amp; "-" &amp; TEXT(E1055:E1056, "yyyy") </f>
        <v>May-2017</v>
      </c>
      <c r="G1056" s="47" t="s">
        <v>20</v>
      </c>
      <c r="H1056" s="47" t="s">
        <v>35</v>
      </c>
      <c r="I1056" s="79" t="s">
        <v>489</v>
      </c>
      <c r="J1056" s="47" t="s">
        <v>318</v>
      </c>
      <c r="K1056" s="47" t="s">
        <v>9</v>
      </c>
      <c r="L1056" s="47" t="s">
        <v>30</v>
      </c>
      <c r="M1056" s="47" t="s">
        <v>30</v>
      </c>
      <c r="N1056" s="47" t="s">
        <v>69</v>
      </c>
      <c r="O1056" s="152"/>
      <c r="P1056" s="152"/>
      <c r="Q1056" s="153"/>
    </row>
    <row r="1057">
      <c r="A1057" s="134" t="s">
        <v>18</v>
      </c>
      <c r="B1057" s="134" t="s">
        <v>18</v>
      </c>
      <c r="C1057" s="134" t="s">
        <v>74</v>
      </c>
      <c r="D1057" s="133" t="s">
        <v>488</v>
      </c>
      <c r="E1057" s="168">
        <v>42879.0</v>
      </c>
      <c r="F1057" s="22" t="str">
        <f t="shared" si="94"/>
        <v>May-2017</v>
      </c>
      <c r="G1057" s="17" t="s">
        <v>25</v>
      </c>
      <c r="H1057" s="16" t="s">
        <v>35</v>
      </c>
      <c r="I1057" s="48" t="s">
        <v>489</v>
      </c>
      <c r="J1057" s="16" t="s">
        <v>318</v>
      </c>
      <c r="K1057" s="16" t="s">
        <v>9</v>
      </c>
      <c r="L1057" s="16" t="s">
        <v>30</v>
      </c>
      <c r="M1057" s="16"/>
      <c r="N1057" s="16" t="s">
        <v>98</v>
      </c>
      <c r="O1057" s="101"/>
      <c r="P1057" s="101"/>
      <c r="Q1057" s="102"/>
    </row>
    <row r="1058">
      <c r="A1058" s="134" t="s">
        <v>331</v>
      </c>
      <c r="B1058" s="134" t="s">
        <v>18</v>
      </c>
      <c r="C1058" s="134" t="s">
        <v>74</v>
      </c>
      <c r="D1058" s="133" t="s">
        <v>488</v>
      </c>
      <c r="E1058" s="168">
        <v>42879.0</v>
      </c>
      <c r="F1058" s="22" t="str">
        <f t="shared" si="94"/>
        <v>May-2017</v>
      </c>
      <c r="G1058" s="119" t="s">
        <v>20</v>
      </c>
      <c r="H1058" s="119" t="s">
        <v>35</v>
      </c>
      <c r="I1058" s="126" t="s">
        <v>133</v>
      </c>
      <c r="J1058" s="119" t="s">
        <v>86</v>
      </c>
      <c r="K1058" s="119" t="s">
        <v>9</v>
      </c>
      <c r="L1058" s="119" t="s">
        <v>30</v>
      </c>
      <c r="M1058" s="119" t="s">
        <v>24</v>
      </c>
      <c r="N1058" s="119" t="s">
        <v>69</v>
      </c>
      <c r="O1058" s="174"/>
      <c r="P1058" s="174"/>
      <c r="Q1058" s="175"/>
    </row>
    <row r="1059">
      <c r="A1059" s="168">
        <v>42879.0</v>
      </c>
      <c r="B1059" s="134" t="s">
        <v>18</v>
      </c>
      <c r="C1059" s="134" t="s">
        <v>74</v>
      </c>
      <c r="D1059" s="133" t="s">
        <v>488</v>
      </c>
      <c r="E1059" s="168">
        <v>42879.0</v>
      </c>
      <c r="F1059" s="22" t="str">
        <f t="shared" si="94"/>
        <v>May-2017</v>
      </c>
      <c r="G1059" s="91" t="s">
        <v>25</v>
      </c>
      <c r="H1059" s="119" t="s">
        <v>35</v>
      </c>
      <c r="I1059" s="126" t="s">
        <v>133</v>
      </c>
      <c r="J1059" s="119" t="s">
        <v>86</v>
      </c>
      <c r="K1059" s="119" t="s">
        <v>9</v>
      </c>
      <c r="L1059" s="119" t="s">
        <v>24</v>
      </c>
      <c r="M1059" s="119"/>
      <c r="N1059" s="119" t="s">
        <v>98</v>
      </c>
      <c r="O1059" s="174"/>
      <c r="P1059" s="174"/>
      <c r="Q1059" s="175"/>
    </row>
    <row r="1060">
      <c r="A1060" s="176" t="s">
        <v>490</v>
      </c>
      <c r="B1060" s="134" t="s">
        <v>18</v>
      </c>
      <c r="C1060" s="134" t="s">
        <v>74</v>
      </c>
      <c r="D1060" s="133" t="s">
        <v>488</v>
      </c>
      <c r="E1060" s="168">
        <v>42879.0</v>
      </c>
      <c r="F1060" s="22" t="str">
        <f t="shared" si="94"/>
        <v>May-2017</v>
      </c>
      <c r="G1060" s="119" t="s">
        <v>32</v>
      </c>
      <c r="H1060" s="119" t="s">
        <v>35</v>
      </c>
      <c r="I1060" s="126" t="s">
        <v>133</v>
      </c>
      <c r="J1060" s="119" t="s">
        <v>86</v>
      </c>
      <c r="K1060" s="119" t="s">
        <v>9</v>
      </c>
      <c r="L1060" s="119" t="s">
        <v>24</v>
      </c>
      <c r="M1060" s="119"/>
      <c r="N1060" s="119" t="s">
        <v>106</v>
      </c>
      <c r="O1060" s="174"/>
      <c r="P1060" s="174"/>
      <c r="Q1060" s="175"/>
    </row>
    <row r="1061">
      <c r="A1061" s="134" t="s">
        <v>74</v>
      </c>
      <c r="B1061" s="134" t="s">
        <v>18</v>
      </c>
      <c r="C1061" s="134" t="s">
        <v>74</v>
      </c>
      <c r="D1061" s="133" t="s">
        <v>488</v>
      </c>
      <c r="E1061" s="168">
        <v>42879.0</v>
      </c>
      <c r="F1061" s="22" t="str">
        <f t="shared" si="94"/>
        <v>May-2017</v>
      </c>
      <c r="G1061" s="16" t="s">
        <v>20</v>
      </c>
      <c r="H1061" s="16" t="s">
        <v>35</v>
      </c>
      <c r="I1061" s="48" t="s">
        <v>345</v>
      </c>
      <c r="J1061" s="16" t="s">
        <v>9</v>
      </c>
      <c r="K1061" s="16" t="s">
        <v>9</v>
      </c>
      <c r="L1061" s="16" t="s">
        <v>30</v>
      </c>
      <c r="M1061" s="16" t="s">
        <v>30</v>
      </c>
      <c r="N1061" s="16" t="s">
        <v>98</v>
      </c>
      <c r="O1061" s="101"/>
      <c r="P1061" s="101"/>
      <c r="Q1061" s="102"/>
    </row>
    <row r="1062">
      <c r="A1062" s="140"/>
      <c r="B1062" s="134" t="s">
        <v>18</v>
      </c>
      <c r="C1062" s="134" t="s">
        <v>74</v>
      </c>
      <c r="D1062" s="133" t="s">
        <v>488</v>
      </c>
      <c r="E1062" s="168">
        <v>42879.0</v>
      </c>
      <c r="F1062" s="22" t="str">
        <f t="shared" si="94"/>
        <v>May-2017</v>
      </c>
      <c r="G1062" s="17" t="s">
        <v>25</v>
      </c>
      <c r="H1062" s="16" t="s">
        <v>35</v>
      </c>
      <c r="I1062" s="48" t="s">
        <v>345</v>
      </c>
      <c r="J1062" s="16" t="s">
        <v>9</v>
      </c>
      <c r="K1062" s="16" t="s">
        <v>9</v>
      </c>
      <c r="L1062" s="16" t="s">
        <v>30</v>
      </c>
      <c r="M1062" s="16"/>
      <c r="N1062" s="16" t="s">
        <v>37</v>
      </c>
      <c r="O1062" s="101"/>
      <c r="P1062" s="101"/>
      <c r="Q1062" s="102"/>
    </row>
    <row r="1063">
      <c r="A1063" s="140"/>
      <c r="B1063" s="134" t="s">
        <v>18</v>
      </c>
      <c r="C1063" s="134" t="s">
        <v>74</v>
      </c>
      <c r="D1063" s="133" t="s">
        <v>488</v>
      </c>
      <c r="E1063" s="168">
        <v>42879.0</v>
      </c>
      <c r="F1063" s="22" t="str">
        <f t="shared" si="94"/>
        <v>May-2017</v>
      </c>
      <c r="G1063" s="119" t="s">
        <v>20</v>
      </c>
      <c r="H1063" s="119" t="s">
        <v>35</v>
      </c>
      <c r="I1063" s="126" t="s">
        <v>174</v>
      </c>
      <c r="J1063" s="119" t="s">
        <v>71</v>
      </c>
      <c r="K1063" s="119" t="s">
        <v>9</v>
      </c>
      <c r="L1063" s="119" t="s">
        <v>24</v>
      </c>
      <c r="M1063" s="119" t="s">
        <v>30</v>
      </c>
      <c r="N1063" s="119" t="s">
        <v>99</v>
      </c>
      <c r="O1063" s="174"/>
      <c r="P1063" s="174"/>
      <c r="Q1063" s="175"/>
    </row>
    <row r="1064">
      <c r="A1064" s="140"/>
      <c r="B1064" s="134" t="s">
        <v>18</v>
      </c>
      <c r="C1064" s="134" t="s">
        <v>74</v>
      </c>
      <c r="D1064" s="133" t="s">
        <v>488</v>
      </c>
      <c r="E1064" s="168">
        <v>42879.0</v>
      </c>
      <c r="F1064" s="22" t="str">
        <f t="shared" si="94"/>
        <v>May-2017</v>
      </c>
      <c r="G1064" s="91" t="s">
        <v>25</v>
      </c>
      <c r="H1064" s="119" t="s">
        <v>35</v>
      </c>
      <c r="I1064" s="126" t="s">
        <v>174</v>
      </c>
      <c r="J1064" s="119" t="s">
        <v>71</v>
      </c>
      <c r="K1064" s="119" t="s">
        <v>9</v>
      </c>
      <c r="L1064" s="119" t="s">
        <v>30</v>
      </c>
      <c r="M1064" s="119"/>
      <c r="N1064" s="119" t="s">
        <v>106</v>
      </c>
      <c r="O1064" s="174"/>
      <c r="P1064" s="174"/>
      <c r="Q1064" s="175"/>
    </row>
    <row r="1065">
      <c r="A1065" s="140"/>
      <c r="B1065" s="134" t="s">
        <v>18</v>
      </c>
      <c r="C1065" s="134" t="s">
        <v>74</v>
      </c>
      <c r="D1065" s="133" t="s">
        <v>488</v>
      </c>
      <c r="E1065" s="168">
        <v>42879.0</v>
      </c>
      <c r="F1065" s="22" t="str">
        <f t="shared" si="94"/>
        <v>May-2017</v>
      </c>
      <c r="G1065" s="119" t="s">
        <v>32</v>
      </c>
      <c r="H1065" s="119" t="s">
        <v>35</v>
      </c>
      <c r="I1065" s="126" t="s">
        <v>174</v>
      </c>
      <c r="J1065" s="119" t="s">
        <v>44</v>
      </c>
      <c r="K1065" s="119" t="s">
        <v>9</v>
      </c>
      <c r="L1065" s="119" t="s">
        <v>30</v>
      </c>
      <c r="M1065" s="119"/>
      <c r="N1065" s="119" t="s">
        <v>98</v>
      </c>
      <c r="O1065" s="174"/>
      <c r="P1065" s="174"/>
      <c r="Q1065" s="175"/>
    </row>
    <row r="1066">
      <c r="A1066" s="140"/>
      <c r="B1066" s="134" t="s">
        <v>18</v>
      </c>
      <c r="C1066" s="134" t="s">
        <v>74</v>
      </c>
      <c r="D1066" s="133" t="s">
        <v>488</v>
      </c>
      <c r="E1066" s="168">
        <v>42879.0</v>
      </c>
      <c r="F1066" s="22" t="str">
        <f t="shared" si="94"/>
        <v>May-2017</v>
      </c>
      <c r="G1066" s="16" t="s">
        <v>20</v>
      </c>
      <c r="H1066" s="16" t="s">
        <v>35</v>
      </c>
      <c r="I1066" s="48" t="s">
        <v>218</v>
      </c>
      <c r="J1066" s="16" t="s">
        <v>86</v>
      </c>
      <c r="K1066" s="16" t="s">
        <v>9</v>
      </c>
      <c r="L1066" s="16" t="s">
        <v>30</v>
      </c>
      <c r="M1066" s="16" t="s">
        <v>30</v>
      </c>
      <c r="N1066" s="16" t="s">
        <v>69</v>
      </c>
      <c r="O1066" s="16" t="s">
        <v>475</v>
      </c>
      <c r="P1066" s="16"/>
      <c r="Q1066" s="16" t="s">
        <v>476</v>
      </c>
    </row>
    <row r="1067">
      <c r="A1067" s="140"/>
      <c r="B1067" s="134" t="s">
        <v>18</v>
      </c>
      <c r="C1067" s="134" t="s">
        <v>74</v>
      </c>
      <c r="D1067" s="133" t="s">
        <v>488</v>
      </c>
      <c r="E1067" s="168">
        <v>42879.0</v>
      </c>
      <c r="F1067" s="22" t="str">
        <f t="shared" si="94"/>
        <v>May-2017</v>
      </c>
      <c r="G1067" s="17" t="s">
        <v>25</v>
      </c>
      <c r="H1067" s="16" t="s">
        <v>35</v>
      </c>
      <c r="I1067" s="48" t="s">
        <v>218</v>
      </c>
      <c r="J1067" s="16" t="s">
        <v>86</v>
      </c>
      <c r="K1067" s="16" t="s">
        <v>9</v>
      </c>
      <c r="L1067" s="16" t="s">
        <v>24</v>
      </c>
      <c r="M1067" s="16"/>
      <c r="N1067" s="16" t="s">
        <v>98</v>
      </c>
      <c r="O1067" s="16" t="s">
        <v>475</v>
      </c>
      <c r="P1067" s="16"/>
      <c r="Q1067" s="16" t="s">
        <v>476</v>
      </c>
    </row>
    <row r="1068">
      <c r="A1068" s="140"/>
      <c r="B1068" s="134" t="s">
        <v>18</v>
      </c>
      <c r="C1068" s="134" t="s">
        <v>74</v>
      </c>
      <c r="D1068" s="133" t="s">
        <v>488</v>
      </c>
      <c r="E1068" s="168">
        <v>42879.0</v>
      </c>
      <c r="F1068" s="22" t="str">
        <f t="shared" si="94"/>
        <v>May-2017</v>
      </c>
      <c r="G1068" s="16" t="s">
        <v>32</v>
      </c>
      <c r="H1068" s="16" t="s">
        <v>35</v>
      </c>
      <c r="I1068" s="48" t="s">
        <v>218</v>
      </c>
      <c r="J1068" s="16" t="s">
        <v>71</v>
      </c>
      <c r="K1068" s="16" t="s">
        <v>9</v>
      </c>
      <c r="L1068" s="16" t="s">
        <v>30</v>
      </c>
      <c r="M1068" s="16"/>
      <c r="N1068" s="16" t="s">
        <v>29</v>
      </c>
      <c r="O1068" s="16" t="s">
        <v>475</v>
      </c>
      <c r="P1068" s="16"/>
      <c r="Q1068" s="16" t="s">
        <v>476</v>
      </c>
    </row>
    <row r="1069">
      <c r="A1069" s="140"/>
      <c r="B1069" s="134" t="s">
        <v>18</v>
      </c>
      <c r="C1069" s="134" t="s">
        <v>74</v>
      </c>
      <c r="D1069" s="133" t="s">
        <v>488</v>
      </c>
      <c r="E1069" s="168">
        <v>42879.0</v>
      </c>
      <c r="F1069" s="22" t="str">
        <f t="shared" si="94"/>
        <v>May-2017</v>
      </c>
      <c r="G1069" s="119" t="s">
        <v>20</v>
      </c>
      <c r="H1069" s="119" t="s">
        <v>35</v>
      </c>
      <c r="I1069" s="126" t="s">
        <v>449</v>
      </c>
      <c r="J1069" s="119" t="s">
        <v>86</v>
      </c>
      <c r="K1069" s="119" t="s">
        <v>9</v>
      </c>
      <c r="L1069" s="119" t="s">
        <v>30</v>
      </c>
      <c r="M1069" s="119" t="s">
        <v>30</v>
      </c>
      <c r="N1069" s="119" t="s">
        <v>69</v>
      </c>
      <c r="O1069" s="174"/>
      <c r="P1069" s="174"/>
      <c r="Q1069" s="175"/>
    </row>
    <row r="1070">
      <c r="A1070" s="140"/>
      <c r="B1070" s="134" t="s">
        <v>18</v>
      </c>
      <c r="C1070" s="134" t="s">
        <v>74</v>
      </c>
      <c r="D1070" s="133" t="s">
        <v>488</v>
      </c>
      <c r="E1070" s="168">
        <v>42879.0</v>
      </c>
      <c r="F1070" s="22" t="str">
        <f t="shared" si="94"/>
        <v>May-2017</v>
      </c>
      <c r="G1070" s="91" t="s">
        <v>25</v>
      </c>
      <c r="H1070" s="119" t="s">
        <v>35</v>
      </c>
      <c r="I1070" s="126" t="s">
        <v>449</v>
      </c>
      <c r="J1070" s="119" t="s">
        <v>86</v>
      </c>
      <c r="K1070" s="119" t="s">
        <v>9</v>
      </c>
      <c r="L1070" s="119" t="s">
        <v>30</v>
      </c>
      <c r="M1070" s="119"/>
      <c r="N1070" s="119" t="s">
        <v>98</v>
      </c>
      <c r="O1070" s="174"/>
      <c r="P1070" s="174"/>
      <c r="Q1070" s="175"/>
    </row>
    <row r="1071">
      <c r="A1071" s="140"/>
      <c r="B1071" s="134" t="s">
        <v>18</v>
      </c>
      <c r="C1071" s="134" t="s">
        <v>74</v>
      </c>
      <c r="D1071" s="133" t="s">
        <v>488</v>
      </c>
      <c r="E1071" s="168">
        <v>42879.0</v>
      </c>
      <c r="F1071" s="22" t="str">
        <f>TEXT(E1068:E1071, "mmm") &amp; "-" &amp; TEXT(E1068:E1071, "yyyy") </f>
        <v>May-2017</v>
      </c>
      <c r="G1071" s="16" t="s">
        <v>20</v>
      </c>
      <c r="H1071" s="16" t="s">
        <v>35</v>
      </c>
      <c r="I1071" s="48" t="s">
        <v>213</v>
      </c>
      <c r="J1071" s="16" t="s">
        <v>9</v>
      </c>
      <c r="K1071" s="16" t="s">
        <v>9</v>
      </c>
      <c r="L1071" s="16" t="s">
        <v>24</v>
      </c>
      <c r="M1071" s="16" t="s">
        <v>24</v>
      </c>
      <c r="N1071" s="16" t="s">
        <v>69</v>
      </c>
      <c r="O1071" s="101"/>
      <c r="P1071" s="101"/>
      <c r="Q1071" s="102"/>
    </row>
    <row r="1072">
      <c r="A1072" s="141"/>
      <c r="B1072" s="134" t="s">
        <v>18</v>
      </c>
      <c r="C1072" s="134" t="s">
        <v>74</v>
      </c>
      <c r="D1072" s="133" t="s">
        <v>488</v>
      </c>
      <c r="E1072" s="168">
        <v>42879.0</v>
      </c>
      <c r="F1072" s="52" t="str">
        <f>TEXT(E1071:E1072, "mmm") &amp; "-" &amp; TEXT(E1071:E1072, "yyyy") </f>
        <v>May-2017</v>
      </c>
      <c r="G1072" s="93" t="s">
        <v>25</v>
      </c>
      <c r="H1072" s="38" t="s">
        <v>35</v>
      </c>
      <c r="I1072" s="122" t="s">
        <v>213</v>
      </c>
      <c r="J1072" s="38" t="s">
        <v>9</v>
      </c>
      <c r="K1072" s="38" t="s">
        <v>9</v>
      </c>
      <c r="L1072" s="38" t="s">
        <v>24</v>
      </c>
      <c r="M1072" s="38"/>
      <c r="N1072" s="38" t="s">
        <v>98</v>
      </c>
      <c r="O1072" s="105"/>
      <c r="P1072" s="105"/>
      <c r="Q1072" s="106"/>
    </row>
    <row r="1073">
      <c r="A1073" s="107"/>
      <c r="B1073" s="95"/>
      <c r="C1073" s="95"/>
      <c r="D1073" s="95"/>
      <c r="E1073" s="95"/>
      <c r="I1073" s="23"/>
    </row>
    <row r="1074">
      <c r="A1074" s="133" t="s">
        <v>491</v>
      </c>
      <c r="B1074" s="134" t="s">
        <v>151</v>
      </c>
      <c r="C1074" s="134" t="s">
        <v>74</v>
      </c>
      <c r="D1074" s="133" t="s">
        <v>491</v>
      </c>
      <c r="E1074" s="164">
        <v>42888.0</v>
      </c>
      <c r="F1074" s="85" t="str">
        <f t="shared" ref="F1074:F1080" si="95">TEXT(E1071:E1074, "mmm") &amp; "-" &amp; TEXT(E1071:E1074, "yyyy") </f>
        <v>Jun-2017</v>
      </c>
      <c r="G1074" s="218" t="s">
        <v>20</v>
      </c>
      <c r="H1074" s="218" t="s">
        <v>35</v>
      </c>
      <c r="I1074" s="86" t="s">
        <v>431</v>
      </c>
      <c r="J1074" s="73" t="s">
        <v>23</v>
      </c>
      <c r="K1074" s="73" t="s">
        <v>9</v>
      </c>
      <c r="L1074" s="73" t="s">
        <v>30</v>
      </c>
      <c r="M1074" s="73" t="s">
        <v>30</v>
      </c>
      <c r="N1074" s="73" t="s">
        <v>99</v>
      </c>
      <c r="O1074" s="165"/>
      <c r="P1074" s="165"/>
      <c r="Q1074" s="166"/>
    </row>
    <row r="1075">
      <c r="A1075" s="134" t="s">
        <v>151</v>
      </c>
      <c r="B1075" s="134" t="s">
        <v>151</v>
      </c>
      <c r="C1075" s="134" t="s">
        <v>74</v>
      </c>
      <c r="D1075" s="133" t="s">
        <v>491</v>
      </c>
      <c r="E1075" s="167">
        <v>42888.0</v>
      </c>
      <c r="F1075" s="22" t="str">
        <f t="shared" si="95"/>
        <v>Jun-2017</v>
      </c>
      <c r="G1075" s="91" t="s">
        <v>25</v>
      </c>
      <c r="H1075" s="119" t="s">
        <v>35</v>
      </c>
      <c r="I1075" s="80" t="s">
        <v>431</v>
      </c>
      <c r="J1075" s="25" t="s">
        <v>23</v>
      </c>
      <c r="K1075" s="25" t="s">
        <v>9</v>
      </c>
      <c r="L1075" s="25" t="s">
        <v>30</v>
      </c>
      <c r="M1075" s="25"/>
      <c r="N1075" s="25" t="s">
        <v>37</v>
      </c>
      <c r="Q1075" s="99"/>
    </row>
    <row r="1076">
      <c r="A1076" s="168">
        <v>42888.0</v>
      </c>
      <c r="B1076" s="134" t="s">
        <v>151</v>
      </c>
      <c r="C1076" s="134" t="s">
        <v>74</v>
      </c>
      <c r="D1076" s="133" t="s">
        <v>491</v>
      </c>
      <c r="E1076" s="167">
        <v>42888.0</v>
      </c>
      <c r="F1076" s="22" t="str">
        <f t="shared" si="95"/>
        <v>Jun-2017</v>
      </c>
      <c r="G1076" s="16" t="s">
        <v>20</v>
      </c>
      <c r="H1076" s="16" t="s">
        <v>35</v>
      </c>
      <c r="I1076" s="48" t="s">
        <v>239</v>
      </c>
      <c r="J1076" s="16" t="s">
        <v>27</v>
      </c>
      <c r="K1076" s="16" t="s">
        <v>9</v>
      </c>
      <c r="L1076" s="16" t="s">
        <v>24</v>
      </c>
      <c r="M1076" s="16" t="s">
        <v>24</v>
      </c>
      <c r="N1076" s="16" t="s">
        <v>69</v>
      </c>
      <c r="O1076" s="101"/>
      <c r="P1076" s="101"/>
      <c r="Q1076" s="102"/>
    </row>
    <row r="1077">
      <c r="A1077" s="176" t="s">
        <v>492</v>
      </c>
      <c r="B1077" s="134" t="s">
        <v>151</v>
      </c>
      <c r="C1077" s="134" t="s">
        <v>74</v>
      </c>
      <c r="D1077" s="133" t="s">
        <v>491</v>
      </c>
      <c r="E1077" s="167">
        <v>42888.0</v>
      </c>
      <c r="F1077" s="22" t="str">
        <f t="shared" si="95"/>
        <v>Jun-2017</v>
      </c>
      <c r="G1077" s="17" t="s">
        <v>25</v>
      </c>
      <c r="H1077" s="16" t="s">
        <v>35</v>
      </c>
      <c r="I1077" s="48" t="s">
        <v>239</v>
      </c>
      <c r="J1077" s="16" t="s">
        <v>27</v>
      </c>
      <c r="K1077" s="16" t="s">
        <v>9</v>
      </c>
      <c r="L1077" s="16" t="s">
        <v>24</v>
      </c>
      <c r="M1077" s="16"/>
      <c r="N1077" s="16" t="s">
        <v>98</v>
      </c>
      <c r="O1077" s="101"/>
      <c r="P1077" s="101"/>
      <c r="Q1077" s="102"/>
    </row>
    <row r="1078">
      <c r="A1078" s="134" t="s">
        <v>74</v>
      </c>
      <c r="B1078" s="134" t="s">
        <v>151</v>
      </c>
      <c r="C1078" s="134" t="s">
        <v>74</v>
      </c>
      <c r="D1078" s="133" t="s">
        <v>491</v>
      </c>
      <c r="E1078" s="167">
        <v>42888.0</v>
      </c>
      <c r="F1078" s="22" t="str">
        <f t="shared" si="95"/>
        <v>Jun-2017</v>
      </c>
      <c r="G1078" s="119" t="s">
        <v>20</v>
      </c>
      <c r="H1078" s="119" t="s">
        <v>35</v>
      </c>
      <c r="I1078" s="80" t="s">
        <v>493</v>
      </c>
      <c r="J1078" s="25" t="s">
        <v>44</v>
      </c>
      <c r="K1078" s="25" t="s">
        <v>9</v>
      </c>
      <c r="L1078" s="25" t="s">
        <v>24</v>
      </c>
      <c r="M1078" s="25" t="s">
        <v>24</v>
      </c>
      <c r="N1078" s="25" t="s">
        <v>98</v>
      </c>
      <c r="Q1078" s="99"/>
    </row>
    <row r="1079">
      <c r="A1079" s="140"/>
      <c r="B1079" s="134" t="s">
        <v>151</v>
      </c>
      <c r="C1079" s="134" t="s">
        <v>74</v>
      </c>
      <c r="D1079" s="133" t="s">
        <v>491</v>
      </c>
      <c r="E1079" s="167">
        <v>42888.0</v>
      </c>
      <c r="F1079" s="22" t="str">
        <f t="shared" si="95"/>
        <v>Jun-2017</v>
      </c>
      <c r="G1079" s="91" t="s">
        <v>25</v>
      </c>
      <c r="H1079" s="119" t="s">
        <v>35</v>
      </c>
      <c r="I1079" s="80" t="s">
        <v>493</v>
      </c>
      <c r="J1079" s="25" t="s">
        <v>44</v>
      </c>
      <c r="K1079" s="25" t="s">
        <v>9</v>
      </c>
      <c r="L1079" s="25" t="s">
        <v>30</v>
      </c>
      <c r="M1079" s="25"/>
      <c r="N1079" s="25" t="s">
        <v>99</v>
      </c>
      <c r="Q1079" s="99"/>
    </row>
    <row r="1080">
      <c r="A1080" s="141"/>
      <c r="B1080" s="134" t="s">
        <v>151</v>
      </c>
      <c r="C1080" s="134" t="s">
        <v>74</v>
      </c>
      <c r="D1080" s="133" t="s">
        <v>491</v>
      </c>
      <c r="E1080" s="169">
        <v>42888.0</v>
      </c>
      <c r="F1080" s="52" t="str">
        <f t="shared" si="95"/>
        <v>Jun-2017</v>
      </c>
      <c r="G1080" s="114" t="s">
        <v>32</v>
      </c>
      <c r="H1080" s="114" t="s">
        <v>35</v>
      </c>
      <c r="I1080" s="113" t="s">
        <v>493</v>
      </c>
      <c r="J1080" s="55" t="s">
        <v>44</v>
      </c>
      <c r="K1080" s="55" t="s">
        <v>9</v>
      </c>
      <c r="L1080" s="55" t="s">
        <v>24</v>
      </c>
      <c r="M1080" s="55"/>
      <c r="N1080" s="55" t="s">
        <v>69</v>
      </c>
      <c r="O1080" s="143"/>
      <c r="P1080" s="143"/>
      <c r="Q1080" s="144"/>
    </row>
    <row r="1081">
      <c r="A1081" s="107"/>
      <c r="B1081" s="95"/>
      <c r="C1081" s="95"/>
      <c r="D1081" s="95"/>
      <c r="E1081" s="95"/>
      <c r="I1081" s="23"/>
    </row>
    <row r="1082">
      <c r="A1082" s="133" t="s">
        <v>494</v>
      </c>
      <c r="B1082" s="134" t="s">
        <v>203</v>
      </c>
      <c r="C1082" s="134" t="s">
        <v>84</v>
      </c>
      <c r="D1082" s="133" t="s">
        <v>494</v>
      </c>
      <c r="E1082" s="164">
        <v>42889.0</v>
      </c>
      <c r="F1082" s="85" t="str">
        <f t="shared" ref="F1082:F1093" si="96">TEXT(E1079:E1082, "mmm") &amp; "-" &amp; TEXT(E1079:E1082, "yyyy") </f>
        <v>Jun-2017</v>
      </c>
      <c r="G1082" s="47" t="s">
        <v>20</v>
      </c>
      <c r="H1082" s="47" t="s">
        <v>287</v>
      </c>
      <c r="I1082" s="79" t="s">
        <v>495</v>
      </c>
      <c r="J1082" s="47" t="s">
        <v>23</v>
      </c>
      <c r="K1082" s="47" t="s">
        <v>9</v>
      </c>
      <c r="L1082" s="47" t="s">
        <v>30</v>
      </c>
      <c r="M1082" s="47" t="s">
        <v>30</v>
      </c>
      <c r="N1082" s="47" t="s">
        <v>99</v>
      </c>
      <c r="O1082" s="152"/>
      <c r="P1082" s="152"/>
      <c r="Q1082" s="153"/>
    </row>
    <row r="1083">
      <c r="A1083" s="134" t="s">
        <v>203</v>
      </c>
      <c r="B1083" s="134" t="s">
        <v>203</v>
      </c>
      <c r="C1083" s="134" t="s">
        <v>84</v>
      </c>
      <c r="D1083" s="133" t="s">
        <v>494</v>
      </c>
      <c r="E1083" s="167">
        <v>42889.0</v>
      </c>
      <c r="F1083" s="22" t="str">
        <f t="shared" si="96"/>
        <v>Jun-2017</v>
      </c>
      <c r="G1083" s="17" t="s">
        <v>25</v>
      </c>
      <c r="H1083" s="16" t="s">
        <v>287</v>
      </c>
      <c r="I1083" s="48" t="s">
        <v>495</v>
      </c>
      <c r="J1083" s="16" t="s">
        <v>23</v>
      </c>
      <c r="K1083" s="16" t="s">
        <v>9</v>
      </c>
      <c r="L1083" s="16" t="s">
        <v>30</v>
      </c>
      <c r="M1083" s="16"/>
      <c r="N1083" s="16" t="s">
        <v>99</v>
      </c>
      <c r="O1083" s="101"/>
      <c r="P1083" s="101"/>
      <c r="Q1083" s="102"/>
    </row>
    <row r="1084">
      <c r="A1084" s="134" t="s">
        <v>496</v>
      </c>
      <c r="B1084" s="134" t="s">
        <v>203</v>
      </c>
      <c r="C1084" s="134" t="s">
        <v>84</v>
      </c>
      <c r="D1084" s="133" t="s">
        <v>494</v>
      </c>
      <c r="E1084" s="167">
        <v>42889.0</v>
      </c>
      <c r="F1084" s="22" t="str">
        <f t="shared" si="96"/>
        <v>Jun-2017</v>
      </c>
      <c r="G1084" s="119" t="s">
        <v>20</v>
      </c>
      <c r="H1084" s="119" t="s">
        <v>287</v>
      </c>
      <c r="I1084" s="80" t="s">
        <v>245</v>
      </c>
      <c r="J1084" s="25" t="s">
        <v>27</v>
      </c>
      <c r="K1084" s="25" t="s">
        <v>9</v>
      </c>
      <c r="L1084" s="25" t="s">
        <v>30</v>
      </c>
      <c r="M1084" s="25" t="s">
        <v>30</v>
      </c>
      <c r="N1084" s="25" t="s">
        <v>99</v>
      </c>
      <c r="Q1084" s="99"/>
    </row>
    <row r="1085">
      <c r="A1085" s="168">
        <v>42889.0</v>
      </c>
      <c r="B1085" s="134" t="s">
        <v>203</v>
      </c>
      <c r="C1085" s="134" t="s">
        <v>84</v>
      </c>
      <c r="D1085" s="133" t="s">
        <v>494</v>
      </c>
      <c r="E1085" s="167">
        <v>42889.0</v>
      </c>
      <c r="F1085" s="22" t="str">
        <f t="shared" si="96"/>
        <v>Jun-2017</v>
      </c>
      <c r="G1085" s="91" t="s">
        <v>25</v>
      </c>
      <c r="H1085" s="119" t="s">
        <v>287</v>
      </c>
      <c r="I1085" s="80" t="s">
        <v>245</v>
      </c>
      <c r="J1085" s="25" t="s">
        <v>9</v>
      </c>
      <c r="K1085" s="25" t="s">
        <v>9</v>
      </c>
      <c r="L1085" s="25" t="s">
        <v>30</v>
      </c>
      <c r="M1085" s="25"/>
      <c r="N1085" s="25" t="s">
        <v>37</v>
      </c>
      <c r="Q1085" s="99"/>
    </row>
    <row r="1086">
      <c r="A1086" s="134" t="s">
        <v>84</v>
      </c>
      <c r="B1086" s="134" t="s">
        <v>203</v>
      </c>
      <c r="C1086" s="134" t="s">
        <v>84</v>
      </c>
      <c r="D1086" s="133" t="s">
        <v>494</v>
      </c>
      <c r="E1086" s="167">
        <v>42889.0</v>
      </c>
      <c r="F1086" s="22" t="str">
        <f t="shared" si="96"/>
        <v>Jun-2017</v>
      </c>
      <c r="G1086" s="16" t="s">
        <v>20</v>
      </c>
      <c r="H1086" s="16" t="s">
        <v>35</v>
      </c>
      <c r="I1086" s="48" t="s">
        <v>218</v>
      </c>
      <c r="J1086" s="16" t="s">
        <v>86</v>
      </c>
      <c r="K1086" s="16" t="s">
        <v>9</v>
      </c>
      <c r="L1086" s="16" t="s">
        <v>24</v>
      </c>
      <c r="M1086" s="16" t="s">
        <v>30</v>
      </c>
      <c r="N1086" s="16" t="s">
        <v>69</v>
      </c>
      <c r="O1086" s="16" t="s">
        <v>475</v>
      </c>
      <c r="P1086" s="16"/>
      <c r="Q1086" s="219" t="s">
        <v>476</v>
      </c>
    </row>
    <row r="1087">
      <c r="A1087" s="140"/>
      <c r="B1087" s="134" t="s">
        <v>203</v>
      </c>
      <c r="C1087" s="134" t="s">
        <v>84</v>
      </c>
      <c r="D1087" s="133" t="s">
        <v>494</v>
      </c>
      <c r="E1087" s="167">
        <v>42889.0</v>
      </c>
      <c r="F1087" s="22" t="str">
        <f t="shared" si="96"/>
        <v>Jun-2017</v>
      </c>
      <c r="G1087" s="17" t="s">
        <v>25</v>
      </c>
      <c r="H1087" s="16" t="s">
        <v>35</v>
      </c>
      <c r="I1087" s="48" t="s">
        <v>218</v>
      </c>
      <c r="J1087" s="16" t="s">
        <v>86</v>
      </c>
      <c r="K1087" s="16" t="s">
        <v>9</v>
      </c>
      <c r="L1087" s="16" t="s">
        <v>30</v>
      </c>
      <c r="M1087" s="16"/>
      <c r="N1087" s="16" t="s">
        <v>99</v>
      </c>
      <c r="O1087" s="16" t="s">
        <v>475</v>
      </c>
      <c r="P1087" s="16"/>
      <c r="Q1087" s="219" t="s">
        <v>476</v>
      </c>
    </row>
    <row r="1088">
      <c r="A1088" s="140"/>
      <c r="B1088" s="134" t="s">
        <v>203</v>
      </c>
      <c r="C1088" s="134" t="s">
        <v>84</v>
      </c>
      <c r="D1088" s="133" t="s">
        <v>494</v>
      </c>
      <c r="E1088" s="167">
        <v>42889.0</v>
      </c>
      <c r="F1088" s="22" t="str">
        <f t="shared" si="96"/>
        <v>Jun-2017</v>
      </c>
      <c r="G1088" s="16" t="s">
        <v>32</v>
      </c>
      <c r="H1088" s="16" t="s">
        <v>35</v>
      </c>
      <c r="I1088" s="48" t="s">
        <v>218</v>
      </c>
      <c r="J1088" s="16" t="s">
        <v>86</v>
      </c>
      <c r="K1088" s="16" t="s">
        <v>9</v>
      </c>
      <c r="L1088" s="16" t="s">
        <v>30</v>
      </c>
      <c r="M1088" s="16"/>
      <c r="N1088" s="16" t="s">
        <v>98</v>
      </c>
      <c r="O1088" s="16" t="s">
        <v>475</v>
      </c>
      <c r="P1088" s="16"/>
      <c r="Q1088" s="219" t="s">
        <v>476</v>
      </c>
    </row>
    <row r="1089">
      <c r="A1089" s="140"/>
      <c r="B1089" s="134" t="s">
        <v>203</v>
      </c>
      <c r="C1089" s="134" t="s">
        <v>84</v>
      </c>
      <c r="D1089" s="133" t="s">
        <v>494</v>
      </c>
      <c r="E1089" s="167">
        <v>42889.0</v>
      </c>
      <c r="F1089" s="22" t="str">
        <f t="shared" si="96"/>
        <v>Jun-2017</v>
      </c>
      <c r="G1089" s="119" t="s">
        <v>20</v>
      </c>
      <c r="H1089" s="119" t="s">
        <v>35</v>
      </c>
      <c r="I1089" s="80" t="s">
        <v>497</v>
      </c>
      <c r="J1089" s="25" t="s">
        <v>9</v>
      </c>
      <c r="K1089" s="25" t="s">
        <v>9</v>
      </c>
      <c r="L1089" s="25" t="s">
        <v>24</v>
      </c>
      <c r="M1089" s="25" t="s">
        <v>24</v>
      </c>
      <c r="N1089" s="25" t="s">
        <v>69</v>
      </c>
      <c r="Q1089" s="99"/>
    </row>
    <row r="1090">
      <c r="A1090" s="140"/>
      <c r="B1090" s="134" t="s">
        <v>203</v>
      </c>
      <c r="C1090" s="134" t="s">
        <v>84</v>
      </c>
      <c r="D1090" s="133" t="s">
        <v>494</v>
      </c>
      <c r="E1090" s="167">
        <v>42889.0</v>
      </c>
      <c r="F1090" s="22" t="str">
        <f t="shared" si="96"/>
        <v>Jun-2017</v>
      </c>
      <c r="G1090" s="91" t="s">
        <v>25</v>
      </c>
      <c r="H1090" s="119" t="s">
        <v>35</v>
      </c>
      <c r="I1090" s="80" t="s">
        <v>497</v>
      </c>
      <c r="J1090" s="25" t="s">
        <v>9</v>
      </c>
      <c r="K1090" s="25" t="s">
        <v>9</v>
      </c>
      <c r="L1090" s="25" t="s">
        <v>24</v>
      </c>
      <c r="M1090" s="25"/>
      <c r="N1090" s="25" t="s">
        <v>99</v>
      </c>
      <c r="Q1090" s="99"/>
    </row>
    <row r="1091">
      <c r="A1091" s="140"/>
      <c r="B1091" s="134" t="s">
        <v>203</v>
      </c>
      <c r="C1091" s="134" t="s">
        <v>84</v>
      </c>
      <c r="D1091" s="133" t="s">
        <v>494</v>
      </c>
      <c r="E1091" s="167">
        <v>42889.0</v>
      </c>
      <c r="F1091" s="22" t="str">
        <f t="shared" si="96"/>
        <v>Jun-2017</v>
      </c>
      <c r="G1091" s="16" t="s">
        <v>20</v>
      </c>
      <c r="H1091" s="16" t="s">
        <v>35</v>
      </c>
      <c r="I1091" s="48" t="s">
        <v>135</v>
      </c>
      <c r="J1091" s="16" t="s">
        <v>86</v>
      </c>
      <c r="K1091" s="16" t="s">
        <v>9</v>
      </c>
      <c r="L1091" s="16" t="s">
        <v>24</v>
      </c>
      <c r="M1091" s="16" t="s">
        <v>24</v>
      </c>
      <c r="N1091" s="16" t="s">
        <v>69</v>
      </c>
      <c r="O1091" s="101"/>
      <c r="P1091" s="101"/>
      <c r="Q1091" s="102"/>
    </row>
    <row r="1092">
      <c r="A1092" s="140"/>
      <c r="B1092" s="134" t="s">
        <v>203</v>
      </c>
      <c r="C1092" s="134" t="s">
        <v>84</v>
      </c>
      <c r="D1092" s="133" t="s">
        <v>494</v>
      </c>
      <c r="E1092" s="167">
        <v>42889.0</v>
      </c>
      <c r="F1092" s="22" t="str">
        <f t="shared" si="96"/>
        <v>Jun-2017</v>
      </c>
      <c r="G1092" s="17" t="s">
        <v>25</v>
      </c>
      <c r="H1092" s="16" t="s">
        <v>35</v>
      </c>
      <c r="I1092" s="48" t="s">
        <v>135</v>
      </c>
      <c r="J1092" s="16" t="s">
        <v>86</v>
      </c>
      <c r="K1092" s="16" t="s">
        <v>9</v>
      </c>
      <c r="L1092" s="16" t="s">
        <v>30</v>
      </c>
      <c r="M1092" s="16"/>
      <c r="N1092" s="16" t="s">
        <v>29</v>
      </c>
      <c r="O1092" s="101"/>
      <c r="P1092" s="101"/>
      <c r="Q1092" s="102"/>
    </row>
    <row r="1093">
      <c r="A1093" s="141"/>
      <c r="B1093" s="134" t="s">
        <v>203</v>
      </c>
      <c r="C1093" s="134" t="s">
        <v>84</v>
      </c>
      <c r="D1093" s="133" t="s">
        <v>494</v>
      </c>
      <c r="E1093" s="169">
        <v>42889.0</v>
      </c>
      <c r="F1093" s="52" t="str">
        <f t="shared" si="96"/>
        <v>Jun-2017</v>
      </c>
      <c r="G1093" s="38" t="s">
        <v>32</v>
      </c>
      <c r="H1093" s="38" t="s">
        <v>35</v>
      </c>
      <c r="I1093" s="122" t="s">
        <v>135</v>
      </c>
      <c r="J1093" s="38" t="s">
        <v>86</v>
      </c>
      <c r="K1093" s="38" t="s">
        <v>9</v>
      </c>
      <c r="L1093" s="38" t="s">
        <v>24</v>
      </c>
      <c r="M1093" s="38"/>
      <c r="N1093" s="38" t="s">
        <v>98</v>
      </c>
      <c r="O1093" s="105"/>
      <c r="P1093" s="105"/>
      <c r="Q1093" s="106"/>
    </row>
    <row r="1094">
      <c r="A1094" s="107"/>
      <c r="B1094" s="95"/>
      <c r="C1094" s="95"/>
      <c r="D1094" s="95"/>
      <c r="E1094" s="95"/>
      <c r="I1094" s="23"/>
    </row>
    <row r="1095">
      <c r="A1095" s="133" t="s">
        <v>498</v>
      </c>
      <c r="B1095" s="134" t="s">
        <v>18</v>
      </c>
      <c r="C1095" s="134" t="s">
        <v>74</v>
      </c>
      <c r="D1095" s="133" t="s">
        <v>498</v>
      </c>
      <c r="E1095" s="164">
        <v>42893.0</v>
      </c>
      <c r="F1095" s="85" t="str">
        <f t="shared" ref="F1095:F1106" si="97">TEXT(E1092:E1095, "mmm") &amp; "-" &amp; TEXT(E1092:E1095, "yyyy") </f>
        <v>Jun-2017</v>
      </c>
      <c r="G1095" s="218" t="s">
        <v>20</v>
      </c>
      <c r="H1095" s="218" t="s">
        <v>35</v>
      </c>
      <c r="I1095" s="86" t="s">
        <v>499</v>
      </c>
      <c r="J1095" s="73" t="s">
        <v>9</v>
      </c>
      <c r="K1095" s="73" t="s">
        <v>9</v>
      </c>
      <c r="L1095" s="73" t="s">
        <v>30</v>
      </c>
      <c r="M1095" s="73" t="s">
        <v>30</v>
      </c>
      <c r="N1095" s="73" t="s">
        <v>98</v>
      </c>
      <c r="O1095" s="165"/>
      <c r="P1095" s="165"/>
      <c r="Q1095" s="166"/>
    </row>
    <row r="1096">
      <c r="A1096" s="134" t="s">
        <v>18</v>
      </c>
      <c r="B1096" s="134" t="s">
        <v>18</v>
      </c>
      <c r="C1096" s="134" t="s">
        <v>74</v>
      </c>
      <c r="D1096" s="133" t="s">
        <v>498</v>
      </c>
      <c r="E1096" s="167">
        <v>42893.0</v>
      </c>
      <c r="F1096" s="22" t="str">
        <f t="shared" si="97"/>
        <v>Jun-2017</v>
      </c>
      <c r="G1096" s="91" t="s">
        <v>25</v>
      </c>
      <c r="H1096" s="119" t="s">
        <v>35</v>
      </c>
      <c r="I1096" s="80" t="s">
        <v>499</v>
      </c>
      <c r="J1096" s="25" t="s">
        <v>9</v>
      </c>
      <c r="K1096" s="25" t="s">
        <v>9</v>
      </c>
      <c r="L1096" s="25" t="s">
        <v>30</v>
      </c>
      <c r="M1096" s="25"/>
      <c r="N1096" s="25" t="s">
        <v>69</v>
      </c>
      <c r="Q1096" s="99"/>
    </row>
    <row r="1097">
      <c r="A1097" s="134" t="s">
        <v>331</v>
      </c>
      <c r="B1097" s="134" t="s">
        <v>18</v>
      </c>
      <c r="C1097" s="134" t="s">
        <v>74</v>
      </c>
      <c r="D1097" s="133" t="s">
        <v>498</v>
      </c>
      <c r="E1097" s="167">
        <v>42893.0</v>
      </c>
      <c r="F1097" s="22" t="str">
        <f t="shared" si="97"/>
        <v>Jun-2017</v>
      </c>
      <c r="G1097" s="16" t="s">
        <v>20</v>
      </c>
      <c r="H1097" s="16" t="s">
        <v>35</v>
      </c>
      <c r="I1097" s="48" t="s">
        <v>500</v>
      </c>
      <c r="J1097" s="16" t="s">
        <v>23</v>
      </c>
      <c r="K1097" s="16" t="s">
        <v>9</v>
      </c>
      <c r="L1097" s="16" t="s">
        <v>30</v>
      </c>
      <c r="M1097" s="16" t="s">
        <v>30</v>
      </c>
      <c r="N1097" s="16" t="s">
        <v>99</v>
      </c>
      <c r="O1097" s="101"/>
      <c r="P1097" s="101"/>
      <c r="Q1097" s="102"/>
    </row>
    <row r="1098">
      <c r="A1098" s="168">
        <v>42893.0</v>
      </c>
      <c r="B1098" s="134" t="s">
        <v>18</v>
      </c>
      <c r="C1098" s="134" t="s">
        <v>74</v>
      </c>
      <c r="D1098" s="133" t="s">
        <v>498</v>
      </c>
      <c r="E1098" s="167">
        <v>42893.0</v>
      </c>
      <c r="F1098" s="22" t="str">
        <f t="shared" si="97"/>
        <v>Jun-2017</v>
      </c>
      <c r="G1098" s="17" t="s">
        <v>25</v>
      </c>
      <c r="H1098" s="16" t="s">
        <v>35</v>
      </c>
      <c r="I1098" s="48" t="s">
        <v>500</v>
      </c>
      <c r="J1098" s="16" t="s">
        <v>23</v>
      </c>
      <c r="K1098" s="16" t="s">
        <v>9</v>
      </c>
      <c r="L1098" s="16" t="s">
        <v>30</v>
      </c>
      <c r="M1098" s="16"/>
      <c r="N1098" s="16" t="s">
        <v>69</v>
      </c>
      <c r="O1098" s="101"/>
      <c r="P1098" s="101"/>
      <c r="Q1098" s="102"/>
    </row>
    <row r="1099">
      <c r="A1099" s="134" t="s">
        <v>74</v>
      </c>
      <c r="B1099" s="134" t="s">
        <v>18</v>
      </c>
      <c r="C1099" s="134" t="s">
        <v>74</v>
      </c>
      <c r="D1099" s="133" t="s">
        <v>498</v>
      </c>
      <c r="E1099" s="167">
        <v>42893.0</v>
      </c>
      <c r="F1099" s="22" t="str">
        <f t="shared" si="97"/>
        <v>Jun-2017</v>
      </c>
      <c r="G1099" s="119" t="s">
        <v>20</v>
      </c>
      <c r="H1099" s="119" t="s">
        <v>35</v>
      </c>
      <c r="I1099" s="80" t="s">
        <v>501</v>
      </c>
      <c r="J1099" s="25" t="s">
        <v>102</v>
      </c>
      <c r="K1099" s="25" t="s">
        <v>9</v>
      </c>
      <c r="L1099" s="25" t="s">
        <v>24</v>
      </c>
      <c r="M1099" s="25" t="s">
        <v>24</v>
      </c>
      <c r="N1099" s="25" t="s">
        <v>98</v>
      </c>
      <c r="Q1099" s="99"/>
    </row>
    <row r="1100">
      <c r="A1100" s="140"/>
      <c r="B1100" s="134" t="s">
        <v>18</v>
      </c>
      <c r="C1100" s="134" t="s">
        <v>74</v>
      </c>
      <c r="D1100" s="133" t="s">
        <v>498</v>
      </c>
      <c r="E1100" s="167">
        <v>42893.0</v>
      </c>
      <c r="F1100" s="22" t="str">
        <f t="shared" si="97"/>
        <v>Jun-2017</v>
      </c>
      <c r="G1100" s="91" t="s">
        <v>25</v>
      </c>
      <c r="H1100" s="119" t="s">
        <v>35</v>
      </c>
      <c r="I1100" s="80" t="s">
        <v>501</v>
      </c>
      <c r="J1100" s="25" t="s">
        <v>102</v>
      </c>
      <c r="K1100" s="25" t="s">
        <v>9</v>
      </c>
      <c r="L1100" s="25" t="s">
        <v>30</v>
      </c>
      <c r="M1100" s="25"/>
      <c r="N1100" s="25" t="s">
        <v>69</v>
      </c>
      <c r="Q1100" s="99"/>
    </row>
    <row r="1101">
      <c r="A1101" s="140"/>
      <c r="B1101" s="134" t="s">
        <v>18</v>
      </c>
      <c r="C1101" s="134" t="s">
        <v>74</v>
      </c>
      <c r="D1101" s="133" t="s">
        <v>498</v>
      </c>
      <c r="E1101" s="167">
        <v>42893.0</v>
      </c>
      <c r="F1101" s="22" t="str">
        <f t="shared" si="97"/>
        <v>Jun-2017</v>
      </c>
      <c r="G1101" s="119" t="s">
        <v>32</v>
      </c>
      <c r="H1101" s="119" t="s">
        <v>35</v>
      </c>
      <c r="I1101" s="80" t="s">
        <v>501</v>
      </c>
      <c r="J1101" s="25" t="s">
        <v>102</v>
      </c>
      <c r="K1101" s="25" t="s">
        <v>9</v>
      </c>
      <c r="L1101" s="25" t="s">
        <v>24</v>
      </c>
      <c r="M1101" s="25"/>
      <c r="N1101" s="25" t="s">
        <v>37</v>
      </c>
      <c r="Q1101" s="99"/>
    </row>
    <row r="1102">
      <c r="A1102" s="140"/>
      <c r="B1102" s="134" t="s">
        <v>18</v>
      </c>
      <c r="C1102" s="134" t="s">
        <v>74</v>
      </c>
      <c r="D1102" s="133" t="s">
        <v>498</v>
      </c>
      <c r="E1102" s="167">
        <v>42893.0</v>
      </c>
      <c r="F1102" s="22" t="str">
        <f t="shared" si="97"/>
        <v>Jun-2017</v>
      </c>
      <c r="G1102" s="16" t="s">
        <v>20</v>
      </c>
      <c r="H1102" s="16" t="s">
        <v>35</v>
      </c>
      <c r="I1102" s="48" t="s">
        <v>93</v>
      </c>
      <c r="J1102" s="16" t="s">
        <v>23</v>
      </c>
      <c r="K1102" s="16" t="s">
        <v>9</v>
      </c>
      <c r="L1102" s="16" t="s">
        <v>24</v>
      </c>
      <c r="M1102" s="16" t="s">
        <v>30</v>
      </c>
      <c r="N1102" s="16" t="s">
        <v>29</v>
      </c>
      <c r="O1102" s="16" t="s">
        <v>475</v>
      </c>
      <c r="P1102" s="16"/>
      <c r="Q1102" s="219" t="s">
        <v>476</v>
      </c>
    </row>
    <row r="1103">
      <c r="A1103" s="140"/>
      <c r="B1103" s="134" t="s">
        <v>18</v>
      </c>
      <c r="C1103" s="134" t="s">
        <v>74</v>
      </c>
      <c r="D1103" s="133" t="s">
        <v>498</v>
      </c>
      <c r="E1103" s="167">
        <v>42893.0</v>
      </c>
      <c r="F1103" s="22" t="str">
        <f t="shared" si="97"/>
        <v>Jun-2017</v>
      </c>
      <c r="G1103" s="17" t="s">
        <v>25</v>
      </c>
      <c r="H1103" s="16" t="s">
        <v>35</v>
      </c>
      <c r="I1103" s="48" t="s">
        <v>93</v>
      </c>
      <c r="J1103" s="16" t="s">
        <v>23</v>
      </c>
      <c r="K1103" s="16" t="s">
        <v>9</v>
      </c>
      <c r="L1103" s="16" t="s">
        <v>30</v>
      </c>
      <c r="M1103" s="16"/>
      <c r="N1103" s="16" t="s">
        <v>99</v>
      </c>
      <c r="O1103" s="16" t="s">
        <v>475</v>
      </c>
      <c r="P1103" s="16"/>
      <c r="Q1103" s="219" t="s">
        <v>476</v>
      </c>
    </row>
    <row r="1104">
      <c r="A1104" s="140"/>
      <c r="B1104" s="134" t="s">
        <v>18</v>
      </c>
      <c r="C1104" s="134" t="s">
        <v>74</v>
      </c>
      <c r="D1104" s="133" t="s">
        <v>498</v>
      </c>
      <c r="E1104" s="167">
        <v>42893.0</v>
      </c>
      <c r="F1104" s="22" t="str">
        <f t="shared" si="97"/>
        <v>Jun-2017</v>
      </c>
      <c r="G1104" s="16" t="s">
        <v>32</v>
      </c>
      <c r="H1104" s="16" t="s">
        <v>35</v>
      </c>
      <c r="I1104" s="48" t="s">
        <v>93</v>
      </c>
      <c r="J1104" s="16" t="s">
        <v>23</v>
      </c>
      <c r="K1104" s="16" t="s">
        <v>9</v>
      </c>
      <c r="L1104" s="16" t="s">
        <v>30</v>
      </c>
      <c r="M1104" s="16"/>
      <c r="N1104" s="16" t="s">
        <v>98</v>
      </c>
      <c r="O1104" s="16" t="s">
        <v>475</v>
      </c>
      <c r="P1104" s="16"/>
      <c r="Q1104" s="219" t="s">
        <v>476</v>
      </c>
    </row>
    <row r="1105">
      <c r="A1105" s="140"/>
      <c r="B1105" s="134" t="s">
        <v>18</v>
      </c>
      <c r="C1105" s="134" t="s">
        <v>74</v>
      </c>
      <c r="D1105" s="133" t="s">
        <v>498</v>
      </c>
      <c r="E1105" s="167">
        <v>42893.0</v>
      </c>
      <c r="F1105" s="22" t="str">
        <f t="shared" si="97"/>
        <v>Jun-2017</v>
      </c>
      <c r="G1105" s="119" t="s">
        <v>20</v>
      </c>
      <c r="H1105" s="119" t="s">
        <v>35</v>
      </c>
      <c r="I1105" s="80" t="s">
        <v>453</v>
      </c>
      <c r="J1105" s="25" t="s">
        <v>23</v>
      </c>
      <c r="K1105" s="25" t="s">
        <v>9</v>
      </c>
      <c r="L1105" s="25" t="s">
        <v>24</v>
      </c>
      <c r="M1105" s="25" t="s">
        <v>24</v>
      </c>
      <c r="N1105" s="25" t="s">
        <v>99</v>
      </c>
      <c r="Q1105" s="99"/>
    </row>
    <row r="1106">
      <c r="A1106" s="141"/>
      <c r="B1106" s="134" t="s">
        <v>18</v>
      </c>
      <c r="C1106" s="134" t="s">
        <v>74</v>
      </c>
      <c r="D1106" s="133" t="s">
        <v>498</v>
      </c>
      <c r="E1106" s="169">
        <v>42893.0</v>
      </c>
      <c r="F1106" s="52" t="str">
        <f t="shared" si="97"/>
        <v>Jun-2017</v>
      </c>
      <c r="G1106" s="129" t="s">
        <v>25</v>
      </c>
      <c r="H1106" s="114" t="s">
        <v>35</v>
      </c>
      <c r="I1106" s="113" t="s">
        <v>453</v>
      </c>
      <c r="J1106" s="55" t="s">
        <v>23</v>
      </c>
      <c r="K1106" s="55" t="s">
        <v>9</v>
      </c>
      <c r="L1106" s="55" t="s">
        <v>24</v>
      </c>
      <c r="M1106" s="55"/>
      <c r="N1106" s="55" t="s">
        <v>69</v>
      </c>
      <c r="O1106" s="143"/>
      <c r="P1106" s="143"/>
      <c r="Q1106" s="144"/>
    </row>
    <row r="1107">
      <c r="A1107" s="107"/>
      <c r="B1107" s="95"/>
      <c r="C1107" s="95"/>
      <c r="D1107" s="95"/>
      <c r="E1107" s="95"/>
      <c r="I1107" s="23"/>
    </row>
    <row r="1108">
      <c r="A1108" s="133" t="s">
        <v>502</v>
      </c>
      <c r="B1108" s="134" t="s">
        <v>18</v>
      </c>
      <c r="C1108" s="134" t="s">
        <v>427</v>
      </c>
      <c r="D1108" s="133" t="s">
        <v>502</v>
      </c>
      <c r="E1108" s="164">
        <v>42898.0</v>
      </c>
      <c r="F1108" s="85" t="str">
        <f t="shared" ref="F1108:F1122" si="98">TEXT(E1105:E1108, "mmm") &amp; "-" &amp; TEXT(E1105:E1108, "yyyy") </f>
        <v>Jun-2017</v>
      </c>
      <c r="G1108" s="47" t="s">
        <v>20</v>
      </c>
      <c r="H1108" s="47" t="s">
        <v>35</v>
      </c>
      <c r="I1108" s="79" t="s">
        <v>503</v>
      </c>
      <c r="J1108" s="47" t="s">
        <v>102</v>
      </c>
      <c r="K1108" s="47" t="s">
        <v>9</v>
      </c>
      <c r="L1108" s="47" t="s">
        <v>30</v>
      </c>
      <c r="M1108" s="47" t="s">
        <v>30</v>
      </c>
      <c r="N1108" s="47" t="s">
        <v>99</v>
      </c>
      <c r="O1108" s="152"/>
      <c r="P1108" s="152"/>
      <c r="Q1108" s="153"/>
    </row>
    <row r="1109">
      <c r="A1109" s="134" t="s">
        <v>18</v>
      </c>
      <c r="B1109" s="134" t="s">
        <v>18</v>
      </c>
      <c r="C1109" s="134" t="s">
        <v>427</v>
      </c>
      <c r="D1109" s="133" t="s">
        <v>502</v>
      </c>
      <c r="E1109" s="167">
        <v>42898.0</v>
      </c>
      <c r="F1109" s="22" t="str">
        <f t="shared" si="98"/>
        <v>Jun-2017</v>
      </c>
      <c r="G1109" s="17" t="s">
        <v>25</v>
      </c>
      <c r="H1109" s="16" t="s">
        <v>35</v>
      </c>
      <c r="I1109" s="48" t="s">
        <v>503</v>
      </c>
      <c r="J1109" s="16" t="s">
        <v>102</v>
      </c>
      <c r="K1109" s="16" t="s">
        <v>9</v>
      </c>
      <c r="L1109" s="16" t="s">
        <v>30</v>
      </c>
      <c r="M1109" s="16"/>
      <c r="N1109" s="16" t="s">
        <v>37</v>
      </c>
      <c r="O1109" s="101"/>
      <c r="P1109" s="101"/>
      <c r="Q1109" s="102"/>
    </row>
    <row r="1110">
      <c r="A1110" s="134" t="s">
        <v>504</v>
      </c>
      <c r="B1110" s="134" t="s">
        <v>18</v>
      </c>
      <c r="C1110" s="134" t="s">
        <v>427</v>
      </c>
      <c r="D1110" s="133" t="s">
        <v>505</v>
      </c>
      <c r="E1110" s="167">
        <v>42898.0</v>
      </c>
      <c r="F1110" s="22" t="str">
        <f t="shared" si="98"/>
        <v>Jun-2017</v>
      </c>
      <c r="G1110" s="119" t="s">
        <v>20</v>
      </c>
      <c r="H1110" s="119" t="s">
        <v>35</v>
      </c>
      <c r="I1110" s="80" t="s">
        <v>135</v>
      </c>
      <c r="J1110" s="25" t="s">
        <v>86</v>
      </c>
      <c r="K1110" s="25" t="s">
        <v>9</v>
      </c>
      <c r="L1110" s="25" t="s">
        <v>24</v>
      </c>
      <c r="M1110" s="25" t="s">
        <v>24</v>
      </c>
      <c r="N1110" s="25" t="s">
        <v>69</v>
      </c>
      <c r="Q1110" s="99"/>
    </row>
    <row r="1111">
      <c r="A1111" s="168">
        <v>42898.0</v>
      </c>
      <c r="B1111" s="134" t="s">
        <v>18</v>
      </c>
      <c r="C1111" s="134" t="s">
        <v>427</v>
      </c>
      <c r="D1111" s="133" t="s">
        <v>505</v>
      </c>
      <c r="E1111" s="167">
        <v>42898.0</v>
      </c>
      <c r="F1111" s="22" t="str">
        <f t="shared" si="98"/>
        <v>Jun-2017</v>
      </c>
      <c r="G1111" s="91" t="s">
        <v>25</v>
      </c>
      <c r="H1111" s="119" t="s">
        <v>35</v>
      </c>
      <c r="I1111" s="80" t="s">
        <v>135</v>
      </c>
      <c r="J1111" s="25" t="s">
        <v>86</v>
      </c>
      <c r="K1111" s="25" t="s">
        <v>9</v>
      </c>
      <c r="L1111" s="25" t="s">
        <v>30</v>
      </c>
      <c r="M1111" s="25"/>
      <c r="N1111" s="25" t="s">
        <v>99</v>
      </c>
      <c r="Q1111" s="99"/>
    </row>
    <row r="1112">
      <c r="A1112" s="134" t="s">
        <v>427</v>
      </c>
      <c r="B1112" s="134" t="s">
        <v>18</v>
      </c>
      <c r="C1112" s="134" t="s">
        <v>427</v>
      </c>
      <c r="D1112" s="133" t="s">
        <v>505</v>
      </c>
      <c r="E1112" s="167">
        <v>42898.0</v>
      </c>
      <c r="F1112" s="22" t="str">
        <f t="shared" si="98"/>
        <v>Jun-2017</v>
      </c>
      <c r="G1112" s="119" t="s">
        <v>32</v>
      </c>
      <c r="H1112" s="119" t="s">
        <v>35</v>
      </c>
      <c r="I1112" s="80" t="s">
        <v>135</v>
      </c>
      <c r="J1112" s="25" t="s">
        <v>86</v>
      </c>
      <c r="K1112" s="25" t="s">
        <v>9</v>
      </c>
      <c r="L1112" s="25" t="s">
        <v>24</v>
      </c>
      <c r="M1112" s="25"/>
      <c r="N1112" s="25" t="s">
        <v>98</v>
      </c>
      <c r="Q1112" s="99"/>
    </row>
    <row r="1113">
      <c r="A1113" s="140"/>
      <c r="B1113" s="134" t="s">
        <v>18</v>
      </c>
      <c r="C1113" s="134" t="s">
        <v>427</v>
      </c>
      <c r="D1113" s="133" t="s">
        <v>505</v>
      </c>
      <c r="E1113" s="167">
        <v>42898.0</v>
      </c>
      <c r="F1113" s="22" t="str">
        <f t="shared" si="98"/>
        <v>Jun-2017</v>
      </c>
      <c r="G1113" s="16" t="s">
        <v>20</v>
      </c>
      <c r="H1113" s="16" t="s">
        <v>35</v>
      </c>
      <c r="I1113" s="48" t="s">
        <v>219</v>
      </c>
      <c r="J1113" s="16" t="s">
        <v>97</v>
      </c>
      <c r="K1113" s="16" t="s">
        <v>9</v>
      </c>
      <c r="L1113" s="16" t="s">
        <v>30</v>
      </c>
      <c r="M1113" s="16" t="s">
        <v>30</v>
      </c>
      <c r="N1113" s="16" t="s">
        <v>69</v>
      </c>
      <c r="O1113" s="101"/>
      <c r="P1113" s="101"/>
      <c r="Q1113" s="102"/>
    </row>
    <row r="1114">
      <c r="A1114" s="140"/>
      <c r="B1114" s="134" t="s">
        <v>18</v>
      </c>
      <c r="C1114" s="134" t="s">
        <v>427</v>
      </c>
      <c r="D1114" s="133" t="s">
        <v>505</v>
      </c>
      <c r="E1114" s="167">
        <v>42898.0</v>
      </c>
      <c r="F1114" s="22" t="str">
        <f t="shared" si="98"/>
        <v>Jun-2017</v>
      </c>
      <c r="G1114" s="17" t="s">
        <v>25</v>
      </c>
      <c r="H1114" s="16" t="s">
        <v>35</v>
      </c>
      <c r="I1114" s="48" t="s">
        <v>219</v>
      </c>
      <c r="J1114" s="16" t="s">
        <v>97</v>
      </c>
      <c r="K1114" s="16" t="s">
        <v>9</v>
      </c>
      <c r="L1114" s="16" t="s">
        <v>30</v>
      </c>
      <c r="M1114" s="16"/>
      <c r="N1114" s="16" t="s">
        <v>106</v>
      </c>
      <c r="O1114" s="101"/>
      <c r="P1114" s="101"/>
      <c r="Q1114" s="102"/>
    </row>
    <row r="1115">
      <c r="A1115" s="140"/>
      <c r="B1115" s="134" t="s">
        <v>18</v>
      </c>
      <c r="C1115" s="134" t="s">
        <v>427</v>
      </c>
      <c r="D1115" s="133" t="s">
        <v>505</v>
      </c>
      <c r="E1115" s="167">
        <v>42898.0</v>
      </c>
      <c r="F1115" s="22" t="str">
        <f t="shared" si="98"/>
        <v>Jun-2017</v>
      </c>
      <c r="G1115" s="119" t="s">
        <v>20</v>
      </c>
      <c r="H1115" s="119" t="s">
        <v>35</v>
      </c>
      <c r="I1115" s="80" t="s">
        <v>506</v>
      </c>
      <c r="J1115" s="25" t="s">
        <v>9</v>
      </c>
      <c r="K1115" s="25" t="s">
        <v>9</v>
      </c>
      <c r="L1115" s="25" t="s">
        <v>30</v>
      </c>
      <c r="M1115" s="25" t="s">
        <v>30</v>
      </c>
      <c r="N1115" s="25" t="s">
        <v>98</v>
      </c>
      <c r="Q1115" s="99"/>
    </row>
    <row r="1116">
      <c r="A1116" s="140"/>
      <c r="B1116" s="134" t="s">
        <v>18</v>
      </c>
      <c r="C1116" s="134" t="s">
        <v>427</v>
      </c>
      <c r="D1116" s="133" t="s">
        <v>505</v>
      </c>
      <c r="E1116" s="167">
        <v>42898.0</v>
      </c>
      <c r="F1116" s="22" t="str">
        <f t="shared" si="98"/>
        <v>Jun-2017</v>
      </c>
      <c r="G1116" s="91" t="s">
        <v>25</v>
      </c>
      <c r="H1116" s="119" t="s">
        <v>35</v>
      </c>
      <c r="I1116" s="80" t="s">
        <v>506</v>
      </c>
      <c r="J1116" s="25" t="s">
        <v>9</v>
      </c>
      <c r="K1116" s="25" t="s">
        <v>9</v>
      </c>
      <c r="L1116" s="25" t="s">
        <v>30</v>
      </c>
      <c r="M1116" s="25"/>
      <c r="N1116" s="25" t="s">
        <v>37</v>
      </c>
      <c r="Q1116" s="99"/>
    </row>
    <row r="1117">
      <c r="A1117" s="140"/>
      <c r="B1117" s="134" t="s">
        <v>18</v>
      </c>
      <c r="C1117" s="134" t="s">
        <v>427</v>
      </c>
      <c r="D1117" s="133" t="s">
        <v>505</v>
      </c>
      <c r="E1117" s="167">
        <v>42898.0</v>
      </c>
      <c r="F1117" s="22" t="str">
        <f t="shared" si="98"/>
        <v>Jun-2017</v>
      </c>
      <c r="G1117" s="16" t="s">
        <v>20</v>
      </c>
      <c r="H1117" s="16" t="s">
        <v>35</v>
      </c>
      <c r="I1117" s="48" t="s">
        <v>133</v>
      </c>
      <c r="J1117" s="16" t="s">
        <v>27</v>
      </c>
      <c r="K1117" s="16" t="s">
        <v>9</v>
      </c>
      <c r="L1117" s="16" t="s">
        <v>30</v>
      </c>
      <c r="M1117" s="16" t="s">
        <v>30</v>
      </c>
      <c r="N1117" s="16" t="s">
        <v>98</v>
      </c>
      <c r="O1117" s="101"/>
      <c r="P1117" s="101"/>
      <c r="Q1117" s="102"/>
    </row>
    <row r="1118">
      <c r="A1118" s="140"/>
      <c r="B1118" s="134" t="s">
        <v>18</v>
      </c>
      <c r="C1118" s="134" t="s">
        <v>427</v>
      </c>
      <c r="D1118" s="133" t="s">
        <v>505</v>
      </c>
      <c r="E1118" s="167">
        <v>42898.0</v>
      </c>
      <c r="F1118" s="22" t="str">
        <f t="shared" si="98"/>
        <v>Jun-2017</v>
      </c>
      <c r="G1118" s="17" t="s">
        <v>25</v>
      </c>
      <c r="H1118" s="16" t="s">
        <v>35</v>
      </c>
      <c r="I1118" s="48" t="s">
        <v>133</v>
      </c>
      <c r="J1118" s="16" t="s">
        <v>27</v>
      </c>
      <c r="K1118" s="16" t="s">
        <v>9</v>
      </c>
      <c r="L1118" s="16" t="s">
        <v>30</v>
      </c>
      <c r="M1118" s="16"/>
      <c r="N1118" s="16" t="s">
        <v>106</v>
      </c>
      <c r="O1118" s="101"/>
      <c r="P1118" s="101"/>
      <c r="Q1118" s="102"/>
    </row>
    <row r="1119">
      <c r="A1119" s="140"/>
      <c r="B1119" s="134" t="s">
        <v>18</v>
      </c>
      <c r="C1119" s="134" t="s">
        <v>427</v>
      </c>
      <c r="D1119" s="133" t="s">
        <v>505</v>
      </c>
      <c r="E1119" s="167">
        <v>42898.0</v>
      </c>
      <c r="F1119" s="22" t="str">
        <f t="shared" si="98"/>
        <v>Jun-2017</v>
      </c>
      <c r="G1119" s="119" t="s">
        <v>20</v>
      </c>
      <c r="H1119" s="119" t="s">
        <v>35</v>
      </c>
      <c r="I1119" s="80" t="s">
        <v>114</v>
      </c>
      <c r="J1119" s="25" t="s">
        <v>27</v>
      </c>
      <c r="K1119" s="25" t="s">
        <v>9</v>
      </c>
      <c r="L1119" s="25" t="s">
        <v>30</v>
      </c>
      <c r="M1119" s="25" t="s">
        <v>30</v>
      </c>
      <c r="N1119" s="25" t="s">
        <v>69</v>
      </c>
      <c r="Q1119" s="99"/>
    </row>
    <row r="1120">
      <c r="A1120" s="140"/>
      <c r="B1120" s="134" t="s">
        <v>18</v>
      </c>
      <c r="C1120" s="134" t="s">
        <v>427</v>
      </c>
      <c r="D1120" s="133" t="s">
        <v>505</v>
      </c>
      <c r="E1120" s="167">
        <v>42898.0</v>
      </c>
      <c r="F1120" s="22" t="str">
        <f t="shared" si="98"/>
        <v>Jun-2017</v>
      </c>
      <c r="G1120" s="91" t="s">
        <v>25</v>
      </c>
      <c r="H1120" s="119" t="s">
        <v>35</v>
      </c>
      <c r="I1120" s="80" t="s">
        <v>114</v>
      </c>
      <c r="J1120" s="25" t="s">
        <v>27</v>
      </c>
      <c r="K1120" s="25" t="s">
        <v>9</v>
      </c>
      <c r="L1120" s="25" t="s">
        <v>30</v>
      </c>
      <c r="M1120" s="25"/>
      <c r="N1120" s="25" t="s">
        <v>99</v>
      </c>
      <c r="Q1120" s="99"/>
    </row>
    <row r="1121">
      <c r="A1121" s="140"/>
      <c r="B1121" s="134" t="s">
        <v>18</v>
      </c>
      <c r="C1121" s="134" t="s">
        <v>427</v>
      </c>
      <c r="D1121" s="133" t="s">
        <v>505</v>
      </c>
      <c r="E1121" s="167">
        <v>42898.0</v>
      </c>
      <c r="F1121" s="22" t="str">
        <f t="shared" si="98"/>
        <v>Jun-2017</v>
      </c>
      <c r="G1121" s="16" t="s">
        <v>20</v>
      </c>
      <c r="H1121" s="16" t="s">
        <v>35</v>
      </c>
      <c r="I1121" s="48" t="s">
        <v>184</v>
      </c>
      <c r="J1121" s="16" t="s">
        <v>9</v>
      </c>
      <c r="K1121" s="16" t="s">
        <v>9</v>
      </c>
      <c r="L1121" s="16" t="s">
        <v>24</v>
      </c>
      <c r="M1121" s="16" t="s">
        <v>24</v>
      </c>
      <c r="N1121" s="16" t="s">
        <v>69</v>
      </c>
      <c r="O1121" s="101"/>
      <c r="P1121" s="101"/>
      <c r="Q1121" s="102"/>
    </row>
    <row r="1122">
      <c r="A1122" s="141"/>
      <c r="B1122" s="134" t="s">
        <v>18</v>
      </c>
      <c r="C1122" s="134" t="s">
        <v>427</v>
      </c>
      <c r="D1122" s="133" t="s">
        <v>505</v>
      </c>
      <c r="E1122" s="169">
        <v>42898.0</v>
      </c>
      <c r="F1122" s="52" t="str">
        <f t="shared" si="98"/>
        <v>Jun-2017</v>
      </c>
      <c r="G1122" s="93" t="s">
        <v>25</v>
      </c>
      <c r="H1122" s="38" t="s">
        <v>35</v>
      </c>
      <c r="I1122" s="122" t="s">
        <v>184</v>
      </c>
      <c r="J1122" s="38" t="s">
        <v>44</v>
      </c>
      <c r="K1122" s="38" t="s">
        <v>9</v>
      </c>
      <c r="L1122" s="38" t="s">
        <v>24</v>
      </c>
      <c r="M1122" s="38"/>
      <c r="N1122" s="38" t="s">
        <v>99</v>
      </c>
      <c r="O1122" s="105"/>
      <c r="P1122" s="105"/>
      <c r="Q1122" s="106"/>
    </row>
    <row r="1123">
      <c r="A1123" s="107"/>
      <c r="B1123" s="95"/>
      <c r="C1123" s="95"/>
      <c r="D1123" s="95"/>
      <c r="E1123" s="95"/>
      <c r="I1123" s="23"/>
    </row>
    <row r="1124">
      <c r="A1124" s="133" t="s">
        <v>507</v>
      </c>
      <c r="B1124" s="134" t="s">
        <v>18</v>
      </c>
      <c r="C1124" s="134" t="s">
        <v>74</v>
      </c>
      <c r="D1124" s="133" t="s">
        <v>507</v>
      </c>
      <c r="E1124" s="164">
        <v>42900.0</v>
      </c>
      <c r="F1124" s="85" t="str">
        <f t="shared" ref="F1124:F1134" si="99">TEXT(E1121:E1124, "mmm") &amp; "-" &amp; TEXT(E1121:E1124, "yyyy") </f>
        <v>Jun-2017</v>
      </c>
      <c r="G1124" s="218" t="s">
        <v>20</v>
      </c>
      <c r="H1124" s="218" t="s">
        <v>35</v>
      </c>
      <c r="I1124" s="86" t="s">
        <v>276</v>
      </c>
      <c r="J1124" s="73" t="s">
        <v>48</v>
      </c>
      <c r="K1124" s="73" t="s">
        <v>9</v>
      </c>
      <c r="L1124" s="73" t="s">
        <v>30</v>
      </c>
      <c r="M1124" s="73" t="s">
        <v>30</v>
      </c>
      <c r="N1124" s="73" t="s">
        <v>98</v>
      </c>
      <c r="O1124" s="165"/>
      <c r="P1124" s="165"/>
      <c r="Q1124" s="166"/>
    </row>
    <row r="1125">
      <c r="A1125" s="134" t="s">
        <v>18</v>
      </c>
      <c r="B1125" s="134" t="s">
        <v>18</v>
      </c>
      <c r="C1125" s="134" t="s">
        <v>74</v>
      </c>
      <c r="D1125" s="133" t="s">
        <v>507</v>
      </c>
      <c r="E1125" s="164">
        <v>42900.0</v>
      </c>
      <c r="F1125" s="22" t="str">
        <f t="shared" si="99"/>
        <v>Jun-2017</v>
      </c>
      <c r="G1125" s="91" t="s">
        <v>25</v>
      </c>
      <c r="H1125" s="119" t="s">
        <v>35</v>
      </c>
      <c r="I1125" s="80" t="s">
        <v>276</v>
      </c>
      <c r="J1125" s="25" t="s">
        <v>48</v>
      </c>
      <c r="K1125" s="25" t="s">
        <v>9</v>
      </c>
      <c r="L1125" s="25" t="s">
        <v>30</v>
      </c>
      <c r="M1125" s="25"/>
      <c r="N1125" s="25" t="s">
        <v>99</v>
      </c>
      <c r="Q1125" s="99"/>
    </row>
    <row r="1126">
      <c r="A1126" s="134" t="s">
        <v>331</v>
      </c>
      <c r="B1126" s="134" t="s">
        <v>18</v>
      </c>
      <c r="C1126" s="134" t="s">
        <v>74</v>
      </c>
      <c r="D1126" s="133" t="s">
        <v>507</v>
      </c>
      <c r="E1126" s="164">
        <v>42900.0</v>
      </c>
      <c r="F1126" s="22" t="str">
        <f t="shared" si="99"/>
        <v>Jun-2017</v>
      </c>
      <c r="G1126" s="16" t="s">
        <v>20</v>
      </c>
      <c r="H1126" s="16" t="s">
        <v>35</v>
      </c>
      <c r="I1126" s="48" t="s">
        <v>133</v>
      </c>
      <c r="J1126" s="16" t="s">
        <v>44</v>
      </c>
      <c r="K1126" s="16" t="s">
        <v>9</v>
      </c>
      <c r="L1126" s="16" t="s">
        <v>30</v>
      </c>
      <c r="M1126" s="16" t="s">
        <v>30</v>
      </c>
      <c r="N1126" s="16" t="s">
        <v>98</v>
      </c>
      <c r="O1126" s="101"/>
      <c r="P1126" s="101"/>
      <c r="Q1126" s="102"/>
    </row>
    <row r="1127">
      <c r="A1127" s="168">
        <v>42900.0</v>
      </c>
      <c r="B1127" s="134" t="s">
        <v>18</v>
      </c>
      <c r="C1127" s="134" t="s">
        <v>74</v>
      </c>
      <c r="D1127" s="133" t="s">
        <v>507</v>
      </c>
      <c r="E1127" s="164">
        <v>42900.0</v>
      </c>
      <c r="F1127" s="22" t="str">
        <f t="shared" si="99"/>
        <v>Jun-2017</v>
      </c>
      <c r="G1127" s="17" t="s">
        <v>25</v>
      </c>
      <c r="H1127" s="16" t="s">
        <v>35</v>
      </c>
      <c r="I1127" s="48" t="s">
        <v>133</v>
      </c>
      <c r="J1127" s="16" t="s">
        <v>44</v>
      </c>
      <c r="K1127" s="16" t="s">
        <v>9</v>
      </c>
      <c r="L1127" s="16" t="s">
        <v>24</v>
      </c>
      <c r="M1127" s="16"/>
      <c r="N1127" s="16" t="s">
        <v>69</v>
      </c>
      <c r="O1127" s="101"/>
      <c r="P1127" s="101"/>
      <c r="Q1127" s="102"/>
    </row>
    <row r="1128">
      <c r="A1128" s="134" t="s">
        <v>74</v>
      </c>
      <c r="B1128" s="134" t="s">
        <v>18</v>
      </c>
      <c r="C1128" s="134" t="s">
        <v>74</v>
      </c>
      <c r="D1128" s="133" t="s">
        <v>507</v>
      </c>
      <c r="E1128" s="164">
        <v>42900.0</v>
      </c>
      <c r="F1128" s="22" t="str">
        <f t="shared" si="99"/>
        <v>Jun-2017</v>
      </c>
      <c r="G1128" s="16" t="s">
        <v>32</v>
      </c>
      <c r="H1128" s="16" t="s">
        <v>35</v>
      </c>
      <c r="I1128" s="48" t="s">
        <v>133</v>
      </c>
      <c r="J1128" s="16" t="s">
        <v>44</v>
      </c>
      <c r="K1128" s="16" t="s">
        <v>9</v>
      </c>
      <c r="L1128" s="16" t="s">
        <v>30</v>
      </c>
      <c r="M1128" s="16"/>
      <c r="N1128" s="16" t="s">
        <v>98</v>
      </c>
      <c r="O1128" s="16"/>
      <c r="P1128" s="16"/>
      <c r="Q1128" s="102"/>
    </row>
    <row r="1129">
      <c r="A1129" s="140"/>
      <c r="B1129" s="134" t="s">
        <v>18</v>
      </c>
      <c r="C1129" s="134" t="s">
        <v>74</v>
      </c>
      <c r="D1129" s="133" t="s">
        <v>507</v>
      </c>
      <c r="E1129" s="164">
        <v>42900.0</v>
      </c>
      <c r="F1129" s="22" t="str">
        <f t="shared" si="99"/>
        <v>Jun-2017</v>
      </c>
      <c r="G1129" s="119" t="s">
        <v>20</v>
      </c>
      <c r="H1129" s="119" t="s">
        <v>35</v>
      </c>
      <c r="I1129" s="80" t="s">
        <v>111</v>
      </c>
      <c r="J1129" s="25" t="s">
        <v>216</v>
      </c>
      <c r="K1129" s="25" t="s">
        <v>9</v>
      </c>
      <c r="L1129" s="25" t="s">
        <v>24</v>
      </c>
      <c r="M1129" s="25" t="s">
        <v>24</v>
      </c>
      <c r="N1129" s="25" t="s">
        <v>98</v>
      </c>
      <c r="O1129" s="25"/>
      <c r="P1129" s="25"/>
      <c r="Q1129" s="99"/>
    </row>
    <row r="1130">
      <c r="A1130" s="140"/>
      <c r="B1130" s="134" t="s">
        <v>18</v>
      </c>
      <c r="C1130" s="134" t="s">
        <v>74</v>
      </c>
      <c r="D1130" s="133" t="s">
        <v>507</v>
      </c>
      <c r="E1130" s="164">
        <v>42900.0</v>
      </c>
      <c r="F1130" s="22" t="str">
        <f t="shared" si="99"/>
        <v>Jun-2017</v>
      </c>
      <c r="G1130" s="91" t="s">
        <v>25</v>
      </c>
      <c r="H1130" s="119" t="s">
        <v>35</v>
      </c>
      <c r="I1130" s="80" t="s">
        <v>111</v>
      </c>
      <c r="J1130" s="25" t="s">
        <v>216</v>
      </c>
      <c r="K1130" s="25" t="s">
        <v>9</v>
      </c>
      <c r="L1130" s="25" t="s">
        <v>24</v>
      </c>
      <c r="M1130" s="25"/>
      <c r="N1130" s="25" t="s">
        <v>98</v>
      </c>
      <c r="O1130" s="25"/>
      <c r="P1130" s="25"/>
      <c r="Q1130" s="99"/>
    </row>
    <row r="1131">
      <c r="A1131" s="140"/>
      <c r="B1131" s="134" t="s">
        <v>18</v>
      </c>
      <c r="C1131" s="134" t="s">
        <v>74</v>
      </c>
      <c r="D1131" s="133" t="s">
        <v>507</v>
      </c>
      <c r="E1131" s="164">
        <v>42900.0</v>
      </c>
      <c r="F1131" s="22" t="str">
        <f t="shared" si="99"/>
        <v>Jun-2017</v>
      </c>
      <c r="G1131" s="16" t="s">
        <v>20</v>
      </c>
      <c r="H1131" s="16" t="s">
        <v>35</v>
      </c>
      <c r="I1131" s="48" t="s">
        <v>508</v>
      </c>
      <c r="J1131" s="16" t="s">
        <v>48</v>
      </c>
      <c r="K1131" s="16" t="s">
        <v>9</v>
      </c>
      <c r="L1131" s="16" t="s">
        <v>24</v>
      </c>
      <c r="M1131" s="16" t="s">
        <v>30</v>
      </c>
      <c r="N1131" s="16" t="s">
        <v>98</v>
      </c>
      <c r="O1131" s="16"/>
      <c r="P1131" s="16"/>
      <c r="Q1131" s="102"/>
    </row>
    <row r="1132">
      <c r="A1132" s="140"/>
      <c r="B1132" s="134" t="s">
        <v>18</v>
      </c>
      <c r="C1132" s="134" t="s">
        <v>74</v>
      </c>
      <c r="D1132" s="133" t="s">
        <v>507</v>
      </c>
      <c r="E1132" s="164">
        <v>42900.0</v>
      </c>
      <c r="F1132" s="22" t="str">
        <f t="shared" si="99"/>
        <v>Jun-2017</v>
      </c>
      <c r="G1132" s="17" t="s">
        <v>25</v>
      </c>
      <c r="H1132" s="16" t="s">
        <v>35</v>
      </c>
      <c r="I1132" s="48" t="s">
        <v>508</v>
      </c>
      <c r="J1132" s="16" t="s">
        <v>48</v>
      </c>
      <c r="K1132" s="16" t="s">
        <v>9</v>
      </c>
      <c r="L1132" s="16" t="s">
        <v>30</v>
      </c>
      <c r="M1132" s="16"/>
      <c r="N1132" s="16" t="s">
        <v>106</v>
      </c>
      <c r="O1132" s="16"/>
      <c r="P1132" s="16"/>
      <c r="Q1132" s="102"/>
    </row>
    <row r="1133">
      <c r="A1133" s="140"/>
      <c r="B1133" s="134" t="s">
        <v>18</v>
      </c>
      <c r="C1133" s="134" t="s">
        <v>74</v>
      </c>
      <c r="D1133" s="133" t="s">
        <v>507</v>
      </c>
      <c r="E1133" s="164">
        <v>42900.0</v>
      </c>
      <c r="F1133" s="22" t="str">
        <f t="shared" si="99"/>
        <v>Jun-2017</v>
      </c>
      <c r="G1133" s="16" t="s">
        <v>32</v>
      </c>
      <c r="H1133" s="16" t="s">
        <v>35</v>
      </c>
      <c r="I1133" s="48" t="s">
        <v>508</v>
      </c>
      <c r="J1133" s="16" t="s">
        <v>48</v>
      </c>
      <c r="K1133" s="16" t="s">
        <v>9</v>
      </c>
      <c r="L1133" s="16" t="s">
        <v>30</v>
      </c>
      <c r="M1133" s="16"/>
      <c r="N1133" s="16" t="s">
        <v>99</v>
      </c>
      <c r="O1133" s="16"/>
      <c r="P1133" s="16"/>
      <c r="Q1133" s="102"/>
    </row>
    <row r="1134">
      <c r="A1134" s="140"/>
      <c r="B1134" s="134" t="s">
        <v>18</v>
      </c>
      <c r="C1134" s="134" t="s">
        <v>74</v>
      </c>
      <c r="D1134" s="133" t="s">
        <v>507</v>
      </c>
      <c r="E1134" s="164">
        <v>42900.0</v>
      </c>
      <c r="F1134" s="22" t="str">
        <f t="shared" si="99"/>
        <v>Jun-2017</v>
      </c>
      <c r="G1134" s="119" t="s">
        <v>20</v>
      </c>
      <c r="H1134" s="119" t="s">
        <v>35</v>
      </c>
      <c r="I1134" s="126" t="s">
        <v>509</v>
      </c>
      <c r="J1134" s="119" t="s">
        <v>9</v>
      </c>
      <c r="K1134" s="25" t="s">
        <v>9</v>
      </c>
      <c r="L1134" s="25" t="s">
        <v>30</v>
      </c>
      <c r="M1134" s="119" t="s">
        <v>24</v>
      </c>
      <c r="N1134" s="119" t="s">
        <v>99</v>
      </c>
      <c r="O1134" s="119"/>
      <c r="P1134" s="119"/>
      <c r="Q1134" s="175"/>
    </row>
    <row r="1135">
      <c r="A1135" s="140"/>
      <c r="B1135" s="134" t="s">
        <v>18</v>
      </c>
      <c r="C1135" s="134" t="s">
        <v>74</v>
      </c>
      <c r="D1135" s="133" t="s">
        <v>507</v>
      </c>
      <c r="E1135" s="164">
        <v>42900.0</v>
      </c>
      <c r="F1135" s="22" t="str">
        <f t="shared" ref="F1135:F1136" si="100">TEXT(E1131:E1135, "mmm") &amp; "-" &amp; TEXT(E1131:E1135, "yyyy") </f>
        <v>Jun-2017</v>
      </c>
      <c r="G1135" s="91" t="s">
        <v>25</v>
      </c>
      <c r="H1135" s="119" t="s">
        <v>35</v>
      </c>
      <c r="I1135" s="80" t="s">
        <v>509</v>
      </c>
      <c r="J1135" s="25" t="s">
        <v>9</v>
      </c>
      <c r="K1135" s="25" t="s">
        <v>9</v>
      </c>
      <c r="L1135" s="25" t="s">
        <v>24</v>
      </c>
      <c r="M1135" s="25"/>
      <c r="N1135" s="25" t="s">
        <v>106</v>
      </c>
      <c r="Q1135" s="99"/>
    </row>
    <row r="1136">
      <c r="A1136" s="141"/>
      <c r="B1136" s="134" t="s">
        <v>18</v>
      </c>
      <c r="C1136" s="134" t="s">
        <v>74</v>
      </c>
      <c r="D1136" s="133" t="s">
        <v>507</v>
      </c>
      <c r="E1136" s="164">
        <v>42900.0</v>
      </c>
      <c r="F1136" s="52" t="str">
        <f t="shared" si="100"/>
        <v>Jun-2017</v>
      </c>
      <c r="G1136" s="114" t="s">
        <v>32</v>
      </c>
      <c r="H1136" s="114" t="s">
        <v>35</v>
      </c>
      <c r="I1136" s="113" t="s">
        <v>509</v>
      </c>
      <c r="J1136" s="55" t="s">
        <v>9</v>
      </c>
      <c r="K1136" s="55" t="s">
        <v>9</v>
      </c>
      <c r="L1136" s="55" t="s">
        <v>24</v>
      </c>
      <c r="M1136" s="55"/>
      <c r="N1136" s="55" t="s">
        <v>98</v>
      </c>
      <c r="O1136" s="143"/>
      <c r="P1136" s="143"/>
      <c r="Q1136" s="144"/>
    </row>
    <row r="1137">
      <c r="A1137" s="107"/>
      <c r="B1137" s="95"/>
      <c r="C1137" s="95"/>
      <c r="D1137" s="95"/>
      <c r="E1137" s="95"/>
      <c r="I1137" s="23"/>
    </row>
    <row r="1138">
      <c r="A1138" s="133" t="s">
        <v>510</v>
      </c>
      <c r="B1138" s="134" t="s">
        <v>151</v>
      </c>
      <c r="C1138" s="134" t="s">
        <v>74</v>
      </c>
      <c r="D1138" s="133" t="s">
        <v>510</v>
      </c>
      <c r="E1138" s="135">
        <v>42909.0</v>
      </c>
      <c r="F1138" s="85" t="str">
        <f t="shared" ref="F1138:F1152" si="101">TEXT(E1135:E1138, "mmm") &amp; "-" &amp; TEXT(E1135:E1138, "yyyy") </f>
        <v>Jun-2017</v>
      </c>
      <c r="G1138" s="47" t="s">
        <v>20</v>
      </c>
      <c r="H1138" s="47" t="s">
        <v>35</v>
      </c>
      <c r="I1138" s="79" t="s">
        <v>511</v>
      </c>
      <c r="J1138" s="47" t="s">
        <v>23</v>
      </c>
      <c r="K1138" s="47" t="s">
        <v>9</v>
      </c>
      <c r="L1138" s="47" t="s">
        <v>30</v>
      </c>
      <c r="M1138" s="47" t="s">
        <v>30</v>
      </c>
      <c r="N1138" s="47" t="s">
        <v>99</v>
      </c>
      <c r="O1138" s="152"/>
      <c r="P1138" s="152"/>
      <c r="Q1138" s="153"/>
    </row>
    <row r="1139">
      <c r="A1139" s="134" t="s">
        <v>151</v>
      </c>
      <c r="B1139" s="134" t="s">
        <v>151</v>
      </c>
      <c r="C1139" s="134" t="s">
        <v>74</v>
      </c>
      <c r="D1139" s="133" t="s">
        <v>510</v>
      </c>
      <c r="E1139" s="137">
        <v>42909.0</v>
      </c>
      <c r="F1139" s="22" t="str">
        <f t="shared" si="101"/>
        <v>Jun-2017</v>
      </c>
      <c r="G1139" s="17" t="s">
        <v>25</v>
      </c>
      <c r="H1139" s="16" t="s">
        <v>35</v>
      </c>
      <c r="I1139" s="48" t="s">
        <v>511</v>
      </c>
      <c r="J1139" s="16" t="s">
        <v>23</v>
      </c>
      <c r="K1139" s="16" t="s">
        <v>9</v>
      </c>
      <c r="L1139" s="16" t="s">
        <v>30</v>
      </c>
      <c r="M1139" s="16"/>
      <c r="N1139" s="16" t="s">
        <v>37</v>
      </c>
      <c r="O1139" s="101"/>
      <c r="P1139" s="101"/>
      <c r="Q1139" s="102"/>
    </row>
    <row r="1140">
      <c r="A1140" s="134" t="s">
        <v>368</v>
      </c>
      <c r="B1140" s="134" t="s">
        <v>151</v>
      </c>
      <c r="C1140" s="134" t="s">
        <v>74</v>
      </c>
      <c r="D1140" s="133" t="s">
        <v>510</v>
      </c>
      <c r="E1140" s="137">
        <v>42909.0</v>
      </c>
      <c r="F1140" s="22" t="str">
        <f t="shared" si="101"/>
        <v>Jun-2017</v>
      </c>
      <c r="G1140" s="119" t="s">
        <v>20</v>
      </c>
      <c r="H1140" s="119" t="s">
        <v>35</v>
      </c>
      <c r="I1140" s="80" t="s">
        <v>36</v>
      </c>
      <c r="J1140" s="25" t="s">
        <v>27</v>
      </c>
      <c r="K1140" s="25" t="s">
        <v>9</v>
      </c>
      <c r="L1140" s="25" t="s">
        <v>24</v>
      </c>
      <c r="M1140" s="119" t="s">
        <v>30</v>
      </c>
      <c r="N1140" s="119" t="s">
        <v>99</v>
      </c>
      <c r="Q1140" s="99"/>
    </row>
    <row r="1141">
      <c r="A1141" s="168">
        <v>42909.0</v>
      </c>
      <c r="B1141" s="134" t="s">
        <v>151</v>
      </c>
      <c r="C1141" s="134" t="s">
        <v>74</v>
      </c>
      <c r="D1141" s="133" t="s">
        <v>510</v>
      </c>
      <c r="E1141" s="137">
        <v>42909.0</v>
      </c>
      <c r="F1141" s="22" t="str">
        <f t="shared" si="101"/>
        <v>Jun-2017</v>
      </c>
      <c r="G1141" s="91" t="s">
        <v>25</v>
      </c>
      <c r="H1141" s="119" t="s">
        <v>35</v>
      </c>
      <c r="I1141" s="80" t="s">
        <v>36</v>
      </c>
      <c r="J1141" s="25" t="s">
        <v>27</v>
      </c>
      <c r="K1141" s="25" t="s">
        <v>9</v>
      </c>
      <c r="L1141" s="25" t="s">
        <v>30</v>
      </c>
      <c r="M1141" s="25"/>
      <c r="N1141" s="25" t="s">
        <v>69</v>
      </c>
      <c r="Q1141" s="99"/>
    </row>
    <row r="1142">
      <c r="A1142" s="134" t="s">
        <v>74</v>
      </c>
      <c r="B1142" s="134" t="s">
        <v>151</v>
      </c>
      <c r="C1142" s="134" t="s">
        <v>74</v>
      </c>
      <c r="D1142" s="133" t="s">
        <v>510</v>
      </c>
      <c r="E1142" s="137">
        <v>42909.0</v>
      </c>
      <c r="F1142" s="22" t="str">
        <f t="shared" si="101"/>
        <v>Jun-2017</v>
      </c>
      <c r="G1142" s="119" t="s">
        <v>32</v>
      </c>
      <c r="H1142" s="119" t="s">
        <v>35</v>
      </c>
      <c r="I1142" s="80" t="s">
        <v>36</v>
      </c>
      <c r="J1142" s="25" t="s">
        <v>27</v>
      </c>
      <c r="K1142" s="25" t="s">
        <v>9</v>
      </c>
      <c r="L1142" s="25" t="s">
        <v>30</v>
      </c>
      <c r="M1142" s="25"/>
      <c r="N1142" s="25" t="s">
        <v>37</v>
      </c>
      <c r="Q1142" s="99"/>
    </row>
    <row r="1143">
      <c r="A1143" s="140"/>
      <c r="B1143" s="134" t="s">
        <v>151</v>
      </c>
      <c r="C1143" s="134" t="s">
        <v>74</v>
      </c>
      <c r="D1143" s="133" t="s">
        <v>510</v>
      </c>
      <c r="E1143" s="137">
        <v>42909.0</v>
      </c>
      <c r="F1143" s="22" t="str">
        <f t="shared" si="101"/>
        <v>Jun-2017</v>
      </c>
      <c r="G1143" s="16" t="s">
        <v>20</v>
      </c>
      <c r="H1143" s="16" t="s">
        <v>35</v>
      </c>
      <c r="I1143" s="48" t="s">
        <v>142</v>
      </c>
      <c r="J1143" s="16" t="s">
        <v>44</v>
      </c>
      <c r="K1143" s="16" t="s">
        <v>9</v>
      </c>
      <c r="L1143" s="16" t="s">
        <v>24</v>
      </c>
      <c r="M1143" s="16" t="s">
        <v>24</v>
      </c>
      <c r="N1143" s="16" t="s">
        <v>98</v>
      </c>
      <c r="O1143" s="101"/>
      <c r="P1143" s="101"/>
      <c r="Q1143" s="102"/>
    </row>
    <row r="1144">
      <c r="A1144" s="140"/>
      <c r="B1144" s="134" t="s">
        <v>151</v>
      </c>
      <c r="C1144" s="134" t="s">
        <v>74</v>
      </c>
      <c r="D1144" s="133" t="s">
        <v>510</v>
      </c>
      <c r="E1144" s="137">
        <v>42909.0</v>
      </c>
      <c r="F1144" s="22" t="str">
        <f t="shared" si="101"/>
        <v>Jun-2017</v>
      </c>
      <c r="G1144" s="17" t="s">
        <v>25</v>
      </c>
      <c r="H1144" s="16" t="s">
        <v>35</v>
      </c>
      <c r="I1144" s="48" t="s">
        <v>142</v>
      </c>
      <c r="J1144" s="16" t="s">
        <v>44</v>
      </c>
      <c r="K1144" s="16" t="s">
        <v>9</v>
      </c>
      <c r="L1144" s="16" t="s">
        <v>24</v>
      </c>
      <c r="M1144" s="16"/>
      <c r="N1144" s="16" t="s">
        <v>99</v>
      </c>
      <c r="O1144" s="101"/>
      <c r="P1144" s="101"/>
      <c r="Q1144" s="102"/>
    </row>
    <row r="1145">
      <c r="A1145" s="140"/>
      <c r="B1145" s="134" t="s">
        <v>151</v>
      </c>
      <c r="C1145" s="134" t="s">
        <v>74</v>
      </c>
      <c r="D1145" s="133" t="s">
        <v>510</v>
      </c>
      <c r="E1145" s="137">
        <v>42909.0</v>
      </c>
      <c r="F1145" s="22" t="str">
        <f t="shared" si="101"/>
        <v>Jun-2017</v>
      </c>
      <c r="G1145" s="119" t="s">
        <v>20</v>
      </c>
      <c r="H1145" s="119" t="s">
        <v>35</v>
      </c>
      <c r="I1145" s="80" t="s">
        <v>512</v>
      </c>
      <c r="J1145" s="25" t="s">
        <v>9</v>
      </c>
      <c r="K1145" s="25" t="s">
        <v>9</v>
      </c>
      <c r="L1145" s="25" t="s">
        <v>30</v>
      </c>
      <c r="M1145" s="25" t="s">
        <v>30</v>
      </c>
      <c r="N1145" s="25" t="s">
        <v>98</v>
      </c>
      <c r="Q1145" s="99"/>
    </row>
    <row r="1146">
      <c r="A1146" s="140"/>
      <c r="B1146" s="134" t="s">
        <v>151</v>
      </c>
      <c r="C1146" s="134" t="s">
        <v>74</v>
      </c>
      <c r="D1146" s="133" t="s">
        <v>510</v>
      </c>
      <c r="E1146" s="137">
        <v>42909.0</v>
      </c>
      <c r="F1146" s="22" t="str">
        <f t="shared" si="101"/>
        <v>Jun-2017</v>
      </c>
      <c r="G1146" s="91" t="s">
        <v>25</v>
      </c>
      <c r="H1146" s="119" t="s">
        <v>35</v>
      </c>
      <c r="I1146" s="80" t="s">
        <v>512</v>
      </c>
      <c r="J1146" s="25" t="s">
        <v>44</v>
      </c>
      <c r="K1146" s="25" t="s">
        <v>9</v>
      </c>
      <c r="L1146" s="25" t="s">
        <v>30</v>
      </c>
      <c r="M1146" s="25"/>
      <c r="N1146" s="25" t="s">
        <v>69</v>
      </c>
      <c r="Q1146" s="99"/>
    </row>
    <row r="1147">
      <c r="A1147" s="140"/>
      <c r="B1147" s="134" t="s">
        <v>151</v>
      </c>
      <c r="C1147" s="134" t="s">
        <v>74</v>
      </c>
      <c r="D1147" s="133" t="s">
        <v>510</v>
      </c>
      <c r="E1147" s="137">
        <v>42909.0</v>
      </c>
      <c r="F1147" s="22" t="str">
        <f t="shared" si="101"/>
        <v>Jun-2017</v>
      </c>
      <c r="G1147" s="16" t="s">
        <v>20</v>
      </c>
      <c r="H1147" s="16" t="s">
        <v>35</v>
      </c>
      <c r="I1147" s="48" t="s">
        <v>442</v>
      </c>
      <c r="J1147" s="16" t="s">
        <v>71</v>
      </c>
      <c r="K1147" s="16" t="s">
        <v>9</v>
      </c>
      <c r="L1147" s="16" t="s">
        <v>30</v>
      </c>
      <c r="M1147" s="16" t="s">
        <v>30</v>
      </c>
      <c r="N1147" s="16" t="s">
        <v>99</v>
      </c>
      <c r="O1147" s="101"/>
      <c r="P1147" s="101"/>
      <c r="Q1147" s="102"/>
    </row>
    <row r="1148">
      <c r="A1148" s="140"/>
      <c r="B1148" s="134" t="s">
        <v>151</v>
      </c>
      <c r="C1148" s="134" t="s">
        <v>74</v>
      </c>
      <c r="D1148" s="133" t="s">
        <v>510</v>
      </c>
      <c r="E1148" s="137">
        <v>42909.0</v>
      </c>
      <c r="F1148" s="22" t="str">
        <f t="shared" si="101"/>
        <v>Jun-2017</v>
      </c>
      <c r="G1148" s="17" t="s">
        <v>25</v>
      </c>
      <c r="H1148" s="16" t="s">
        <v>35</v>
      </c>
      <c r="I1148" s="48" t="s">
        <v>442</v>
      </c>
      <c r="J1148" s="16" t="s">
        <v>71</v>
      </c>
      <c r="K1148" s="16" t="s">
        <v>9</v>
      </c>
      <c r="L1148" s="16" t="s">
        <v>30</v>
      </c>
      <c r="M1148" s="16"/>
      <c r="N1148" s="16" t="s">
        <v>37</v>
      </c>
      <c r="O1148" s="101"/>
      <c r="P1148" s="101"/>
      <c r="Q1148" s="102"/>
    </row>
    <row r="1149">
      <c r="A1149" s="140"/>
      <c r="B1149" s="134" t="s">
        <v>151</v>
      </c>
      <c r="C1149" s="134" t="s">
        <v>74</v>
      </c>
      <c r="D1149" s="133" t="s">
        <v>510</v>
      </c>
      <c r="E1149" s="137">
        <v>42909.0</v>
      </c>
      <c r="F1149" s="22" t="str">
        <f t="shared" si="101"/>
        <v>Jun-2017</v>
      </c>
      <c r="G1149" s="119" t="s">
        <v>20</v>
      </c>
      <c r="H1149" s="119" t="s">
        <v>35</v>
      </c>
      <c r="I1149" s="80" t="s">
        <v>238</v>
      </c>
      <c r="J1149" s="25" t="s">
        <v>216</v>
      </c>
      <c r="K1149" s="25" t="s">
        <v>9</v>
      </c>
      <c r="L1149" s="25" t="s">
        <v>30</v>
      </c>
      <c r="M1149" s="119" t="s">
        <v>30</v>
      </c>
      <c r="N1149" s="119" t="s">
        <v>99</v>
      </c>
      <c r="Q1149" s="99"/>
    </row>
    <row r="1150">
      <c r="A1150" s="140"/>
      <c r="B1150" s="134" t="s">
        <v>151</v>
      </c>
      <c r="C1150" s="134" t="s">
        <v>74</v>
      </c>
      <c r="D1150" s="133" t="s">
        <v>510</v>
      </c>
      <c r="E1150" s="137">
        <v>42909.0</v>
      </c>
      <c r="F1150" s="22" t="str">
        <f t="shared" si="101"/>
        <v>Jun-2017</v>
      </c>
      <c r="G1150" s="91" t="s">
        <v>25</v>
      </c>
      <c r="H1150" s="119" t="s">
        <v>35</v>
      </c>
      <c r="I1150" s="80" t="s">
        <v>238</v>
      </c>
      <c r="J1150" s="25" t="s">
        <v>216</v>
      </c>
      <c r="K1150" s="25" t="s">
        <v>9</v>
      </c>
      <c r="L1150" s="25" t="s">
        <v>30</v>
      </c>
      <c r="M1150" s="119"/>
      <c r="N1150" s="119" t="s">
        <v>106</v>
      </c>
      <c r="Q1150" s="99"/>
    </row>
    <row r="1151">
      <c r="A1151" s="140"/>
      <c r="B1151" s="134" t="s">
        <v>151</v>
      </c>
      <c r="C1151" s="134" t="s">
        <v>74</v>
      </c>
      <c r="D1151" s="133" t="s">
        <v>510</v>
      </c>
      <c r="E1151" s="137">
        <v>42909.0</v>
      </c>
      <c r="F1151" s="22" t="str">
        <f t="shared" si="101"/>
        <v>Jun-2017</v>
      </c>
      <c r="G1151" s="16" t="s">
        <v>20</v>
      </c>
      <c r="H1151" s="16" t="s">
        <v>35</v>
      </c>
      <c r="I1151" s="48" t="s">
        <v>111</v>
      </c>
      <c r="J1151" s="16" t="s">
        <v>216</v>
      </c>
      <c r="K1151" s="16" t="s">
        <v>9</v>
      </c>
      <c r="L1151" s="16" t="s">
        <v>24</v>
      </c>
      <c r="M1151" s="16" t="s">
        <v>24</v>
      </c>
      <c r="N1151" s="16" t="s">
        <v>98</v>
      </c>
      <c r="O1151" s="101"/>
      <c r="P1151" s="101"/>
      <c r="Q1151" s="102"/>
    </row>
    <row r="1152">
      <c r="A1152" s="141"/>
      <c r="B1152" s="134" t="s">
        <v>151</v>
      </c>
      <c r="C1152" s="134" t="s">
        <v>74</v>
      </c>
      <c r="D1152" s="133" t="s">
        <v>510</v>
      </c>
      <c r="E1152" s="142">
        <v>42909.0</v>
      </c>
      <c r="F1152" s="52" t="str">
        <f t="shared" si="101"/>
        <v>Jun-2017</v>
      </c>
      <c r="G1152" s="93" t="s">
        <v>25</v>
      </c>
      <c r="H1152" s="38" t="s">
        <v>35</v>
      </c>
      <c r="I1152" s="122" t="s">
        <v>111</v>
      </c>
      <c r="J1152" s="38" t="s">
        <v>216</v>
      </c>
      <c r="K1152" s="38" t="s">
        <v>9</v>
      </c>
      <c r="L1152" s="38" t="s">
        <v>24</v>
      </c>
      <c r="M1152" s="38"/>
      <c r="N1152" s="38" t="s">
        <v>99</v>
      </c>
      <c r="O1152" s="105"/>
      <c r="P1152" s="105"/>
      <c r="Q1152" s="106"/>
    </row>
    <row r="1153">
      <c r="A1153" s="107"/>
      <c r="B1153" s="95"/>
      <c r="C1153" s="95"/>
      <c r="D1153" s="95"/>
      <c r="E1153" s="95"/>
      <c r="I1153" s="23"/>
    </row>
    <row r="1154">
      <c r="A1154" s="133" t="s">
        <v>513</v>
      </c>
      <c r="B1154" s="134" t="s">
        <v>18</v>
      </c>
      <c r="C1154" s="134" t="s">
        <v>74</v>
      </c>
      <c r="D1154" s="133" t="s">
        <v>513</v>
      </c>
      <c r="E1154" s="135">
        <v>42914.0</v>
      </c>
      <c r="F1154" s="85" t="str">
        <f t="shared" ref="F1154:F1162" si="102">TEXT(E1151:E1154, "mmm") &amp; "-" &amp; TEXT(E1151:E1154, "yyyy") </f>
        <v>Jun-2017</v>
      </c>
      <c r="G1154" s="218" t="s">
        <v>20</v>
      </c>
      <c r="H1154" s="218" t="s">
        <v>35</v>
      </c>
      <c r="I1154" s="86" t="s">
        <v>514</v>
      </c>
      <c r="J1154" s="73" t="s">
        <v>138</v>
      </c>
      <c r="K1154" s="73" t="s">
        <v>9</v>
      </c>
      <c r="L1154" s="73" t="s">
        <v>30</v>
      </c>
      <c r="M1154" s="73" t="s">
        <v>30</v>
      </c>
      <c r="N1154" s="73" t="s">
        <v>98</v>
      </c>
      <c r="O1154" s="165"/>
      <c r="P1154" s="165"/>
      <c r="Q1154" s="166"/>
    </row>
    <row r="1155">
      <c r="A1155" s="134" t="s">
        <v>18</v>
      </c>
      <c r="B1155" s="134" t="s">
        <v>18</v>
      </c>
      <c r="C1155" s="134" t="s">
        <v>74</v>
      </c>
      <c r="D1155" s="133" t="s">
        <v>513</v>
      </c>
      <c r="E1155" s="137">
        <v>42914.0</v>
      </c>
      <c r="F1155" s="22" t="str">
        <f t="shared" si="102"/>
        <v>Jun-2017</v>
      </c>
      <c r="G1155" s="91" t="s">
        <v>25</v>
      </c>
      <c r="H1155" s="119" t="s">
        <v>35</v>
      </c>
      <c r="I1155" s="80" t="s">
        <v>514</v>
      </c>
      <c r="J1155" s="25" t="s">
        <v>138</v>
      </c>
      <c r="K1155" s="25" t="s">
        <v>9</v>
      </c>
      <c r="L1155" s="25" t="s">
        <v>30</v>
      </c>
      <c r="M1155" s="25"/>
      <c r="N1155" s="25" t="s">
        <v>37</v>
      </c>
      <c r="Q1155" s="99"/>
    </row>
    <row r="1156">
      <c r="A1156" s="134" t="s">
        <v>331</v>
      </c>
      <c r="B1156" s="134" t="s">
        <v>18</v>
      </c>
      <c r="C1156" s="134" t="s">
        <v>74</v>
      </c>
      <c r="D1156" s="133" t="s">
        <v>513</v>
      </c>
      <c r="E1156" s="137">
        <v>42914.0</v>
      </c>
      <c r="F1156" s="22" t="str">
        <f t="shared" si="102"/>
        <v>Jun-2017</v>
      </c>
      <c r="G1156" s="16" t="s">
        <v>20</v>
      </c>
      <c r="H1156" s="16" t="s">
        <v>35</v>
      </c>
      <c r="I1156" s="48" t="s">
        <v>88</v>
      </c>
      <c r="J1156" s="16" t="s">
        <v>86</v>
      </c>
      <c r="K1156" s="16" t="s">
        <v>9</v>
      </c>
      <c r="L1156" s="16" t="s">
        <v>30</v>
      </c>
      <c r="M1156" s="16" t="s">
        <v>30</v>
      </c>
      <c r="N1156" s="16" t="s">
        <v>29</v>
      </c>
      <c r="O1156" s="101"/>
      <c r="P1156" s="101"/>
      <c r="Q1156" s="102"/>
    </row>
    <row r="1157">
      <c r="A1157" s="168">
        <v>42914.0</v>
      </c>
      <c r="B1157" s="134" t="s">
        <v>18</v>
      </c>
      <c r="C1157" s="134" t="s">
        <v>74</v>
      </c>
      <c r="D1157" s="133" t="s">
        <v>513</v>
      </c>
      <c r="E1157" s="137">
        <v>42914.0</v>
      </c>
      <c r="F1157" s="22" t="str">
        <f t="shared" si="102"/>
        <v>Jun-2017</v>
      </c>
      <c r="G1157" s="17" t="s">
        <v>25</v>
      </c>
      <c r="H1157" s="16" t="s">
        <v>35</v>
      </c>
      <c r="I1157" s="48" t="s">
        <v>88</v>
      </c>
      <c r="J1157" s="16" t="s">
        <v>86</v>
      </c>
      <c r="K1157" s="16" t="s">
        <v>9</v>
      </c>
      <c r="L1157" s="16" t="s">
        <v>24</v>
      </c>
      <c r="M1157" s="16"/>
      <c r="N1157" s="16" t="s">
        <v>98</v>
      </c>
      <c r="O1157" s="101"/>
      <c r="P1157" s="101"/>
      <c r="Q1157" s="102"/>
    </row>
    <row r="1158">
      <c r="A1158" s="134" t="s">
        <v>74</v>
      </c>
      <c r="B1158" s="134" t="s">
        <v>18</v>
      </c>
      <c r="C1158" s="134" t="s">
        <v>74</v>
      </c>
      <c r="D1158" s="133" t="s">
        <v>513</v>
      </c>
      <c r="E1158" s="137">
        <v>42914.0</v>
      </c>
      <c r="F1158" s="22" t="str">
        <f t="shared" si="102"/>
        <v>Jun-2017</v>
      </c>
      <c r="G1158" s="16" t="s">
        <v>32</v>
      </c>
      <c r="H1158" s="16" t="s">
        <v>35</v>
      </c>
      <c r="I1158" s="48" t="s">
        <v>88</v>
      </c>
      <c r="J1158" s="16" t="s">
        <v>86</v>
      </c>
      <c r="K1158" s="16" t="s">
        <v>9</v>
      </c>
      <c r="L1158" s="16" t="s">
        <v>30</v>
      </c>
      <c r="M1158" s="16"/>
      <c r="N1158" s="16" t="s">
        <v>69</v>
      </c>
      <c r="O1158" s="101"/>
      <c r="P1158" s="101"/>
      <c r="Q1158" s="102"/>
    </row>
    <row r="1159">
      <c r="A1159" s="140"/>
      <c r="B1159" s="134" t="s">
        <v>18</v>
      </c>
      <c r="C1159" s="134" t="s">
        <v>74</v>
      </c>
      <c r="D1159" s="133" t="s">
        <v>513</v>
      </c>
      <c r="E1159" s="137">
        <v>42914.0</v>
      </c>
      <c r="F1159" s="22" t="str">
        <f t="shared" si="102"/>
        <v>Jun-2017</v>
      </c>
      <c r="G1159" s="119" t="s">
        <v>20</v>
      </c>
      <c r="H1159" s="119" t="s">
        <v>35</v>
      </c>
      <c r="I1159" s="80" t="s">
        <v>111</v>
      </c>
      <c r="J1159" s="25" t="s">
        <v>216</v>
      </c>
      <c r="K1159" s="25" t="s">
        <v>9</v>
      </c>
      <c r="L1159" s="25" t="s">
        <v>24</v>
      </c>
      <c r="M1159" s="25" t="s">
        <v>24</v>
      </c>
      <c r="N1159" s="25" t="s">
        <v>98</v>
      </c>
      <c r="Q1159" s="99"/>
    </row>
    <row r="1160">
      <c r="A1160" s="140"/>
      <c r="B1160" s="134" t="s">
        <v>18</v>
      </c>
      <c r="C1160" s="134" t="s">
        <v>74</v>
      </c>
      <c r="D1160" s="133" t="s">
        <v>513</v>
      </c>
      <c r="E1160" s="137">
        <v>42914.0</v>
      </c>
      <c r="F1160" s="22" t="str">
        <f t="shared" si="102"/>
        <v>Jun-2017</v>
      </c>
      <c r="G1160" s="91" t="s">
        <v>25</v>
      </c>
      <c r="H1160" s="119" t="s">
        <v>35</v>
      </c>
      <c r="I1160" s="80" t="s">
        <v>111</v>
      </c>
      <c r="J1160" s="25" t="s">
        <v>216</v>
      </c>
      <c r="K1160" s="25" t="s">
        <v>9</v>
      </c>
      <c r="L1160" s="25" t="s">
        <v>24</v>
      </c>
      <c r="M1160" s="25"/>
      <c r="N1160" s="25" t="s">
        <v>98</v>
      </c>
      <c r="Q1160" s="99"/>
    </row>
    <row r="1161">
      <c r="A1161" s="140"/>
      <c r="B1161" s="134" t="s">
        <v>18</v>
      </c>
      <c r="C1161" s="134" t="s">
        <v>74</v>
      </c>
      <c r="D1161" s="133" t="s">
        <v>513</v>
      </c>
      <c r="E1161" s="137">
        <v>42914.0</v>
      </c>
      <c r="F1161" s="22" t="str">
        <f t="shared" si="102"/>
        <v>Jun-2017</v>
      </c>
      <c r="G1161" s="16" t="s">
        <v>20</v>
      </c>
      <c r="H1161" s="16" t="s">
        <v>35</v>
      </c>
      <c r="I1161" s="48" t="s">
        <v>218</v>
      </c>
      <c r="J1161" s="16" t="s">
        <v>86</v>
      </c>
      <c r="K1161" s="16" t="s">
        <v>9</v>
      </c>
      <c r="L1161" s="16" t="s">
        <v>24</v>
      </c>
      <c r="M1161" s="16" t="s">
        <v>24</v>
      </c>
      <c r="N1161" s="16" t="s">
        <v>69</v>
      </c>
      <c r="O1161" s="101"/>
      <c r="P1161" s="101"/>
      <c r="Q1161" s="102"/>
    </row>
    <row r="1162">
      <c r="A1162" s="141"/>
      <c r="B1162" s="134" t="s">
        <v>18</v>
      </c>
      <c r="C1162" s="134" t="s">
        <v>74</v>
      </c>
      <c r="D1162" s="133" t="s">
        <v>513</v>
      </c>
      <c r="E1162" s="142">
        <v>42914.0</v>
      </c>
      <c r="F1162" s="52" t="str">
        <f t="shared" si="102"/>
        <v>Jun-2017</v>
      </c>
      <c r="G1162" s="93" t="s">
        <v>25</v>
      </c>
      <c r="H1162" s="38" t="s">
        <v>35</v>
      </c>
      <c r="I1162" s="122" t="s">
        <v>218</v>
      </c>
      <c r="J1162" s="38" t="s">
        <v>86</v>
      </c>
      <c r="K1162" s="38" t="s">
        <v>9</v>
      </c>
      <c r="L1162" s="38" t="s">
        <v>24</v>
      </c>
      <c r="M1162" s="38"/>
      <c r="N1162" s="38" t="s">
        <v>99</v>
      </c>
      <c r="O1162" s="105"/>
      <c r="P1162" s="105"/>
      <c r="Q1162" s="106"/>
    </row>
    <row r="1163">
      <c r="A1163" s="107"/>
      <c r="B1163" s="95"/>
      <c r="C1163" s="95"/>
      <c r="D1163" s="95"/>
      <c r="E1163" s="95"/>
      <c r="I1163" s="23"/>
    </row>
    <row r="1164">
      <c r="A1164" s="133" t="s">
        <v>515</v>
      </c>
      <c r="B1164" s="134" t="s">
        <v>151</v>
      </c>
      <c r="C1164" s="134" t="s">
        <v>74</v>
      </c>
      <c r="D1164" s="133" t="s">
        <v>515</v>
      </c>
      <c r="E1164" s="168">
        <v>42916.0</v>
      </c>
      <c r="F1164" s="85" t="str">
        <f t="shared" ref="F1164:F1174" si="103">TEXT(E1161:E1164, "mmm") &amp; "-" &amp; TEXT(E1161:E1164, "yyyy") </f>
        <v>Jun-2017</v>
      </c>
      <c r="G1164" s="47" t="s">
        <v>20</v>
      </c>
      <c r="H1164" s="47" t="s">
        <v>35</v>
      </c>
      <c r="I1164" s="79" t="s">
        <v>516</v>
      </c>
      <c r="J1164" s="47" t="s">
        <v>44</v>
      </c>
      <c r="K1164" s="47" t="s">
        <v>9</v>
      </c>
      <c r="L1164" s="47" t="s">
        <v>30</v>
      </c>
      <c r="M1164" s="47" t="s">
        <v>30</v>
      </c>
      <c r="N1164" s="47" t="s">
        <v>69</v>
      </c>
      <c r="O1164" s="152"/>
      <c r="P1164" s="152"/>
      <c r="Q1164" s="153"/>
    </row>
    <row r="1165">
      <c r="A1165" s="134" t="s">
        <v>151</v>
      </c>
      <c r="B1165" s="134" t="s">
        <v>151</v>
      </c>
      <c r="C1165" s="134" t="s">
        <v>74</v>
      </c>
      <c r="D1165" s="133" t="s">
        <v>515</v>
      </c>
      <c r="E1165" s="168">
        <v>42916.0</v>
      </c>
      <c r="F1165" s="22" t="str">
        <f t="shared" si="103"/>
        <v>Jun-2017</v>
      </c>
      <c r="G1165" s="17" t="s">
        <v>25</v>
      </c>
      <c r="H1165" s="16" t="s">
        <v>35</v>
      </c>
      <c r="I1165" s="48" t="s">
        <v>516</v>
      </c>
      <c r="J1165" s="16" t="s">
        <v>44</v>
      </c>
      <c r="K1165" s="16" t="s">
        <v>9</v>
      </c>
      <c r="L1165" s="16" t="s">
        <v>30</v>
      </c>
      <c r="M1165" s="16"/>
      <c r="N1165" s="16" t="s">
        <v>99</v>
      </c>
      <c r="O1165" s="101"/>
      <c r="P1165" s="101"/>
      <c r="Q1165" s="102"/>
    </row>
    <row r="1166">
      <c r="A1166" s="134" t="s">
        <v>368</v>
      </c>
      <c r="B1166" s="134" t="s">
        <v>151</v>
      </c>
      <c r="C1166" s="134" t="s">
        <v>74</v>
      </c>
      <c r="D1166" s="133" t="s">
        <v>515</v>
      </c>
      <c r="E1166" s="168">
        <v>42916.0</v>
      </c>
      <c r="F1166" s="22" t="str">
        <f t="shared" si="103"/>
        <v>Jun-2017</v>
      </c>
      <c r="G1166" s="119" t="s">
        <v>20</v>
      </c>
      <c r="H1166" s="119" t="s">
        <v>35</v>
      </c>
      <c r="I1166" s="80" t="s">
        <v>399</v>
      </c>
      <c r="J1166" s="25" t="s">
        <v>9</v>
      </c>
      <c r="K1166" s="25" t="s">
        <v>9</v>
      </c>
      <c r="L1166" s="25" t="s">
        <v>24</v>
      </c>
      <c r="M1166" s="119" t="s">
        <v>30</v>
      </c>
      <c r="N1166" s="119" t="s">
        <v>69</v>
      </c>
      <c r="Q1166" s="99"/>
    </row>
    <row r="1167">
      <c r="A1167" s="168">
        <v>42916.0</v>
      </c>
      <c r="B1167" s="134" t="s">
        <v>151</v>
      </c>
      <c r="C1167" s="134" t="s">
        <v>74</v>
      </c>
      <c r="D1167" s="133" t="s">
        <v>515</v>
      </c>
      <c r="E1167" s="168">
        <v>42916.0</v>
      </c>
      <c r="F1167" s="22" t="str">
        <f t="shared" si="103"/>
        <v>Jun-2017</v>
      </c>
      <c r="G1167" s="91" t="s">
        <v>25</v>
      </c>
      <c r="H1167" s="119" t="s">
        <v>35</v>
      </c>
      <c r="I1167" s="80" t="s">
        <v>399</v>
      </c>
      <c r="J1167" s="25" t="s">
        <v>9</v>
      </c>
      <c r="K1167" s="25" t="s">
        <v>9</v>
      </c>
      <c r="L1167" s="25" t="s">
        <v>30</v>
      </c>
      <c r="M1167" s="25"/>
      <c r="N1167" s="25" t="s">
        <v>37</v>
      </c>
      <c r="Q1167" s="99"/>
    </row>
    <row r="1168">
      <c r="A1168" s="134" t="s">
        <v>74</v>
      </c>
      <c r="B1168" s="134" t="s">
        <v>151</v>
      </c>
      <c r="C1168" s="134" t="s">
        <v>74</v>
      </c>
      <c r="D1168" s="133" t="s">
        <v>515</v>
      </c>
      <c r="E1168" s="168">
        <v>42916.0</v>
      </c>
      <c r="F1168" s="22" t="str">
        <f t="shared" si="103"/>
        <v>Jun-2017</v>
      </c>
      <c r="G1168" s="119" t="s">
        <v>32</v>
      </c>
      <c r="H1168" s="119" t="s">
        <v>35</v>
      </c>
      <c r="I1168" s="80" t="s">
        <v>399</v>
      </c>
      <c r="J1168" s="25" t="s">
        <v>9</v>
      </c>
      <c r="K1168" s="25" t="s">
        <v>9</v>
      </c>
      <c r="L1168" s="25" t="s">
        <v>30</v>
      </c>
      <c r="M1168" s="25"/>
      <c r="N1168" s="25" t="s">
        <v>98</v>
      </c>
      <c r="Q1168" s="99"/>
    </row>
    <row r="1169">
      <c r="A1169" s="140"/>
      <c r="B1169" s="134" t="s">
        <v>151</v>
      </c>
      <c r="C1169" s="134" t="s">
        <v>74</v>
      </c>
      <c r="D1169" s="133" t="s">
        <v>515</v>
      </c>
      <c r="E1169" s="168">
        <v>42916.0</v>
      </c>
      <c r="F1169" s="22" t="str">
        <f t="shared" si="103"/>
        <v>Jun-2017</v>
      </c>
      <c r="G1169" s="16" t="s">
        <v>20</v>
      </c>
      <c r="H1169" s="16" t="s">
        <v>35</v>
      </c>
      <c r="I1169" s="48" t="s">
        <v>259</v>
      </c>
      <c r="J1169" s="16" t="s">
        <v>97</v>
      </c>
      <c r="K1169" s="16" t="s">
        <v>9</v>
      </c>
      <c r="L1169" s="16" t="s">
        <v>24</v>
      </c>
      <c r="M1169" s="16" t="s">
        <v>24</v>
      </c>
      <c r="N1169" s="16" t="s">
        <v>98</v>
      </c>
      <c r="O1169" s="101"/>
      <c r="P1169" s="101"/>
      <c r="Q1169" s="102"/>
    </row>
    <row r="1170">
      <c r="A1170" s="140"/>
      <c r="B1170" s="134" t="s">
        <v>151</v>
      </c>
      <c r="C1170" s="134" t="s">
        <v>74</v>
      </c>
      <c r="D1170" s="133" t="s">
        <v>515</v>
      </c>
      <c r="E1170" s="168">
        <v>42916.0</v>
      </c>
      <c r="F1170" s="22" t="str">
        <f t="shared" si="103"/>
        <v>Jun-2017</v>
      </c>
      <c r="G1170" s="17" t="s">
        <v>25</v>
      </c>
      <c r="H1170" s="16" t="s">
        <v>35</v>
      </c>
      <c r="I1170" s="48" t="s">
        <v>259</v>
      </c>
      <c r="J1170" s="16" t="s">
        <v>97</v>
      </c>
      <c r="K1170" s="16" t="s">
        <v>9</v>
      </c>
      <c r="L1170" s="16" t="s">
        <v>24</v>
      </c>
      <c r="M1170" s="16"/>
      <c r="N1170" s="16" t="s">
        <v>106</v>
      </c>
      <c r="O1170" s="101"/>
      <c r="P1170" s="101"/>
      <c r="Q1170" s="102"/>
    </row>
    <row r="1171">
      <c r="A1171" s="140"/>
      <c r="B1171" s="134" t="s">
        <v>151</v>
      </c>
      <c r="C1171" s="134" t="s">
        <v>74</v>
      </c>
      <c r="D1171" s="133" t="s">
        <v>515</v>
      </c>
      <c r="E1171" s="168">
        <v>42916.0</v>
      </c>
      <c r="F1171" s="22" t="str">
        <f t="shared" si="103"/>
        <v>Jun-2017</v>
      </c>
      <c r="G1171" s="119" t="s">
        <v>20</v>
      </c>
      <c r="H1171" s="119" t="s">
        <v>35</v>
      </c>
      <c r="I1171" s="80" t="s">
        <v>512</v>
      </c>
      <c r="J1171" s="25" t="s">
        <v>9</v>
      </c>
      <c r="K1171" s="25" t="s">
        <v>9</v>
      </c>
      <c r="L1171" s="25" t="s">
        <v>30</v>
      </c>
      <c r="M1171" s="25" t="s">
        <v>30</v>
      </c>
      <c r="N1171" s="25" t="s">
        <v>99</v>
      </c>
      <c r="Q1171" s="99"/>
    </row>
    <row r="1172">
      <c r="A1172" s="140"/>
      <c r="B1172" s="134" t="s">
        <v>151</v>
      </c>
      <c r="C1172" s="134" t="s">
        <v>74</v>
      </c>
      <c r="D1172" s="133" t="s">
        <v>515</v>
      </c>
      <c r="E1172" s="168">
        <v>42916.0</v>
      </c>
      <c r="F1172" s="22" t="str">
        <f t="shared" si="103"/>
        <v>Jun-2017</v>
      </c>
      <c r="G1172" s="91" t="s">
        <v>25</v>
      </c>
      <c r="H1172" s="119" t="s">
        <v>35</v>
      </c>
      <c r="I1172" s="80" t="s">
        <v>512</v>
      </c>
      <c r="J1172" s="25" t="s">
        <v>9</v>
      </c>
      <c r="K1172" s="25" t="s">
        <v>9</v>
      </c>
      <c r="L1172" s="25" t="s">
        <v>30</v>
      </c>
      <c r="M1172" s="25"/>
      <c r="N1172" s="25" t="s">
        <v>37</v>
      </c>
      <c r="Q1172" s="99"/>
    </row>
    <row r="1173">
      <c r="A1173" s="140"/>
      <c r="B1173" s="134" t="s">
        <v>151</v>
      </c>
      <c r="C1173" s="134" t="s">
        <v>74</v>
      </c>
      <c r="D1173" s="133" t="s">
        <v>515</v>
      </c>
      <c r="E1173" s="168">
        <v>42916.0</v>
      </c>
      <c r="F1173" s="22" t="str">
        <f t="shared" si="103"/>
        <v>Jun-2017</v>
      </c>
      <c r="G1173" s="16" t="s">
        <v>20</v>
      </c>
      <c r="H1173" s="16" t="s">
        <v>35</v>
      </c>
      <c r="I1173" s="48" t="s">
        <v>148</v>
      </c>
      <c r="J1173" s="16" t="s">
        <v>27</v>
      </c>
      <c r="K1173" s="16" t="s">
        <v>9</v>
      </c>
      <c r="L1173" s="16" t="s">
        <v>30</v>
      </c>
      <c r="M1173" s="16" t="s">
        <v>30</v>
      </c>
      <c r="N1173" s="16" t="s">
        <v>69</v>
      </c>
      <c r="O1173" s="101"/>
      <c r="P1173" s="101"/>
      <c r="Q1173" s="102"/>
    </row>
    <row r="1174">
      <c r="A1174" s="140"/>
      <c r="B1174" s="134" t="s">
        <v>151</v>
      </c>
      <c r="C1174" s="134" t="s">
        <v>74</v>
      </c>
      <c r="D1174" s="133" t="s">
        <v>515</v>
      </c>
      <c r="E1174" s="168">
        <v>42916.0</v>
      </c>
      <c r="F1174" s="22" t="str">
        <f t="shared" si="103"/>
        <v>Jun-2017</v>
      </c>
      <c r="G1174" s="17" t="s">
        <v>25</v>
      </c>
      <c r="H1174" s="16" t="s">
        <v>35</v>
      </c>
      <c r="I1174" s="48" t="s">
        <v>148</v>
      </c>
      <c r="J1174" s="16" t="s">
        <v>27</v>
      </c>
      <c r="K1174" s="16" t="s">
        <v>9</v>
      </c>
      <c r="L1174" s="16" t="s">
        <v>30</v>
      </c>
      <c r="M1174" s="16"/>
      <c r="N1174" s="16" t="s">
        <v>37</v>
      </c>
      <c r="O1174" s="101"/>
      <c r="P1174" s="101"/>
      <c r="Q1174" s="102"/>
    </row>
    <row r="1175">
      <c r="A1175" s="141"/>
      <c r="B1175" s="134" t="s">
        <v>151</v>
      </c>
      <c r="C1175" s="134" t="s">
        <v>74</v>
      </c>
      <c r="D1175" s="133" t="s">
        <v>515</v>
      </c>
      <c r="E1175" s="168">
        <v>42916.0</v>
      </c>
      <c r="F1175" s="52" t="str">
        <f>TEXT(E1175, "mmm") &amp; "-" &amp; TEXT(E1175, "yyyy") </f>
        <v>Jun-2017</v>
      </c>
      <c r="G1175" s="93" t="s">
        <v>25</v>
      </c>
      <c r="H1175" s="38" t="s">
        <v>35</v>
      </c>
      <c r="I1175" s="122" t="s">
        <v>148</v>
      </c>
      <c r="J1175" s="38" t="s">
        <v>27</v>
      </c>
      <c r="K1175" s="38" t="s">
        <v>9</v>
      </c>
      <c r="L1175" s="38" t="s">
        <v>24</v>
      </c>
      <c r="M1175" s="38"/>
      <c r="N1175" s="38" t="s">
        <v>99</v>
      </c>
      <c r="O1175" s="105"/>
      <c r="P1175" s="105"/>
      <c r="Q1175" s="106"/>
    </row>
    <row r="1176">
      <c r="A1176" s="107"/>
      <c r="B1176" s="95"/>
      <c r="C1176" s="95"/>
      <c r="D1176" s="95"/>
      <c r="E1176" s="95"/>
      <c r="I1176" s="23"/>
    </row>
    <row r="1177">
      <c r="A1177" s="133" t="s">
        <v>517</v>
      </c>
      <c r="B1177" s="134" t="s">
        <v>518</v>
      </c>
      <c r="C1177" s="134" t="s">
        <v>74</v>
      </c>
      <c r="D1177" s="133" t="s">
        <v>517</v>
      </c>
      <c r="E1177" s="168">
        <v>42919.0</v>
      </c>
      <c r="F1177" s="85" t="str">
        <f t="shared" ref="F1177:F1190" si="104">TEXT(E1174:E1177, "mmm") &amp; "-" &amp; TEXT(E1174:E1177, "yyyy") </f>
        <v>Jul-2017</v>
      </c>
      <c r="G1177" s="218" t="s">
        <v>20</v>
      </c>
      <c r="H1177" s="218" t="s">
        <v>35</v>
      </c>
      <c r="I1177" s="220" t="s">
        <v>219</v>
      </c>
      <c r="J1177" s="218" t="s">
        <v>97</v>
      </c>
      <c r="K1177" s="218" t="s">
        <v>9</v>
      </c>
      <c r="L1177" s="218" t="s">
        <v>30</v>
      </c>
      <c r="M1177" s="218" t="s">
        <v>30</v>
      </c>
      <c r="N1177" s="218" t="s">
        <v>98</v>
      </c>
      <c r="O1177" s="221"/>
      <c r="P1177" s="221"/>
      <c r="Q1177" s="222"/>
    </row>
    <row r="1178">
      <c r="A1178" s="134" t="s">
        <v>518</v>
      </c>
      <c r="B1178" s="134" t="s">
        <v>518</v>
      </c>
      <c r="C1178" s="134" t="s">
        <v>74</v>
      </c>
      <c r="D1178" s="133" t="s">
        <v>517</v>
      </c>
      <c r="E1178" s="168">
        <v>42919.0</v>
      </c>
      <c r="F1178" s="22" t="str">
        <f t="shared" si="104"/>
        <v>Jul-2017</v>
      </c>
      <c r="G1178" s="91" t="s">
        <v>25</v>
      </c>
      <c r="H1178" s="119" t="s">
        <v>35</v>
      </c>
      <c r="I1178" s="126" t="s">
        <v>219</v>
      </c>
      <c r="J1178" s="119" t="s">
        <v>97</v>
      </c>
      <c r="K1178" s="119" t="s">
        <v>9</v>
      </c>
      <c r="L1178" s="119" t="s">
        <v>24</v>
      </c>
      <c r="M1178" s="119"/>
      <c r="N1178" s="119" t="s">
        <v>99</v>
      </c>
      <c r="O1178" s="174"/>
      <c r="P1178" s="174"/>
      <c r="Q1178" s="175"/>
    </row>
    <row r="1179">
      <c r="A1179" s="134" t="s">
        <v>519</v>
      </c>
      <c r="B1179" s="134" t="s">
        <v>518</v>
      </c>
      <c r="C1179" s="134" t="s">
        <v>74</v>
      </c>
      <c r="D1179" s="133" t="s">
        <v>517</v>
      </c>
      <c r="E1179" s="168">
        <v>42919.0</v>
      </c>
      <c r="F1179" s="22" t="str">
        <f t="shared" si="104"/>
        <v>Jul-2017</v>
      </c>
      <c r="G1179" s="119" t="s">
        <v>32</v>
      </c>
      <c r="H1179" s="119" t="s">
        <v>35</v>
      </c>
      <c r="I1179" s="126" t="s">
        <v>219</v>
      </c>
      <c r="J1179" s="119" t="s">
        <v>97</v>
      </c>
      <c r="K1179" s="119" t="s">
        <v>9</v>
      </c>
      <c r="L1179" s="119" t="s">
        <v>30</v>
      </c>
      <c r="M1179" s="119"/>
      <c r="N1179" s="119" t="s">
        <v>106</v>
      </c>
      <c r="O1179" s="174"/>
      <c r="P1179" s="174"/>
      <c r="Q1179" s="175"/>
    </row>
    <row r="1180">
      <c r="A1180" s="168">
        <v>42919.0</v>
      </c>
      <c r="B1180" s="134" t="s">
        <v>518</v>
      </c>
      <c r="C1180" s="134" t="s">
        <v>74</v>
      </c>
      <c r="D1180" s="133" t="s">
        <v>517</v>
      </c>
      <c r="E1180" s="168">
        <v>42919.0</v>
      </c>
      <c r="F1180" s="22" t="str">
        <f t="shared" si="104"/>
        <v>Jul-2017</v>
      </c>
      <c r="G1180" s="16" t="s">
        <v>20</v>
      </c>
      <c r="H1180" s="16" t="s">
        <v>35</v>
      </c>
      <c r="I1180" s="48" t="s">
        <v>231</v>
      </c>
      <c r="J1180" s="16" t="s">
        <v>86</v>
      </c>
      <c r="K1180" s="16" t="s">
        <v>9</v>
      </c>
      <c r="L1180" s="16" t="s">
        <v>30</v>
      </c>
      <c r="M1180" s="16" t="s">
        <v>24</v>
      </c>
      <c r="N1180" s="16" t="s">
        <v>69</v>
      </c>
      <c r="O1180" s="101"/>
      <c r="P1180" s="101"/>
      <c r="Q1180" s="102"/>
    </row>
    <row r="1181">
      <c r="A1181" s="134" t="s">
        <v>74</v>
      </c>
      <c r="B1181" s="134" t="s">
        <v>518</v>
      </c>
      <c r="C1181" s="134" t="s">
        <v>74</v>
      </c>
      <c r="D1181" s="133" t="s">
        <v>517</v>
      </c>
      <c r="E1181" s="168">
        <v>42919.0</v>
      </c>
      <c r="F1181" s="22" t="str">
        <f t="shared" si="104"/>
        <v>Jul-2017</v>
      </c>
      <c r="G1181" s="17" t="s">
        <v>25</v>
      </c>
      <c r="H1181" s="16" t="s">
        <v>35</v>
      </c>
      <c r="I1181" s="48" t="s">
        <v>231</v>
      </c>
      <c r="J1181" s="16" t="s">
        <v>86</v>
      </c>
      <c r="K1181" s="16" t="s">
        <v>9</v>
      </c>
      <c r="L1181" s="16" t="s">
        <v>24</v>
      </c>
      <c r="M1181" s="16"/>
      <c r="N1181" s="16" t="s">
        <v>98</v>
      </c>
      <c r="O1181" s="101"/>
      <c r="P1181" s="101"/>
      <c r="Q1181" s="102"/>
    </row>
    <row r="1182">
      <c r="A1182" s="140"/>
      <c r="B1182" s="134" t="s">
        <v>518</v>
      </c>
      <c r="C1182" s="134" t="s">
        <v>74</v>
      </c>
      <c r="D1182" s="133" t="s">
        <v>517</v>
      </c>
      <c r="E1182" s="168">
        <v>42919.0</v>
      </c>
      <c r="F1182" s="22" t="str">
        <f t="shared" si="104"/>
        <v>Jul-2017</v>
      </c>
      <c r="G1182" s="16" t="s">
        <v>32</v>
      </c>
      <c r="H1182" s="16" t="s">
        <v>35</v>
      </c>
      <c r="I1182" s="48" t="s">
        <v>231</v>
      </c>
      <c r="J1182" s="16" t="s">
        <v>86</v>
      </c>
      <c r="K1182" s="16" t="s">
        <v>9</v>
      </c>
      <c r="L1182" s="16" t="s">
        <v>24</v>
      </c>
      <c r="M1182" s="16"/>
      <c r="N1182" s="16" t="s">
        <v>29</v>
      </c>
      <c r="O1182" s="101"/>
      <c r="P1182" s="101"/>
      <c r="Q1182" s="102"/>
    </row>
    <row r="1183">
      <c r="A1183" s="140"/>
      <c r="B1183" s="134" t="s">
        <v>518</v>
      </c>
      <c r="C1183" s="134" t="s">
        <v>74</v>
      </c>
      <c r="D1183" s="133" t="s">
        <v>517</v>
      </c>
      <c r="E1183" s="168">
        <v>42919.0</v>
      </c>
      <c r="F1183" s="22" t="str">
        <f t="shared" si="104"/>
        <v>Jul-2017</v>
      </c>
      <c r="G1183" s="119" t="s">
        <v>20</v>
      </c>
      <c r="H1183" s="119" t="s">
        <v>35</v>
      </c>
      <c r="I1183" s="126" t="s">
        <v>520</v>
      </c>
      <c r="J1183" s="119" t="s">
        <v>86</v>
      </c>
      <c r="K1183" s="119" t="s">
        <v>9</v>
      </c>
      <c r="L1183" s="119" t="s">
        <v>30</v>
      </c>
      <c r="M1183" s="119" t="s">
        <v>30</v>
      </c>
      <c r="N1183" s="119" t="s">
        <v>69</v>
      </c>
      <c r="O1183" s="174"/>
      <c r="P1183" s="174"/>
      <c r="Q1183" s="175"/>
    </row>
    <row r="1184">
      <c r="A1184" s="140"/>
      <c r="B1184" s="134" t="s">
        <v>518</v>
      </c>
      <c r="C1184" s="134" t="s">
        <v>74</v>
      </c>
      <c r="D1184" s="133" t="s">
        <v>517</v>
      </c>
      <c r="E1184" s="168">
        <v>42919.0</v>
      </c>
      <c r="F1184" s="22" t="str">
        <f t="shared" si="104"/>
        <v>Jul-2017</v>
      </c>
      <c r="G1184" s="91" t="s">
        <v>25</v>
      </c>
      <c r="H1184" s="119" t="s">
        <v>35</v>
      </c>
      <c r="I1184" s="126" t="s">
        <v>520</v>
      </c>
      <c r="J1184" s="119" t="s">
        <v>86</v>
      </c>
      <c r="K1184" s="119" t="s">
        <v>9</v>
      </c>
      <c r="L1184" s="119" t="s">
        <v>30</v>
      </c>
      <c r="M1184" s="119"/>
      <c r="N1184" s="119" t="s">
        <v>99</v>
      </c>
      <c r="O1184" s="174"/>
      <c r="P1184" s="174"/>
      <c r="Q1184" s="175"/>
    </row>
    <row r="1185">
      <c r="A1185" s="140"/>
      <c r="B1185" s="134" t="s">
        <v>518</v>
      </c>
      <c r="C1185" s="134" t="s">
        <v>74</v>
      </c>
      <c r="D1185" s="133" t="s">
        <v>517</v>
      </c>
      <c r="E1185" s="168">
        <v>42919.0</v>
      </c>
      <c r="F1185" s="22" t="str">
        <f t="shared" si="104"/>
        <v>Jul-2017</v>
      </c>
      <c r="G1185" s="16" t="s">
        <v>20</v>
      </c>
      <c r="H1185" s="16" t="s">
        <v>35</v>
      </c>
      <c r="I1185" s="48" t="s">
        <v>100</v>
      </c>
      <c r="J1185" s="16" t="s">
        <v>9</v>
      </c>
      <c r="K1185" s="16" t="s">
        <v>9</v>
      </c>
      <c r="L1185" s="16" t="s">
        <v>30</v>
      </c>
      <c r="M1185" s="16" t="s">
        <v>30</v>
      </c>
      <c r="N1185" s="16" t="s">
        <v>69</v>
      </c>
      <c r="O1185" s="101"/>
      <c r="P1185" s="101"/>
      <c r="Q1185" s="102"/>
    </row>
    <row r="1186">
      <c r="A1186" s="140"/>
      <c r="B1186" s="134" t="s">
        <v>518</v>
      </c>
      <c r="C1186" s="134" t="s">
        <v>74</v>
      </c>
      <c r="D1186" s="133" t="s">
        <v>517</v>
      </c>
      <c r="E1186" s="168">
        <v>42919.0</v>
      </c>
      <c r="F1186" s="22" t="str">
        <f t="shared" si="104"/>
        <v>Jul-2017</v>
      </c>
      <c r="G1186" s="17" t="s">
        <v>25</v>
      </c>
      <c r="H1186" s="16" t="s">
        <v>35</v>
      </c>
      <c r="I1186" s="48" t="s">
        <v>100</v>
      </c>
      <c r="J1186" s="16" t="s">
        <v>9</v>
      </c>
      <c r="K1186" s="16" t="s">
        <v>9</v>
      </c>
      <c r="L1186" s="16" t="s">
        <v>24</v>
      </c>
      <c r="M1186" s="16"/>
      <c r="N1186" s="16" t="s">
        <v>98</v>
      </c>
      <c r="O1186" s="101"/>
      <c r="P1186" s="101"/>
      <c r="Q1186" s="102"/>
    </row>
    <row r="1187">
      <c r="A1187" s="140"/>
      <c r="B1187" s="134" t="s">
        <v>518</v>
      </c>
      <c r="C1187" s="134" t="s">
        <v>74</v>
      </c>
      <c r="D1187" s="133" t="s">
        <v>517</v>
      </c>
      <c r="E1187" s="168">
        <v>42919.0</v>
      </c>
      <c r="F1187" s="22" t="str">
        <f t="shared" si="104"/>
        <v>Jul-2017</v>
      </c>
      <c r="G1187" s="16" t="s">
        <v>32</v>
      </c>
      <c r="H1187" s="16" t="s">
        <v>35</v>
      </c>
      <c r="I1187" s="48" t="s">
        <v>100</v>
      </c>
      <c r="J1187" s="16" t="s">
        <v>9</v>
      </c>
      <c r="K1187" s="16" t="s">
        <v>9</v>
      </c>
      <c r="L1187" s="16" t="s">
        <v>30</v>
      </c>
      <c r="M1187" s="16"/>
      <c r="N1187" s="16" t="s">
        <v>106</v>
      </c>
      <c r="O1187" s="101"/>
      <c r="P1187" s="101"/>
      <c r="Q1187" s="102"/>
    </row>
    <row r="1188">
      <c r="A1188" s="140"/>
      <c r="B1188" s="134" t="s">
        <v>518</v>
      </c>
      <c r="C1188" s="134" t="s">
        <v>74</v>
      </c>
      <c r="D1188" s="133" t="s">
        <v>517</v>
      </c>
      <c r="E1188" s="168">
        <v>42919.0</v>
      </c>
      <c r="F1188" s="22" t="str">
        <f t="shared" si="104"/>
        <v>Jul-2017</v>
      </c>
      <c r="G1188" s="119" t="s">
        <v>20</v>
      </c>
      <c r="H1188" s="119" t="s">
        <v>35</v>
      </c>
      <c r="I1188" s="126" t="s">
        <v>103</v>
      </c>
      <c r="J1188" s="119" t="s">
        <v>102</v>
      </c>
      <c r="K1188" s="119" t="s">
        <v>9</v>
      </c>
      <c r="L1188" s="119" t="s">
        <v>30</v>
      </c>
      <c r="M1188" s="119" t="s">
        <v>30</v>
      </c>
      <c r="N1188" s="119" t="s">
        <v>98</v>
      </c>
      <c r="O1188" s="174"/>
      <c r="P1188" s="174"/>
      <c r="Q1188" s="175"/>
    </row>
    <row r="1189">
      <c r="A1189" s="140"/>
      <c r="B1189" s="134" t="s">
        <v>518</v>
      </c>
      <c r="C1189" s="134" t="s">
        <v>74</v>
      </c>
      <c r="D1189" s="133" t="s">
        <v>517</v>
      </c>
      <c r="E1189" s="168">
        <v>42919.0</v>
      </c>
      <c r="F1189" s="22" t="str">
        <f t="shared" si="104"/>
        <v>Jul-2017</v>
      </c>
      <c r="G1189" s="91" t="s">
        <v>25</v>
      </c>
      <c r="H1189" s="119" t="s">
        <v>35</v>
      </c>
      <c r="I1189" s="126" t="s">
        <v>103</v>
      </c>
      <c r="J1189" s="119" t="s">
        <v>23</v>
      </c>
      <c r="K1189" s="119" t="s">
        <v>9</v>
      </c>
      <c r="L1189" s="119" t="s">
        <v>30</v>
      </c>
      <c r="M1189" s="119"/>
      <c r="N1189" s="119" t="s">
        <v>99</v>
      </c>
      <c r="O1189" s="174"/>
      <c r="P1189" s="174"/>
      <c r="Q1189" s="175"/>
    </row>
    <row r="1190">
      <c r="A1190" s="140"/>
      <c r="B1190" s="134" t="s">
        <v>518</v>
      </c>
      <c r="C1190" s="134" t="s">
        <v>74</v>
      </c>
      <c r="D1190" s="133" t="s">
        <v>517</v>
      </c>
      <c r="E1190" s="168">
        <v>42919.0</v>
      </c>
      <c r="F1190" s="22" t="str">
        <f t="shared" si="104"/>
        <v>Jul-2017</v>
      </c>
      <c r="G1190" s="16" t="s">
        <v>20</v>
      </c>
      <c r="H1190" s="16" t="s">
        <v>35</v>
      </c>
      <c r="I1190" s="48" t="s">
        <v>470</v>
      </c>
      <c r="J1190" s="16" t="s">
        <v>44</v>
      </c>
      <c r="K1190" s="16" t="s">
        <v>9</v>
      </c>
      <c r="L1190" s="16" t="s">
        <v>30</v>
      </c>
      <c r="M1190" s="16" t="s">
        <v>24</v>
      </c>
      <c r="N1190" s="16" t="s">
        <v>69</v>
      </c>
      <c r="O1190" s="101"/>
      <c r="P1190" s="101"/>
      <c r="Q1190" s="102"/>
    </row>
    <row r="1191">
      <c r="A1191" s="140"/>
      <c r="B1191" s="134" t="s">
        <v>518</v>
      </c>
      <c r="C1191" s="134" t="s">
        <v>74</v>
      </c>
      <c r="D1191" s="133" t="s">
        <v>517</v>
      </c>
      <c r="E1191" s="168">
        <v>42919.0</v>
      </c>
      <c r="F1191" s="22" t="str">
        <f>TEXT(E1184:E1191, "mmm") &amp; "-" &amp; TEXT(E1184:E1191, "yyyy") </f>
        <v>Jul-2017</v>
      </c>
      <c r="G1191" s="17" t="s">
        <v>25</v>
      </c>
      <c r="H1191" s="16" t="s">
        <v>35</v>
      </c>
      <c r="I1191" s="48" t="s">
        <v>470</v>
      </c>
      <c r="J1191" s="16" t="s">
        <v>44</v>
      </c>
      <c r="K1191" s="16" t="s">
        <v>9</v>
      </c>
      <c r="L1191" s="16" t="s">
        <v>24</v>
      </c>
      <c r="M1191" s="16"/>
      <c r="N1191" s="16" t="s">
        <v>99</v>
      </c>
      <c r="O1191" s="101"/>
      <c r="P1191" s="101"/>
      <c r="Q1191" s="102"/>
    </row>
    <row r="1192">
      <c r="A1192" s="141"/>
      <c r="B1192" s="134" t="s">
        <v>518</v>
      </c>
      <c r="C1192" s="134" t="s">
        <v>74</v>
      </c>
      <c r="D1192" s="133" t="s">
        <v>517</v>
      </c>
      <c r="E1192" s="168">
        <v>42919.0</v>
      </c>
      <c r="F1192" s="52" t="str">
        <f>TEXT(E1192, "mmm") &amp; "-" &amp; TEXT(E1192, "yyyy") </f>
        <v>Jul-2017</v>
      </c>
      <c r="G1192" s="38" t="s">
        <v>32</v>
      </c>
      <c r="H1192" s="38" t="s">
        <v>35</v>
      </c>
      <c r="I1192" s="122" t="s">
        <v>470</v>
      </c>
      <c r="J1192" s="38" t="s">
        <v>44</v>
      </c>
      <c r="K1192" s="38" t="s">
        <v>9</v>
      </c>
      <c r="L1192" s="38" t="s">
        <v>24</v>
      </c>
      <c r="M1192" s="38"/>
      <c r="N1192" s="38" t="s">
        <v>98</v>
      </c>
      <c r="O1192" s="105"/>
      <c r="P1192" s="105"/>
      <c r="Q1192" s="106"/>
    </row>
    <row r="1193">
      <c r="A1193" s="107"/>
      <c r="B1193" s="95"/>
      <c r="C1193" s="95"/>
      <c r="D1193" s="95"/>
      <c r="E1193" s="95"/>
      <c r="I1193" s="23"/>
    </row>
    <row r="1194">
      <c r="A1194" s="133" t="s">
        <v>521</v>
      </c>
      <c r="B1194" s="134" t="s">
        <v>18</v>
      </c>
      <c r="C1194" s="134" t="s">
        <v>74</v>
      </c>
      <c r="D1194" s="133" t="s">
        <v>521</v>
      </c>
      <c r="E1194" s="168">
        <v>42921.0</v>
      </c>
      <c r="F1194" s="85" t="str">
        <f t="shared" ref="F1194:F1197" si="105">TEXT(E1191:E1194, "mmm") &amp; "-" &amp; TEXT(E1191:E1194, "yyyy") </f>
        <v>Jul-2017</v>
      </c>
      <c r="G1194" s="218" t="s">
        <v>20</v>
      </c>
      <c r="H1194" s="218" t="s">
        <v>35</v>
      </c>
      <c r="I1194" s="86" t="s">
        <v>522</v>
      </c>
      <c r="J1194" s="73" t="s">
        <v>9</v>
      </c>
      <c r="K1194" s="73" t="s">
        <v>9</v>
      </c>
      <c r="L1194" s="73" t="s">
        <v>30</v>
      </c>
      <c r="M1194" s="73" t="s">
        <v>30</v>
      </c>
      <c r="N1194" s="73" t="s">
        <v>69</v>
      </c>
      <c r="O1194" s="165"/>
      <c r="P1194" s="165"/>
      <c r="Q1194" s="166"/>
    </row>
    <row r="1195">
      <c r="A1195" s="134" t="s">
        <v>18</v>
      </c>
      <c r="B1195" s="134" t="s">
        <v>18</v>
      </c>
      <c r="C1195" s="134" t="s">
        <v>74</v>
      </c>
      <c r="D1195" s="133" t="s">
        <v>521</v>
      </c>
      <c r="E1195" s="168">
        <v>42921.0</v>
      </c>
      <c r="F1195" s="22" t="str">
        <f t="shared" si="105"/>
        <v>Jul-2017</v>
      </c>
      <c r="G1195" s="91" t="s">
        <v>25</v>
      </c>
      <c r="H1195" s="119" t="s">
        <v>35</v>
      </c>
      <c r="I1195" s="80" t="s">
        <v>522</v>
      </c>
      <c r="J1195" s="25" t="s">
        <v>9</v>
      </c>
      <c r="K1195" s="25" t="s">
        <v>9</v>
      </c>
      <c r="L1195" s="25" t="s">
        <v>30</v>
      </c>
      <c r="M1195" s="25"/>
      <c r="N1195" s="25" t="s">
        <v>98</v>
      </c>
      <c r="Q1195" s="99"/>
    </row>
    <row r="1196">
      <c r="A1196" s="134" t="s">
        <v>331</v>
      </c>
      <c r="B1196" s="134" t="s">
        <v>18</v>
      </c>
      <c r="C1196" s="134" t="s">
        <v>74</v>
      </c>
      <c r="D1196" s="133" t="s">
        <v>521</v>
      </c>
      <c r="E1196" s="168">
        <v>42921.0</v>
      </c>
      <c r="F1196" s="22" t="str">
        <f t="shared" si="105"/>
        <v>Jul-2017</v>
      </c>
      <c r="G1196" s="16" t="s">
        <v>20</v>
      </c>
      <c r="H1196" s="16" t="s">
        <v>35</v>
      </c>
      <c r="I1196" s="48" t="s">
        <v>346</v>
      </c>
      <c r="J1196" s="16" t="s">
        <v>44</v>
      </c>
      <c r="K1196" s="16" t="s">
        <v>9</v>
      </c>
      <c r="L1196" s="16" t="s">
        <v>24</v>
      </c>
      <c r="M1196" s="16" t="s">
        <v>24</v>
      </c>
      <c r="N1196" s="16" t="s">
        <v>69</v>
      </c>
      <c r="O1196" s="101"/>
      <c r="P1196" s="101"/>
      <c r="Q1196" s="102"/>
    </row>
    <row r="1197">
      <c r="A1197" s="168">
        <v>42921.0</v>
      </c>
      <c r="B1197" s="134" t="s">
        <v>18</v>
      </c>
      <c r="C1197" s="134" t="s">
        <v>74</v>
      </c>
      <c r="D1197" s="133" t="s">
        <v>521</v>
      </c>
      <c r="E1197" s="168">
        <v>42921.0</v>
      </c>
      <c r="F1197" s="22" t="str">
        <f t="shared" si="105"/>
        <v>Jul-2017</v>
      </c>
      <c r="G1197" s="17" t="s">
        <v>25</v>
      </c>
      <c r="H1197" s="16" t="s">
        <v>35</v>
      </c>
      <c r="I1197" s="48" t="s">
        <v>346</v>
      </c>
      <c r="J1197" s="16" t="s">
        <v>44</v>
      </c>
      <c r="K1197" s="16" t="s">
        <v>9</v>
      </c>
      <c r="L1197" s="16" t="s">
        <v>24</v>
      </c>
      <c r="M1197" s="16"/>
      <c r="N1197" s="16" t="s">
        <v>98</v>
      </c>
      <c r="O1197" s="101"/>
      <c r="P1197" s="101"/>
      <c r="Q1197" s="102"/>
    </row>
    <row r="1198">
      <c r="A1198" s="134" t="s">
        <v>74</v>
      </c>
      <c r="B1198" s="134" t="s">
        <v>18</v>
      </c>
      <c r="C1198" s="134" t="s">
        <v>74</v>
      </c>
      <c r="D1198" s="133" t="s">
        <v>521</v>
      </c>
      <c r="E1198" s="168">
        <v>42921.0</v>
      </c>
      <c r="F1198" s="22" t="str">
        <f t="shared" ref="F1198:F1202" si="106">TEXT(E1196:E1198, "mmm") &amp; "-" &amp; TEXT(E1196:E1198, "yyyy") </f>
        <v>Jul-2017</v>
      </c>
      <c r="G1198" s="119" t="s">
        <v>20</v>
      </c>
      <c r="H1198" s="119" t="s">
        <v>35</v>
      </c>
      <c r="I1198" s="80" t="s">
        <v>523</v>
      </c>
      <c r="J1198" s="25" t="s">
        <v>216</v>
      </c>
      <c r="K1198" s="25" t="s">
        <v>9</v>
      </c>
      <c r="L1198" s="25" t="s">
        <v>30</v>
      </c>
      <c r="M1198" s="25" t="s">
        <v>30</v>
      </c>
      <c r="N1198" s="25" t="s">
        <v>37</v>
      </c>
      <c r="Q1198" s="99"/>
    </row>
    <row r="1199">
      <c r="A1199" s="140"/>
      <c r="B1199" s="134" t="s">
        <v>18</v>
      </c>
      <c r="C1199" s="134" t="s">
        <v>74</v>
      </c>
      <c r="D1199" s="133" t="s">
        <v>521</v>
      </c>
      <c r="E1199" s="168">
        <v>42921.0</v>
      </c>
      <c r="F1199" s="22" t="str">
        <f t="shared" si="106"/>
        <v>Jul-2017</v>
      </c>
      <c r="G1199" s="91" t="s">
        <v>25</v>
      </c>
      <c r="H1199" s="119" t="s">
        <v>35</v>
      </c>
      <c r="I1199" s="80" t="s">
        <v>523</v>
      </c>
      <c r="J1199" s="25" t="s">
        <v>216</v>
      </c>
      <c r="K1199" s="25" t="s">
        <v>9</v>
      </c>
      <c r="L1199" s="25" t="s">
        <v>30</v>
      </c>
      <c r="M1199" s="25"/>
      <c r="N1199" s="25" t="s">
        <v>99</v>
      </c>
      <c r="Q1199" s="99"/>
    </row>
    <row r="1200">
      <c r="A1200" s="140"/>
      <c r="B1200" s="134" t="s">
        <v>18</v>
      </c>
      <c r="C1200" s="134" t="s">
        <v>74</v>
      </c>
      <c r="D1200" s="133" t="s">
        <v>521</v>
      </c>
      <c r="E1200" s="168">
        <v>42921.0</v>
      </c>
      <c r="F1200" s="22" t="str">
        <f t="shared" si="106"/>
        <v>Jul-2017</v>
      </c>
      <c r="G1200" s="16" t="s">
        <v>20</v>
      </c>
      <c r="H1200" s="16" t="s">
        <v>35</v>
      </c>
      <c r="I1200" s="48" t="s">
        <v>163</v>
      </c>
      <c r="J1200" s="16" t="s">
        <v>44</v>
      </c>
      <c r="K1200" s="16" t="s">
        <v>9</v>
      </c>
      <c r="L1200" s="16" t="s">
        <v>30</v>
      </c>
      <c r="M1200" s="16" t="s">
        <v>30</v>
      </c>
      <c r="N1200" s="16" t="s">
        <v>98</v>
      </c>
      <c r="O1200" s="101"/>
      <c r="P1200" s="101"/>
      <c r="Q1200" s="102"/>
    </row>
    <row r="1201">
      <c r="A1201" s="140"/>
      <c r="B1201" s="134" t="s">
        <v>18</v>
      </c>
      <c r="C1201" s="134" t="s">
        <v>74</v>
      </c>
      <c r="D1201" s="133" t="s">
        <v>521</v>
      </c>
      <c r="E1201" s="168">
        <v>42921.0</v>
      </c>
      <c r="F1201" s="22" t="str">
        <f t="shared" si="106"/>
        <v>Jul-2017</v>
      </c>
      <c r="G1201" s="17" t="s">
        <v>25</v>
      </c>
      <c r="H1201" s="16" t="s">
        <v>35</v>
      </c>
      <c r="I1201" s="48" t="s">
        <v>163</v>
      </c>
      <c r="J1201" s="16" t="s">
        <v>44</v>
      </c>
      <c r="K1201" s="16" t="s">
        <v>9</v>
      </c>
      <c r="L1201" s="16" t="s">
        <v>30</v>
      </c>
      <c r="M1201" s="16"/>
      <c r="N1201" s="16" t="s">
        <v>69</v>
      </c>
      <c r="O1201" s="101"/>
      <c r="P1201" s="101"/>
      <c r="Q1201" s="102"/>
    </row>
    <row r="1202">
      <c r="A1202" s="140"/>
      <c r="B1202" s="134" t="s">
        <v>18</v>
      </c>
      <c r="C1202" s="134" t="s">
        <v>74</v>
      </c>
      <c r="D1202" s="133" t="s">
        <v>521</v>
      </c>
      <c r="E1202" s="168">
        <v>42921.0</v>
      </c>
      <c r="F1202" s="22" t="str">
        <f t="shared" si="106"/>
        <v>Jul-2017</v>
      </c>
      <c r="G1202" s="119" t="s">
        <v>20</v>
      </c>
      <c r="H1202" s="119" t="s">
        <v>35</v>
      </c>
      <c r="I1202" s="126" t="s">
        <v>394</v>
      </c>
      <c r="J1202" s="119" t="s">
        <v>27</v>
      </c>
      <c r="K1202" s="119" t="s">
        <v>9</v>
      </c>
      <c r="L1202" s="119" t="s">
        <v>30</v>
      </c>
      <c r="M1202" s="119" t="s">
        <v>24</v>
      </c>
      <c r="N1202" s="119" t="s">
        <v>69</v>
      </c>
      <c r="O1202" s="174"/>
      <c r="P1202" s="174"/>
      <c r="Q1202" s="175"/>
    </row>
    <row r="1203">
      <c r="A1203" s="140"/>
      <c r="B1203" s="134" t="s">
        <v>18</v>
      </c>
      <c r="C1203" s="134" t="s">
        <v>74</v>
      </c>
      <c r="D1203" s="133" t="s">
        <v>521</v>
      </c>
      <c r="E1203" s="168">
        <v>42921.0</v>
      </c>
      <c r="F1203" s="22" t="str">
        <f>TEXT(E1198:E1203, "mmm") &amp; "-" &amp; TEXT(E1198:E1203, "yyyy") </f>
        <v>Jul-2017</v>
      </c>
      <c r="G1203" s="91" t="s">
        <v>25</v>
      </c>
      <c r="H1203" s="119" t="s">
        <v>35</v>
      </c>
      <c r="I1203" s="126" t="s">
        <v>394</v>
      </c>
      <c r="J1203" s="119" t="s">
        <v>27</v>
      </c>
      <c r="K1203" s="119" t="s">
        <v>9</v>
      </c>
      <c r="L1203" s="119" t="s">
        <v>24</v>
      </c>
      <c r="M1203" s="119"/>
      <c r="N1203" s="119" t="s">
        <v>69</v>
      </c>
      <c r="O1203" s="174"/>
      <c r="P1203" s="174"/>
      <c r="Q1203" s="175"/>
    </row>
    <row r="1204">
      <c r="A1204" s="141"/>
      <c r="B1204" s="134" t="s">
        <v>18</v>
      </c>
      <c r="C1204" s="134" t="s">
        <v>74</v>
      </c>
      <c r="D1204" s="133" t="s">
        <v>521</v>
      </c>
      <c r="E1204" s="168">
        <v>42921.0</v>
      </c>
      <c r="F1204" s="52" t="str">
        <f>TEXT(E1198:E1204, "mmm") &amp; "-" &amp; TEXT(E1198:E1204, "yyyy") </f>
        <v>Jul-2017</v>
      </c>
      <c r="G1204" s="129" t="s">
        <v>32</v>
      </c>
      <c r="H1204" s="114" t="s">
        <v>35</v>
      </c>
      <c r="I1204" s="130" t="s">
        <v>394</v>
      </c>
      <c r="J1204" s="114" t="s">
        <v>27</v>
      </c>
      <c r="K1204" s="114" t="s">
        <v>9</v>
      </c>
      <c r="L1204" s="114" t="s">
        <v>24</v>
      </c>
      <c r="M1204" s="114"/>
      <c r="N1204" s="114" t="s">
        <v>106</v>
      </c>
      <c r="O1204" s="202"/>
      <c r="P1204" s="202"/>
      <c r="Q1204" s="203"/>
    </row>
    <row r="1205">
      <c r="A1205" s="107"/>
      <c r="B1205" s="95"/>
      <c r="C1205" s="95"/>
      <c r="D1205" s="95"/>
      <c r="E1205" s="95"/>
      <c r="I1205" s="23"/>
    </row>
    <row r="1206">
      <c r="A1206" s="133" t="s">
        <v>524</v>
      </c>
      <c r="B1206" s="134" t="s">
        <v>151</v>
      </c>
      <c r="C1206" s="134" t="s">
        <v>74</v>
      </c>
      <c r="D1206" s="133" t="s">
        <v>524</v>
      </c>
      <c r="E1206" s="168">
        <v>42923.0</v>
      </c>
      <c r="F1206" s="85" t="str">
        <f t="shared" ref="F1206:F1216" si="107">TEXT(E1203:E1206, "mmm") &amp; "-" &amp; TEXT(E1203:E1206, "yyyy") </f>
        <v>Jul-2017</v>
      </c>
      <c r="G1206" s="47" t="s">
        <v>20</v>
      </c>
      <c r="H1206" s="47" t="s">
        <v>35</v>
      </c>
      <c r="I1206" s="79" t="s">
        <v>525</v>
      </c>
      <c r="J1206" s="47" t="s">
        <v>86</v>
      </c>
      <c r="K1206" s="47" t="s">
        <v>9</v>
      </c>
      <c r="L1206" s="47" t="s">
        <v>30</v>
      </c>
      <c r="M1206" s="47" t="s">
        <v>30</v>
      </c>
      <c r="N1206" s="47" t="s">
        <v>29</v>
      </c>
      <c r="O1206" s="152"/>
      <c r="P1206" s="152"/>
      <c r="Q1206" s="153"/>
    </row>
    <row r="1207">
      <c r="A1207" s="134" t="s">
        <v>151</v>
      </c>
      <c r="B1207" s="134" t="s">
        <v>151</v>
      </c>
      <c r="C1207" s="134" t="s">
        <v>74</v>
      </c>
      <c r="D1207" s="133" t="s">
        <v>524</v>
      </c>
      <c r="E1207" s="168">
        <v>42923.0</v>
      </c>
      <c r="F1207" s="22" t="str">
        <f t="shared" si="107"/>
        <v>Jul-2017</v>
      </c>
      <c r="G1207" s="17" t="s">
        <v>25</v>
      </c>
      <c r="H1207" s="16" t="s">
        <v>35</v>
      </c>
      <c r="I1207" s="48" t="s">
        <v>525</v>
      </c>
      <c r="J1207" s="16" t="s">
        <v>216</v>
      </c>
      <c r="K1207" s="16" t="s">
        <v>9</v>
      </c>
      <c r="L1207" s="16" t="s">
        <v>30</v>
      </c>
      <c r="M1207" s="16"/>
      <c r="N1207" s="16" t="s">
        <v>106</v>
      </c>
      <c r="O1207" s="101"/>
      <c r="P1207" s="101"/>
      <c r="Q1207" s="102"/>
    </row>
    <row r="1208">
      <c r="A1208" s="134" t="s">
        <v>368</v>
      </c>
      <c r="B1208" s="134" t="s">
        <v>151</v>
      </c>
      <c r="C1208" s="134" t="s">
        <v>74</v>
      </c>
      <c r="D1208" s="133" t="s">
        <v>524</v>
      </c>
      <c r="E1208" s="168">
        <v>42923.0</v>
      </c>
      <c r="F1208" s="22" t="str">
        <f t="shared" si="107"/>
        <v>Jul-2017</v>
      </c>
      <c r="G1208" s="119" t="s">
        <v>20</v>
      </c>
      <c r="H1208" s="119" t="s">
        <v>35</v>
      </c>
      <c r="I1208" s="80" t="s">
        <v>231</v>
      </c>
      <c r="J1208" s="25" t="s">
        <v>86</v>
      </c>
      <c r="K1208" s="25" t="s">
        <v>9</v>
      </c>
      <c r="L1208" s="25" t="s">
        <v>24</v>
      </c>
      <c r="M1208" s="119" t="s">
        <v>24</v>
      </c>
      <c r="N1208" s="119" t="s">
        <v>69</v>
      </c>
      <c r="Q1208" s="99"/>
    </row>
    <row r="1209">
      <c r="A1209" s="168">
        <v>42923.0</v>
      </c>
      <c r="B1209" s="134" t="s">
        <v>151</v>
      </c>
      <c r="C1209" s="134" t="s">
        <v>74</v>
      </c>
      <c r="D1209" s="133" t="s">
        <v>524</v>
      </c>
      <c r="E1209" s="168">
        <v>42923.0</v>
      </c>
      <c r="F1209" s="22" t="str">
        <f t="shared" si="107"/>
        <v>Jul-2017</v>
      </c>
      <c r="G1209" s="91" t="s">
        <v>25</v>
      </c>
      <c r="H1209" s="119" t="s">
        <v>35</v>
      </c>
      <c r="I1209" s="80" t="s">
        <v>231</v>
      </c>
      <c r="J1209" s="25" t="s">
        <v>86</v>
      </c>
      <c r="K1209" s="25" t="s">
        <v>9</v>
      </c>
      <c r="L1209" s="25" t="s">
        <v>30</v>
      </c>
      <c r="M1209" s="25"/>
      <c r="N1209" s="25" t="s">
        <v>29</v>
      </c>
      <c r="Q1209" s="99"/>
    </row>
    <row r="1210">
      <c r="A1210" s="134" t="s">
        <v>74</v>
      </c>
      <c r="B1210" s="134" t="s">
        <v>151</v>
      </c>
      <c r="C1210" s="134" t="s">
        <v>74</v>
      </c>
      <c r="D1210" s="133" t="s">
        <v>524</v>
      </c>
      <c r="E1210" s="168">
        <v>42923.0</v>
      </c>
      <c r="F1210" s="22" t="str">
        <f t="shared" si="107"/>
        <v>Jul-2017</v>
      </c>
      <c r="G1210" s="119" t="s">
        <v>32</v>
      </c>
      <c r="H1210" s="119" t="s">
        <v>35</v>
      </c>
      <c r="I1210" s="80" t="s">
        <v>231</v>
      </c>
      <c r="J1210" s="25" t="s">
        <v>86</v>
      </c>
      <c r="K1210" s="25" t="s">
        <v>9</v>
      </c>
      <c r="L1210" s="25" t="s">
        <v>24</v>
      </c>
      <c r="M1210" s="25"/>
      <c r="N1210" s="25" t="s">
        <v>98</v>
      </c>
      <c r="Q1210" s="99"/>
    </row>
    <row r="1211">
      <c r="A1211" s="140"/>
      <c r="B1211" s="134" t="s">
        <v>151</v>
      </c>
      <c r="C1211" s="134" t="s">
        <v>74</v>
      </c>
      <c r="D1211" s="133" t="s">
        <v>524</v>
      </c>
      <c r="E1211" s="168">
        <v>42923.0</v>
      </c>
      <c r="F1211" s="22" t="str">
        <f t="shared" si="107"/>
        <v>Jul-2017</v>
      </c>
      <c r="G1211" s="16" t="s">
        <v>20</v>
      </c>
      <c r="H1211" s="16" t="s">
        <v>35</v>
      </c>
      <c r="I1211" s="48" t="s">
        <v>226</v>
      </c>
      <c r="J1211" s="16" t="s">
        <v>9</v>
      </c>
      <c r="K1211" s="16" t="s">
        <v>9</v>
      </c>
      <c r="L1211" s="16" t="s">
        <v>30</v>
      </c>
      <c r="M1211" s="16" t="s">
        <v>30</v>
      </c>
      <c r="N1211" s="16" t="s">
        <v>98</v>
      </c>
      <c r="O1211" s="101"/>
      <c r="P1211" s="101"/>
      <c r="Q1211" s="102"/>
    </row>
    <row r="1212">
      <c r="A1212" s="140"/>
      <c r="B1212" s="134" t="s">
        <v>151</v>
      </c>
      <c r="C1212" s="134" t="s">
        <v>74</v>
      </c>
      <c r="D1212" s="133" t="s">
        <v>524</v>
      </c>
      <c r="E1212" s="168">
        <v>42923.0</v>
      </c>
      <c r="F1212" s="22" t="str">
        <f t="shared" si="107"/>
        <v>Jul-2017</v>
      </c>
      <c r="G1212" s="17" t="s">
        <v>25</v>
      </c>
      <c r="H1212" s="16" t="s">
        <v>35</v>
      </c>
      <c r="I1212" s="48" t="s">
        <v>226</v>
      </c>
      <c r="J1212" s="16" t="s">
        <v>9</v>
      </c>
      <c r="K1212" s="16" t="s">
        <v>9</v>
      </c>
      <c r="L1212" s="16" t="s">
        <v>30</v>
      </c>
      <c r="M1212" s="16"/>
      <c r="N1212" s="16" t="s">
        <v>106</v>
      </c>
      <c r="O1212" s="101"/>
      <c r="P1212" s="101"/>
      <c r="Q1212" s="102"/>
    </row>
    <row r="1213">
      <c r="A1213" s="140"/>
      <c r="B1213" s="134" t="s">
        <v>151</v>
      </c>
      <c r="C1213" s="134" t="s">
        <v>74</v>
      </c>
      <c r="D1213" s="133" t="s">
        <v>524</v>
      </c>
      <c r="E1213" s="168">
        <v>42923.0</v>
      </c>
      <c r="F1213" s="22" t="str">
        <f t="shared" si="107"/>
        <v>Jul-2017</v>
      </c>
      <c r="G1213" s="119" t="s">
        <v>20</v>
      </c>
      <c r="H1213" s="119" t="s">
        <v>35</v>
      </c>
      <c r="I1213" s="80" t="s">
        <v>416</v>
      </c>
      <c r="J1213" s="25" t="s">
        <v>27</v>
      </c>
      <c r="K1213" s="25" t="s">
        <v>9</v>
      </c>
      <c r="L1213" s="25" t="s">
        <v>30</v>
      </c>
      <c r="M1213" s="25" t="s">
        <v>30</v>
      </c>
      <c r="N1213" s="25" t="s">
        <v>98</v>
      </c>
      <c r="Q1213" s="99"/>
    </row>
    <row r="1214">
      <c r="A1214" s="140"/>
      <c r="B1214" s="134" t="s">
        <v>151</v>
      </c>
      <c r="C1214" s="134" t="s">
        <v>74</v>
      </c>
      <c r="D1214" s="133" t="s">
        <v>524</v>
      </c>
      <c r="E1214" s="168">
        <v>42923.0</v>
      </c>
      <c r="F1214" s="22" t="str">
        <f t="shared" si="107"/>
        <v>Jul-2017</v>
      </c>
      <c r="G1214" s="91" t="s">
        <v>25</v>
      </c>
      <c r="H1214" s="119" t="s">
        <v>35</v>
      </c>
      <c r="I1214" s="80" t="s">
        <v>416</v>
      </c>
      <c r="J1214" s="25" t="s">
        <v>27</v>
      </c>
      <c r="K1214" s="25" t="s">
        <v>9</v>
      </c>
      <c r="L1214" s="25" t="s">
        <v>24</v>
      </c>
      <c r="M1214" s="25"/>
      <c r="N1214" s="25" t="s">
        <v>98</v>
      </c>
      <c r="Q1214" s="99"/>
    </row>
    <row r="1215">
      <c r="A1215" s="140"/>
      <c r="B1215" s="134" t="s">
        <v>151</v>
      </c>
      <c r="C1215" s="134" t="s">
        <v>74</v>
      </c>
      <c r="D1215" s="133" t="s">
        <v>524</v>
      </c>
      <c r="E1215" s="168">
        <v>42923.0</v>
      </c>
      <c r="F1215" s="22" t="str">
        <f t="shared" si="107"/>
        <v>Jul-2017</v>
      </c>
      <c r="G1215" s="16" t="s">
        <v>20</v>
      </c>
      <c r="H1215" s="16" t="s">
        <v>35</v>
      </c>
      <c r="I1215" s="48" t="s">
        <v>416</v>
      </c>
      <c r="J1215" s="16" t="s">
        <v>27</v>
      </c>
      <c r="K1215" s="16" t="s">
        <v>9</v>
      </c>
      <c r="L1215" s="16" t="s">
        <v>30</v>
      </c>
      <c r="M1215" s="16"/>
      <c r="N1215" s="16" t="s">
        <v>106</v>
      </c>
      <c r="O1215" s="101"/>
      <c r="P1215" s="101"/>
      <c r="Q1215" s="102"/>
    </row>
    <row r="1216">
      <c r="A1216" s="140"/>
      <c r="B1216" s="134" t="s">
        <v>151</v>
      </c>
      <c r="C1216" s="134" t="s">
        <v>74</v>
      </c>
      <c r="D1216" s="133" t="s">
        <v>524</v>
      </c>
      <c r="E1216" s="168">
        <v>42923.0</v>
      </c>
      <c r="F1216" s="22" t="str">
        <f t="shared" si="107"/>
        <v>Jul-2017</v>
      </c>
      <c r="G1216" s="17" t="s">
        <v>25</v>
      </c>
      <c r="H1216" s="16" t="s">
        <v>35</v>
      </c>
      <c r="I1216" s="48" t="s">
        <v>184</v>
      </c>
      <c r="J1216" s="16" t="s">
        <v>9</v>
      </c>
      <c r="K1216" s="16" t="s">
        <v>9</v>
      </c>
      <c r="L1216" s="16" t="s">
        <v>24</v>
      </c>
      <c r="M1216" s="16" t="s">
        <v>24</v>
      </c>
      <c r="N1216" s="16" t="s">
        <v>69</v>
      </c>
      <c r="O1216" s="101"/>
      <c r="P1216" s="101"/>
      <c r="Q1216" s="102"/>
    </row>
    <row r="1217">
      <c r="A1217" s="141"/>
      <c r="B1217" s="134" t="s">
        <v>151</v>
      </c>
      <c r="C1217" s="134" t="s">
        <v>74</v>
      </c>
      <c r="D1217" s="133" t="s">
        <v>524</v>
      </c>
      <c r="E1217" s="168">
        <v>42923.0</v>
      </c>
      <c r="F1217" s="52" t="str">
        <f>TEXT(E1217, "mmm") &amp; "-" &amp; TEXT(E1217, "yyyy") </f>
        <v>Jul-2017</v>
      </c>
      <c r="G1217" s="93" t="s">
        <v>25</v>
      </c>
      <c r="H1217" s="38" t="s">
        <v>35</v>
      </c>
      <c r="I1217" s="122" t="s">
        <v>184</v>
      </c>
      <c r="J1217" s="38" t="s">
        <v>9</v>
      </c>
      <c r="K1217" s="38" t="s">
        <v>9</v>
      </c>
      <c r="L1217" s="38" t="s">
        <v>24</v>
      </c>
      <c r="M1217" s="38"/>
      <c r="N1217" s="38" t="s">
        <v>99</v>
      </c>
      <c r="O1217" s="105"/>
      <c r="P1217" s="105"/>
      <c r="Q1217" s="106"/>
    </row>
    <row r="1218">
      <c r="A1218" s="107"/>
      <c r="B1218" s="95"/>
      <c r="C1218" s="95"/>
      <c r="D1218" s="95"/>
      <c r="E1218" s="95"/>
      <c r="I1218" s="23"/>
    </row>
    <row r="1219">
      <c r="A1219" s="133" t="s">
        <v>526</v>
      </c>
      <c r="B1219" s="134" t="s">
        <v>527</v>
      </c>
      <c r="C1219" s="134" t="s">
        <v>74</v>
      </c>
      <c r="D1219" s="133" t="s">
        <v>526</v>
      </c>
      <c r="E1219" s="164">
        <v>42927.0</v>
      </c>
      <c r="F1219" s="85" t="str">
        <f t="shared" ref="F1219:F1235" si="108">TEXT(E1216:E1219, "mmm") &amp; "-" &amp; TEXT(E1216:E1219, "yyyy") </f>
        <v>Jul-2017</v>
      </c>
      <c r="G1219" s="218" t="s">
        <v>20</v>
      </c>
      <c r="H1219" s="218" t="s">
        <v>35</v>
      </c>
      <c r="I1219" s="86" t="s">
        <v>528</v>
      </c>
      <c r="J1219" s="73" t="s">
        <v>9</v>
      </c>
      <c r="K1219" s="73" t="s">
        <v>9</v>
      </c>
      <c r="L1219" s="73" t="s">
        <v>30</v>
      </c>
      <c r="M1219" s="73" t="s">
        <v>30</v>
      </c>
      <c r="N1219" s="73" t="s">
        <v>98</v>
      </c>
      <c r="O1219" s="165"/>
      <c r="P1219" s="165"/>
      <c r="Q1219" s="166"/>
    </row>
    <row r="1220">
      <c r="A1220" s="134" t="s">
        <v>527</v>
      </c>
      <c r="B1220" s="134" t="s">
        <v>527</v>
      </c>
      <c r="C1220" s="134" t="s">
        <v>74</v>
      </c>
      <c r="D1220" s="133" t="s">
        <v>526</v>
      </c>
      <c r="E1220" s="167">
        <v>42927.0</v>
      </c>
      <c r="F1220" s="22" t="str">
        <f t="shared" si="108"/>
        <v>Jul-2017</v>
      </c>
      <c r="G1220" s="91" t="s">
        <v>25</v>
      </c>
      <c r="H1220" s="119" t="s">
        <v>35</v>
      </c>
      <c r="I1220" s="80" t="s">
        <v>528</v>
      </c>
      <c r="J1220" s="25" t="s">
        <v>27</v>
      </c>
      <c r="K1220" s="25" t="s">
        <v>9</v>
      </c>
      <c r="L1220" s="25" t="s">
        <v>30</v>
      </c>
      <c r="M1220" s="25"/>
      <c r="N1220" s="25" t="s">
        <v>106</v>
      </c>
      <c r="Q1220" s="99"/>
    </row>
    <row r="1221">
      <c r="A1221" s="134" t="s">
        <v>529</v>
      </c>
      <c r="B1221" s="134" t="s">
        <v>527</v>
      </c>
      <c r="C1221" s="134" t="s">
        <v>74</v>
      </c>
      <c r="D1221" s="133" t="s">
        <v>526</v>
      </c>
      <c r="E1221" s="167">
        <v>42927.0</v>
      </c>
      <c r="F1221" s="22" t="str">
        <f t="shared" si="108"/>
        <v>Jul-2017</v>
      </c>
      <c r="G1221" s="16" t="s">
        <v>20</v>
      </c>
      <c r="H1221" s="16" t="s">
        <v>35</v>
      </c>
      <c r="I1221" s="48" t="s">
        <v>530</v>
      </c>
      <c r="J1221" s="16" t="s">
        <v>102</v>
      </c>
      <c r="K1221" s="16" t="s">
        <v>9</v>
      </c>
      <c r="L1221" s="16" t="s">
        <v>24</v>
      </c>
      <c r="M1221" s="16" t="s">
        <v>30</v>
      </c>
      <c r="N1221" s="16" t="s">
        <v>98</v>
      </c>
      <c r="O1221" s="101"/>
      <c r="P1221" s="101"/>
      <c r="Q1221" s="102"/>
    </row>
    <row r="1222">
      <c r="A1222" s="168">
        <v>42927.0</v>
      </c>
      <c r="B1222" s="134" t="s">
        <v>527</v>
      </c>
      <c r="C1222" s="134" t="s">
        <v>74</v>
      </c>
      <c r="D1222" s="133" t="s">
        <v>526</v>
      </c>
      <c r="E1222" s="167">
        <v>42927.0</v>
      </c>
      <c r="F1222" s="22" t="str">
        <f t="shared" si="108"/>
        <v>Jul-2017</v>
      </c>
      <c r="G1222" s="17" t="s">
        <v>25</v>
      </c>
      <c r="H1222" s="16" t="s">
        <v>35</v>
      </c>
      <c r="I1222" s="48" t="s">
        <v>530</v>
      </c>
      <c r="J1222" s="16" t="s">
        <v>102</v>
      </c>
      <c r="K1222" s="16" t="s">
        <v>9</v>
      </c>
      <c r="L1222" s="16" t="s">
        <v>30</v>
      </c>
      <c r="M1222" s="16"/>
      <c r="N1222" s="16" t="s">
        <v>69</v>
      </c>
      <c r="O1222" s="101"/>
      <c r="P1222" s="101"/>
      <c r="Q1222" s="102"/>
    </row>
    <row r="1223">
      <c r="A1223" s="134" t="s">
        <v>74</v>
      </c>
      <c r="B1223" s="134" t="s">
        <v>527</v>
      </c>
      <c r="C1223" s="134" t="s">
        <v>74</v>
      </c>
      <c r="D1223" s="133" t="s">
        <v>526</v>
      </c>
      <c r="E1223" s="167">
        <v>42927.0</v>
      </c>
      <c r="F1223" s="22" t="str">
        <f t="shared" si="108"/>
        <v>Jul-2017</v>
      </c>
      <c r="G1223" s="16" t="s">
        <v>32</v>
      </c>
      <c r="H1223" s="16" t="s">
        <v>35</v>
      </c>
      <c r="I1223" s="48" t="s">
        <v>530</v>
      </c>
      <c r="J1223" s="16" t="s">
        <v>102</v>
      </c>
      <c r="K1223" s="16" t="s">
        <v>9</v>
      </c>
      <c r="L1223" s="16" t="s">
        <v>30</v>
      </c>
      <c r="M1223" s="16"/>
      <c r="N1223" s="16" t="s">
        <v>37</v>
      </c>
      <c r="O1223" s="101"/>
      <c r="P1223" s="101"/>
      <c r="Q1223" s="102"/>
    </row>
    <row r="1224">
      <c r="A1224" s="140"/>
      <c r="B1224" s="134" t="s">
        <v>527</v>
      </c>
      <c r="C1224" s="134" t="s">
        <v>74</v>
      </c>
      <c r="D1224" s="133" t="s">
        <v>526</v>
      </c>
      <c r="E1224" s="167">
        <v>42927.0</v>
      </c>
      <c r="F1224" s="22" t="str">
        <f t="shared" si="108"/>
        <v>Jul-2017</v>
      </c>
      <c r="G1224" s="119" t="s">
        <v>20</v>
      </c>
      <c r="H1224" s="119" t="s">
        <v>35</v>
      </c>
      <c r="I1224" s="80" t="s">
        <v>194</v>
      </c>
      <c r="J1224" s="25" t="s">
        <v>23</v>
      </c>
      <c r="K1224" s="25" t="s">
        <v>9</v>
      </c>
      <c r="L1224" s="25" t="s">
        <v>24</v>
      </c>
      <c r="M1224" s="25" t="s">
        <v>24</v>
      </c>
      <c r="N1224" s="25" t="s">
        <v>99</v>
      </c>
      <c r="Q1224" s="99"/>
    </row>
    <row r="1225">
      <c r="A1225" s="140"/>
      <c r="B1225" s="134" t="s">
        <v>527</v>
      </c>
      <c r="C1225" s="134" t="s">
        <v>74</v>
      </c>
      <c r="D1225" s="133" t="s">
        <v>526</v>
      </c>
      <c r="E1225" s="167">
        <v>42927.0</v>
      </c>
      <c r="F1225" s="22" t="str">
        <f t="shared" si="108"/>
        <v>Jul-2017</v>
      </c>
      <c r="G1225" s="91" t="s">
        <v>25</v>
      </c>
      <c r="H1225" s="119" t="s">
        <v>35</v>
      </c>
      <c r="I1225" s="80" t="s">
        <v>194</v>
      </c>
      <c r="J1225" s="25" t="s">
        <v>23</v>
      </c>
      <c r="K1225" s="25" t="s">
        <v>9</v>
      </c>
      <c r="L1225" s="25" t="s">
        <v>24</v>
      </c>
      <c r="M1225" s="25"/>
      <c r="N1225" s="25" t="s">
        <v>69</v>
      </c>
      <c r="Q1225" s="99"/>
    </row>
    <row r="1226">
      <c r="A1226" s="140"/>
      <c r="B1226" s="134" t="s">
        <v>527</v>
      </c>
      <c r="C1226" s="134" t="s">
        <v>74</v>
      </c>
      <c r="D1226" s="133" t="s">
        <v>526</v>
      </c>
      <c r="E1226" s="167">
        <v>42927.0</v>
      </c>
      <c r="F1226" s="22" t="str">
        <f t="shared" si="108"/>
        <v>Jul-2017</v>
      </c>
      <c r="G1226" s="16" t="s">
        <v>20</v>
      </c>
      <c r="H1226" s="16" t="s">
        <v>35</v>
      </c>
      <c r="I1226" s="48" t="s">
        <v>531</v>
      </c>
      <c r="J1226" s="16" t="s">
        <v>23</v>
      </c>
      <c r="K1226" s="16" t="s">
        <v>9</v>
      </c>
      <c r="L1226" s="16" t="s">
        <v>30</v>
      </c>
      <c r="M1226" s="16" t="s">
        <v>30</v>
      </c>
      <c r="N1226" s="16" t="s">
        <v>99</v>
      </c>
      <c r="O1226" s="101"/>
      <c r="P1226" s="101"/>
      <c r="Q1226" s="102"/>
    </row>
    <row r="1227">
      <c r="A1227" s="140"/>
      <c r="B1227" s="134" t="s">
        <v>527</v>
      </c>
      <c r="C1227" s="134" t="s">
        <v>74</v>
      </c>
      <c r="D1227" s="133" t="s">
        <v>526</v>
      </c>
      <c r="E1227" s="167">
        <v>42927.0</v>
      </c>
      <c r="F1227" s="22" t="str">
        <f t="shared" si="108"/>
        <v>Jul-2017</v>
      </c>
      <c r="G1227" s="17" t="s">
        <v>25</v>
      </c>
      <c r="H1227" s="16" t="s">
        <v>35</v>
      </c>
      <c r="I1227" s="48" t="s">
        <v>531</v>
      </c>
      <c r="J1227" s="16" t="s">
        <v>23</v>
      </c>
      <c r="K1227" s="16" t="s">
        <v>9</v>
      </c>
      <c r="L1227" s="16" t="s">
        <v>24</v>
      </c>
      <c r="M1227" s="16"/>
      <c r="N1227" s="16" t="s">
        <v>37</v>
      </c>
      <c r="O1227" s="101"/>
      <c r="P1227" s="101"/>
      <c r="Q1227" s="102"/>
    </row>
    <row r="1228">
      <c r="A1228" s="140"/>
      <c r="B1228" s="134" t="s">
        <v>527</v>
      </c>
      <c r="C1228" s="134" t="s">
        <v>74</v>
      </c>
      <c r="D1228" s="133" t="s">
        <v>526</v>
      </c>
      <c r="E1228" s="167">
        <v>42927.0</v>
      </c>
      <c r="F1228" s="22" t="str">
        <f t="shared" si="108"/>
        <v>Jul-2017</v>
      </c>
      <c r="G1228" s="16" t="s">
        <v>32</v>
      </c>
      <c r="H1228" s="16" t="s">
        <v>35</v>
      </c>
      <c r="I1228" s="48" t="s">
        <v>531</v>
      </c>
      <c r="J1228" s="16" t="s">
        <v>23</v>
      </c>
      <c r="K1228" s="16" t="s">
        <v>9</v>
      </c>
      <c r="L1228" s="16" t="s">
        <v>30</v>
      </c>
      <c r="M1228" s="16"/>
      <c r="N1228" s="16" t="s">
        <v>69</v>
      </c>
      <c r="O1228" s="101"/>
      <c r="P1228" s="101"/>
      <c r="Q1228" s="102"/>
    </row>
    <row r="1229">
      <c r="A1229" s="140"/>
      <c r="B1229" s="134" t="s">
        <v>527</v>
      </c>
      <c r="C1229" s="134" t="s">
        <v>74</v>
      </c>
      <c r="D1229" s="133" t="s">
        <v>526</v>
      </c>
      <c r="E1229" s="167">
        <v>42927.0</v>
      </c>
      <c r="F1229" s="22" t="str">
        <f t="shared" si="108"/>
        <v>Jul-2017</v>
      </c>
      <c r="G1229" s="25" t="s">
        <v>146</v>
      </c>
      <c r="H1229" s="119" t="s">
        <v>35</v>
      </c>
      <c r="I1229" s="80" t="s">
        <v>360</v>
      </c>
      <c r="J1229" s="25" t="s">
        <v>216</v>
      </c>
      <c r="K1229" s="25" t="s">
        <v>9</v>
      </c>
      <c r="L1229" s="25" t="s">
        <v>24</v>
      </c>
      <c r="M1229" s="25" t="s">
        <v>30</v>
      </c>
      <c r="N1229" s="25" t="s">
        <v>98</v>
      </c>
      <c r="Q1229" s="99"/>
    </row>
    <row r="1230">
      <c r="A1230" s="140"/>
      <c r="B1230" s="134" t="s">
        <v>527</v>
      </c>
      <c r="C1230" s="134" t="s">
        <v>74</v>
      </c>
      <c r="D1230" s="133" t="s">
        <v>526</v>
      </c>
      <c r="E1230" s="167">
        <v>42927.0</v>
      </c>
      <c r="F1230" s="22" t="str">
        <f t="shared" si="108"/>
        <v>Jul-2017</v>
      </c>
      <c r="G1230" s="25" t="s">
        <v>149</v>
      </c>
      <c r="H1230" s="119" t="s">
        <v>35</v>
      </c>
      <c r="I1230" s="80" t="s">
        <v>360</v>
      </c>
      <c r="J1230" s="25" t="s">
        <v>216</v>
      </c>
      <c r="K1230" s="25" t="s">
        <v>9</v>
      </c>
      <c r="L1230" s="25" t="s">
        <v>30</v>
      </c>
      <c r="M1230" s="25"/>
      <c r="N1230" s="25" t="s">
        <v>69</v>
      </c>
      <c r="Q1230" s="99"/>
    </row>
    <row r="1231">
      <c r="A1231" s="140"/>
      <c r="B1231" s="134" t="s">
        <v>527</v>
      </c>
      <c r="C1231" s="134" t="s">
        <v>74</v>
      </c>
      <c r="D1231" s="133" t="s">
        <v>526</v>
      </c>
      <c r="E1231" s="167">
        <v>42927.0</v>
      </c>
      <c r="F1231" s="22" t="str">
        <f t="shared" si="108"/>
        <v>Jul-2017</v>
      </c>
      <c r="G1231" s="25" t="s">
        <v>222</v>
      </c>
      <c r="H1231" s="119" t="s">
        <v>35</v>
      </c>
      <c r="I1231" s="80" t="s">
        <v>360</v>
      </c>
      <c r="J1231" s="25" t="s">
        <v>216</v>
      </c>
      <c r="K1231" s="25" t="s">
        <v>9</v>
      </c>
      <c r="L1231" s="25" t="s">
        <v>30</v>
      </c>
      <c r="M1231" s="25"/>
      <c r="N1231" s="25" t="s">
        <v>29</v>
      </c>
      <c r="Q1231" s="99"/>
    </row>
    <row r="1232">
      <c r="A1232" s="140"/>
      <c r="B1232" s="134" t="s">
        <v>527</v>
      </c>
      <c r="C1232" s="134" t="s">
        <v>74</v>
      </c>
      <c r="D1232" s="133" t="s">
        <v>526</v>
      </c>
      <c r="E1232" s="167">
        <v>42927.0</v>
      </c>
      <c r="F1232" s="22" t="str">
        <f t="shared" si="108"/>
        <v>Jul-2017</v>
      </c>
      <c r="G1232" s="25" t="s">
        <v>467</v>
      </c>
      <c r="H1232" s="119" t="s">
        <v>35</v>
      </c>
      <c r="I1232" s="80" t="s">
        <v>360</v>
      </c>
      <c r="J1232" s="25" t="s">
        <v>216</v>
      </c>
      <c r="K1232" s="25" t="s">
        <v>9</v>
      </c>
      <c r="L1232" s="25" t="s">
        <v>24</v>
      </c>
      <c r="M1232" s="25"/>
      <c r="N1232" s="25" t="s">
        <v>29</v>
      </c>
      <c r="Q1232" s="99"/>
    </row>
    <row r="1233">
      <c r="A1233" s="140"/>
      <c r="B1233" s="134" t="s">
        <v>527</v>
      </c>
      <c r="C1233" s="134" t="s">
        <v>74</v>
      </c>
      <c r="D1233" s="133" t="s">
        <v>526</v>
      </c>
      <c r="E1233" s="167">
        <v>42927.0</v>
      </c>
      <c r="F1233" s="22" t="str">
        <f t="shared" si="108"/>
        <v>Jul-2017</v>
      </c>
      <c r="G1233" s="25" t="s">
        <v>480</v>
      </c>
      <c r="H1233" s="119" t="s">
        <v>35</v>
      </c>
      <c r="I1233" s="80" t="s">
        <v>360</v>
      </c>
      <c r="J1233" s="25" t="s">
        <v>216</v>
      </c>
      <c r="K1233" s="25" t="s">
        <v>9</v>
      </c>
      <c r="L1233" s="25" t="s">
        <v>30</v>
      </c>
      <c r="M1233" s="25"/>
      <c r="N1233" s="25" t="s">
        <v>106</v>
      </c>
      <c r="Q1233" s="99"/>
    </row>
    <row r="1234">
      <c r="A1234" s="140"/>
      <c r="B1234" s="134" t="s">
        <v>527</v>
      </c>
      <c r="C1234" s="134" t="s">
        <v>74</v>
      </c>
      <c r="D1234" s="133" t="s">
        <v>526</v>
      </c>
      <c r="E1234" s="167">
        <v>42927.0</v>
      </c>
      <c r="F1234" s="22" t="str">
        <f t="shared" si="108"/>
        <v>Jul-2017</v>
      </c>
      <c r="G1234" s="16" t="s">
        <v>146</v>
      </c>
      <c r="H1234" s="16" t="s">
        <v>35</v>
      </c>
      <c r="I1234" s="48" t="s">
        <v>218</v>
      </c>
      <c r="J1234" s="16" t="s">
        <v>86</v>
      </c>
      <c r="K1234" s="16" t="s">
        <v>9</v>
      </c>
      <c r="L1234" s="16" t="s">
        <v>30</v>
      </c>
      <c r="M1234" s="16" t="s">
        <v>24</v>
      </c>
      <c r="N1234" s="16" t="s">
        <v>69</v>
      </c>
      <c r="O1234" s="101"/>
      <c r="P1234" s="101"/>
      <c r="Q1234" s="102"/>
    </row>
    <row r="1235">
      <c r="A1235" s="140"/>
      <c r="B1235" s="134" t="s">
        <v>527</v>
      </c>
      <c r="C1235" s="134" t="s">
        <v>74</v>
      </c>
      <c r="D1235" s="133" t="s">
        <v>526</v>
      </c>
      <c r="E1235" s="167">
        <v>42927.0</v>
      </c>
      <c r="F1235" s="22" t="str">
        <f t="shared" si="108"/>
        <v>Jul-2017</v>
      </c>
      <c r="G1235" s="16" t="s">
        <v>149</v>
      </c>
      <c r="H1235" s="16" t="s">
        <v>35</v>
      </c>
      <c r="I1235" s="48" t="s">
        <v>218</v>
      </c>
      <c r="J1235" s="16" t="s">
        <v>86</v>
      </c>
      <c r="K1235" s="16" t="s">
        <v>9</v>
      </c>
      <c r="L1235" s="16" t="s">
        <v>24</v>
      </c>
      <c r="M1235" s="16"/>
      <c r="N1235" s="16" t="s">
        <v>98</v>
      </c>
      <c r="O1235" s="101"/>
      <c r="P1235" s="101"/>
      <c r="Q1235" s="102"/>
    </row>
    <row r="1236">
      <c r="A1236" s="140"/>
      <c r="B1236" s="134" t="s">
        <v>527</v>
      </c>
      <c r="C1236" s="134" t="s">
        <v>74</v>
      </c>
      <c r="D1236" s="133" t="s">
        <v>526</v>
      </c>
      <c r="E1236" s="167">
        <v>42927.0</v>
      </c>
      <c r="F1236" s="22" t="str">
        <f t="shared" ref="F1236:F1237" si="109">TEXT(E1232:E1236, "mmm") &amp; "-" &amp; TEXT(E1232:E1236, "yyyy") </f>
        <v>Jul-2017</v>
      </c>
      <c r="G1236" s="16" t="s">
        <v>222</v>
      </c>
      <c r="H1236" s="16" t="s">
        <v>35</v>
      </c>
      <c r="I1236" s="48" t="s">
        <v>218</v>
      </c>
      <c r="J1236" s="16" t="s">
        <v>71</v>
      </c>
      <c r="K1236" s="16" t="s">
        <v>9</v>
      </c>
      <c r="L1236" s="16" t="s">
        <v>24</v>
      </c>
      <c r="M1236" s="16"/>
      <c r="N1236" s="16" t="s">
        <v>29</v>
      </c>
      <c r="O1236" s="101"/>
      <c r="P1236" s="101"/>
      <c r="Q1236" s="102"/>
    </row>
    <row r="1237">
      <c r="A1237" s="141"/>
      <c r="B1237" s="134" t="s">
        <v>527</v>
      </c>
      <c r="C1237" s="134" t="s">
        <v>74</v>
      </c>
      <c r="D1237" s="133" t="s">
        <v>526</v>
      </c>
      <c r="E1237" s="169">
        <v>42927.0</v>
      </c>
      <c r="F1237" s="52" t="str">
        <f t="shared" si="109"/>
        <v>Jul-2017</v>
      </c>
      <c r="G1237" s="38" t="s">
        <v>467</v>
      </c>
      <c r="H1237" s="38" t="s">
        <v>35</v>
      </c>
      <c r="I1237" s="122" t="s">
        <v>218</v>
      </c>
      <c r="J1237" s="38" t="s">
        <v>86</v>
      </c>
      <c r="K1237" s="38" t="s">
        <v>9</v>
      </c>
      <c r="L1237" s="38" t="s">
        <v>24</v>
      </c>
      <c r="M1237" s="38"/>
      <c r="N1237" s="38" t="s">
        <v>99</v>
      </c>
      <c r="O1237" s="105"/>
      <c r="P1237" s="105"/>
      <c r="Q1237" s="106"/>
    </row>
    <row r="1238">
      <c r="A1238" s="107"/>
      <c r="B1238" s="95"/>
      <c r="C1238" s="95"/>
      <c r="D1238" s="95"/>
      <c r="E1238" s="95"/>
      <c r="I1238" s="23"/>
    </row>
    <row r="1239">
      <c r="A1239" s="133" t="s">
        <v>532</v>
      </c>
      <c r="B1239" s="134" t="s">
        <v>18</v>
      </c>
      <c r="C1239" s="134" t="s">
        <v>74</v>
      </c>
      <c r="D1239" s="133" t="s">
        <v>532</v>
      </c>
      <c r="E1239" s="168">
        <v>42928.0</v>
      </c>
      <c r="F1239" s="85" t="str">
        <f t="shared" ref="F1239:F1242" si="110">TEXT(E1236:E1239, "mmm") &amp; "-" &amp; TEXT(E1236:E1239, "yyyy") </f>
        <v>Jul-2017</v>
      </c>
      <c r="G1239" s="218" t="s">
        <v>20</v>
      </c>
      <c r="H1239" s="218" t="s">
        <v>35</v>
      </c>
      <c r="I1239" s="86" t="s">
        <v>533</v>
      </c>
      <c r="J1239" s="73" t="s">
        <v>216</v>
      </c>
      <c r="K1239" s="73" t="s">
        <v>9</v>
      </c>
      <c r="L1239" s="73" t="s">
        <v>30</v>
      </c>
      <c r="M1239" s="73" t="s">
        <v>30</v>
      </c>
      <c r="N1239" s="73" t="s">
        <v>69</v>
      </c>
      <c r="O1239" s="165"/>
      <c r="P1239" s="165"/>
      <c r="Q1239" s="166"/>
    </row>
    <row r="1240">
      <c r="A1240" s="134" t="s">
        <v>18</v>
      </c>
      <c r="B1240" s="134" t="s">
        <v>18</v>
      </c>
      <c r="C1240" s="134" t="s">
        <v>74</v>
      </c>
      <c r="D1240" s="133" t="s">
        <v>532</v>
      </c>
      <c r="E1240" s="168">
        <v>42928.0</v>
      </c>
      <c r="F1240" s="22" t="str">
        <f t="shared" si="110"/>
        <v>Jul-2017</v>
      </c>
      <c r="G1240" s="91" t="s">
        <v>25</v>
      </c>
      <c r="H1240" s="119" t="s">
        <v>35</v>
      </c>
      <c r="I1240" s="80" t="s">
        <v>533</v>
      </c>
      <c r="J1240" s="25" t="s">
        <v>216</v>
      </c>
      <c r="K1240" s="25" t="s">
        <v>9</v>
      </c>
      <c r="L1240" s="25" t="s">
        <v>30</v>
      </c>
      <c r="M1240" s="25"/>
      <c r="N1240" s="25" t="s">
        <v>99</v>
      </c>
      <c r="Q1240" s="99"/>
    </row>
    <row r="1241">
      <c r="A1241" s="134" t="s">
        <v>331</v>
      </c>
      <c r="B1241" s="134" t="s">
        <v>18</v>
      </c>
      <c r="C1241" s="134" t="s">
        <v>74</v>
      </c>
      <c r="D1241" s="133" t="s">
        <v>532</v>
      </c>
      <c r="E1241" s="168">
        <v>42928.0</v>
      </c>
      <c r="F1241" s="22" t="str">
        <f t="shared" si="110"/>
        <v>Jul-2017</v>
      </c>
      <c r="G1241" s="16" t="s">
        <v>20</v>
      </c>
      <c r="H1241" s="16" t="s">
        <v>35</v>
      </c>
      <c r="I1241" s="48" t="s">
        <v>133</v>
      </c>
      <c r="J1241" s="16" t="s">
        <v>86</v>
      </c>
      <c r="K1241" s="16" t="s">
        <v>9</v>
      </c>
      <c r="L1241" s="16" t="s">
        <v>30</v>
      </c>
      <c r="M1241" s="16" t="s">
        <v>30</v>
      </c>
      <c r="N1241" s="16" t="s">
        <v>69</v>
      </c>
      <c r="O1241" s="101"/>
      <c r="P1241" s="101"/>
      <c r="Q1241" s="102"/>
    </row>
    <row r="1242">
      <c r="A1242" s="168">
        <v>42928.0</v>
      </c>
      <c r="B1242" s="134" t="s">
        <v>18</v>
      </c>
      <c r="C1242" s="134" t="s">
        <v>74</v>
      </c>
      <c r="D1242" s="133" t="s">
        <v>532</v>
      </c>
      <c r="E1242" s="168">
        <v>42928.0</v>
      </c>
      <c r="F1242" s="22" t="str">
        <f t="shared" si="110"/>
        <v>Jul-2017</v>
      </c>
      <c r="G1242" s="17" t="s">
        <v>25</v>
      </c>
      <c r="H1242" s="16" t="s">
        <v>35</v>
      </c>
      <c r="I1242" s="48" t="s">
        <v>133</v>
      </c>
      <c r="J1242" s="16" t="s">
        <v>86</v>
      </c>
      <c r="K1242" s="16" t="s">
        <v>9</v>
      </c>
      <c r="L1242" s="16" t="s">
        <v>30</v>
      </c>
      <c r="M1242" s="16"/>
      <c r="N1242" s="16" t="s">
        <v>98</v>
      </c>
      <c r="O1242" s="101"/>
      <c r="P1242" s="101"/>
      <c r="Q1242" s="102"/>
    </row>
    <row r="1243">
      <c r="A1243" s="134" t="s">
        <v>74</v>
      </c>
      <c r="B1243" s="134" t="s">
        <v>18</v>
      </c>
      <c r="C1243" s="134" t="s">
        <v>74</v>
      </c>
      <c r="D1243" s="133" t="s">
        <v>532</v>
      </c>
      <c r="E1243" s="168">
        <v>42928.0</v>
      </c>
      <c r="F1243" s="22" t="str">
        <f t="shared" ref="F1243:F1247" si="111">TEXT(E1241:E1243, "mmm") &amp; "-" &amp; TEXT(E1241:E1243, "yyyy") </f>
        <v>Jul-2017</v>
      </c>
      <c r="G1243" s="119" t="s">
        <v>20</v>
      </c>
      <c r="H1243" s="119" t="s">
        <v>35</v>
      </c>
      <c r="I1243" s="80" t="s">
        <v>194</v>
      </c>
      <c r="J1243" s="25" t="s">
        <v>23</v>
      </c>
      <c r="K1243" s="25" t="s">
        <v>9</v>
      </c>
      <c r="L1243" s="25" t="s">
        <v>24</v>
      </c>
      <c r="M1243" s="25" t="s">
        <v>24</v>
      </c>
      <c r="N1243" s="25" t="s">
        <v>99</v>
      </c>
      <c r="Q1243" s="99"/>
    </row>
    <row r="1244">
      <c r="A1244" s="140"/>
      <c r="B1244" s="134" t="s">
        <v>18</v>
      </c>
      <c r="C1244" s="134" t="s">
        <v>74</v>
      </c>
      <c r="D1244" s="133" t="s">
        <v>532</v>
      </c>
      <c r="E1244" s="168">
        <v>42928.0</v>
      </c>
      <c r="F1244" s="22" t="str">
        <f t="shared" si="111"/>
        <v>Jul-2017</v>
      </c>
      <c r="G1244" s="91" t="s">
        <v>25</v>
      </c>
      <c r="H1244" s="119" t="s">
        <v>35</v>
      </c>
      <c r="I1244" s="80" t="s">
        <v>194</v>
      </c>
      <c r="J1244" s="25" t="s">
        <v>23</v>
      </c>
      <c r="K1244" s="25" t="s">
        <v>9</v>
      </c>
      <c r="L1244" s="25" t="s">
        <v>24</v>
      </c>
      <c r="M1244" s="25"/>
      <c r="N1244" s="25" t="s">
        <v>29</v>
      </c>
      <c r="Q1244" s="99"/>
    </row>
    <row r="1245">
      <c r="A1245" s="140"/>
      <c r="B1245" s="134" t="s">
        <v>18</v>
      </c>
      <c r="C1245" s="134" t="s">
        <v>74</v>
      </c>
      <c r="D1245" s="133" t="s">
        <v>532</v>
      </c>
      <c r="E1245" s="168">
        <v>42928.0</v>
      </c>
      <c r="F1245" s="22" t="str">
        <f t="shared" si="111"/>
        <v>Jul-2017</v>
      </c>
      <c r="G1245" s="16" t="s">
        <v>20</v>
      </c>
      <c r="H1245" s="16" t="s">
        <v>35</v>
      </c>
      <c r="I1245" s="48" t="s">
        <v>163</v>
      </c>
      <c r="J1245" s="16" t="s">
        <v>44</v>
      </c>
      <c r="K1245" s="16" t="s">
        <v>9</v>
      </c>
      <c r="L1245" s="16" t="s">
        <v>30</v>
      </c>
      <c r="M1245" s="16" t="s">
        <v>30</v>
      </c>
      <c r="N1245" s="16" t="s">
        <v>98</v>
      </c>
      <c r="O1245" s="101"/>
      <c r="P1245" s="101"/>
      <c r="Q1245" s="102"/>
    </row>
    <row r="1246">
      <c r="A1246" s="140"/>
      <c r="B1246" s="134" t="s">
        <v>18</v>
      </c>
      <c r="C1246" s="134" t="s">
        <v>74</v>
      </c>
      <c r="D1246" s="133" t="s">
        <v>532</v>
      </c>
      <c r="E1246" s="168">
        <v>42928.0</v>
      </c>
      <c r="F1246" s="22" t="str">
        <f t="shared" si="111"/>
        <v>Jul-2017</v>
      </c>
      <c r="G1246" s="17" t="s">
        <v>25</v>
      </c>
      <c r="H1246" s="16" t="s">
        <v>35</v>
      </c>
      <c r="I1246" s="48" t="s">
        <v>163</v>
      </c>
      <c r="J1246" s="16" t="s">
        <v>44</v>
      </c>
      <c r="K1246" s="16" t="s">
        <v>9</v>
      </c>
      <c r="L1246" s="16" t="s">
        <v>24</v>
      </c>
      <c r="M1246" s="16"/>
      <c r="N1246" s="16" t="s">
        <v>99</v>
      </c>
      <c r="O1246" s="101"/>
      <c r="P1246" s="101"/>
      <c r="Q1246" s="102"/>
    </row>
    <row r="1247">
      <c r="A1247" s="140"/>
      <c r="B1247" s="134" t="s">
        <v>18</v>
      </c>
      <c r="C1247" s="134" t="s">
        <v>74</v>
      </c>
      <c r="D1247" s="133" t="s">
        <v>532</v>
      </c>
      <c r="E1247" s="168">
        <v>42928.0</v>
      </c>
      <c r="F1247" s="22" t="str">
        <f t="shared" si="111"/>
        <v>Jul-2017</v>
      </c>
      <c r="G1247" s="17" t="s">
        <v>32</v>
      </c>
      <c r="H1247" s="16" t="s">
        <v>35</v>
      </c>
      <c r="I1247" s="48" t="s">
        <v>163</v>
      </c>
      <c r="J1247" s="16" t="s">
        <v>44</v>
      </c>
      <c r="K1247" s="16" t="s">
        <v>9</v>
      </c>
      <c r="L1247" s="16" t="s">
        <v>30</v>
      </c>
      <c r="M1247" s="16"/>
      <c r="N1247" s="16" t="s">
        <v>106</v>
      </c>
      <c r="O1247" s="101"/>
      <c r="P1247" s="101"/>
      <c r="Q1247" s="102"/>
    </row>
    <row r="1248">
      <c r="A1248" s="140"/>
      <c r="B1248" s="134" t="s">
        <v>18</v>
      </c>
      <c r="C1248" s="134" t="s">
        <v>74</v>
      </c>
      <c r="D1248" s="133" t="s">
        <v>532</v>
      </c>
      <c r="E1248" s="168">
        <v>42928.0</v>
      </c>
      <c r="F1248" s="22" t="str">
        <f>TEXT(E1245:E1248, "mmm") &amp; "-" &amp; TEXT(E1245:E1248, "yyyy") </f>
        <v>Jul-2017</v>
      </c>
      <c r="G1248" s="119" t="s">
        <v>20</v>
      </c>
      <c r="H1248" s="119" t="s">
        <v>35</v>
      </c>
      <c r="I1248" s="126" t="s">
        <v>94</v>
      </c>
      <c r="J1248" s="119" t="s">
        <v>44</v>
      </c>
      <c r="K1248" s="119" t="s">
        <v>9</v>
      </c>
      <c r="L1248" s="119" t="s">
        <v>24</v>
      </c>
      <c r="M1248" s="119" t="s">
        <v>24</v>
      </c>
      <c r="N1248" s="119" t="s">
        <v>98</v>
      </c>
      <c r="O1248" s="174"/>
      <c r="P1248" s="174"/>
      <c r="Q1248" s="175"/>
    </row>
    <row r="1249">
      <c r="A1249" s="141"/>
      <c r="B1249" s="134" t="s">
        <v>18</v>
      </c>
      <c r="C1249" s="134" t="s">
        <v>74</v>
      </c>
      <c r="D1249" s="133" t="s">
        <v>532</v>
      </c>
      <c r="E1249" s="168">
        <v>42928.0</v>
      </c>
      <c r="F1249" s="52" t="str">
        <f>TEXT(E1243:E1249, "mmm") &amp; "-" &amp; TEXT(E1243:E1249, "yyyy") </f>
        <v>Jul-2017</v>
      </c>
      <c r="G1249" s="129" t="s">
        <v>25</v>
      </c>
      <c r="H1249" s="114" t="s">
        <v>35</v>
      </c>
      <c r="I1249" s="130" t="s">
        <v>94</v>
      </c>
      <c r="J1249" s="114" t="s">
        <v>44</v>
      </c>
      <c r="K1249" s="114" t="s">
        <v>9</v>
      </c>
      <c r="L1249" s="114" t="s">
        <v>24</v>
      </c>
      <c r="M1249" s="114"/>
      <c r="N1249" s="114" t="s">
        <v>106</v>
      </c>
      <c r="O1249" s="202"/>
      <c r="P1249" s="202"/>
      <c r="Q1249" s="203"/>
    </row>
    <row r="1250">
      <c r="A1250" s="107"/>
      <c r="B1250" s="95"/>
      <c r="C1250" s="95"/>
      <c r="D1250" s="95"/>
      <c r="E1250" s="95"/>
      <c r="I1250" s="23"/>
    </row>
    <row r="1251">
      <c r="A1251" s="133" t="s">
        <v>534</v>
      </c>
      <c r="B1251" s="134" t="s">
        <v>518</v>
      </c>
      <c r="C1251" s="134" t="s">
        <v>74</v>
      </c>
      <c r="D1251" s="133" t="s">
        <v>534</v>
      </c>
      <c r="E1251" s="168">
        <v>42940.0</v>
      </c>
      <c r="F1251" s="22" t="str">
        <f t="shared" ref="F1251:F1258" si="112">TEXT(E1248:E1251, "mmm") &amp; "-" &amp; TEXT(E1248:E1251, "yyyy") </f>
        <v>Jul-2017</v>
      </c>
      <c r="G1251" s="47" t="s">
        <v>20</v>
      </c>
      <c r="H1251" s="47" t="s">
        <v>35</v>
      </c>
      <c r="I1251" s="79" t="s">
        <v>535</v>
      </c>
      <c r="J1251" s="47" t="s">
        <v>216</v>
      </c>
      <c r="K1251" s="47" t="s">
        <v>9</v>
      </c>
      <c r="L1251" s="47" t="s">
        <v>30</v>
      </c>
      <c r="M1251" s="47" t="s">
        <v>30</v>
      </c>
      <c r="N1251" s="47" t="s">
        <v>37</v>
      </c>
      <c r="O1251" s="152"/>
      <c r="P1251" s="152"/>
      <c r="Q1251" s="153"/>
    </row>
    <row r="1252">
      <c r="A1252" s="134" t="s">
        <v>518</v>
      </c>
      <c r="B1252" s="134" t="s">
        <v>518</v>
      </c>
      <c r="C1252" s="134" t="s">
        <v>74</v>
      </c>
      <c r="D1252" s="133" t="s">
        <v>534</v>
      </c>
      <c r="E1252" s="168">
        <v>42940.0</v>
      </c>
      <c r="F1252" s="22" t="str">
        <f t="shared" si="112"/>
        <v>Jul-2017</v>
      </c>
      <c r="G1252" s="17" t="s">
        <v>25</v>
      </c>
      <c r="H1252" s="16" t="s">
        <v>35</v>
      </c>
      <c r="I1252" s="48" t="s">
        <v>535</v>
      </c>
      <c r="J1252" s="16" t="s">
        <v>216</v>
      </c>
      <c r="K1252" s="16" t="s">
        <v>9</v>
      </c>
      <c r="L1252" s="16" t="s">
        <v>30</v>
      </c>
      <c r="M1252" s="16"/>
      <c r="N1252" s="16" t="s">
        <v>99</v>
      </c>
      <c r="O1252" s="101"/>
      <c r="P1252" s="101"/>
      <c r="Q1252" s="102"/>
    </row>
    <row r="1253">
      <c r="A1253" s="134" t="s">
        <v>519</v>
      </c>
      <c r="B1253" s="134" t="s">
        <v>518</v>
      </c>
      <c r="C1253" s="134" t="s">
        <v>74</v>
      </c>
      <c r="D1253" s="133" t="s">
        <v>534</v>
      </c>
      <c r="E1253" s="168">
        <v>42940.0</v>
      </c>
      <c r="F1253" s="22" t="str">
        <f t="shared" si="112"/>
        <v>Jul-2017</v>
      </c>
      <c r="G1253" s="119" t="s">
        <v>20</v>
      </c>
      <c r="H1253" s="119" t="s">
        <v>35</v>
      </c>
      <c r="I1253" s="80" t="s">
        <v>112</v>
      </c>
      <c r="J1253" s="25" t="s">
        <v>86</v>
      </c>
      <c r="K1253" s="119" t="s">
        <v>9</v>
      </c>
      <c r="L1253" s="25" t="s">
        <v>30</v>
      </c>
      <c r="M1253" s="25" t="s">
        <v>30</v>
      </c>
      <c r="N1253" s="25" t="s">
        <v>69</v>
      </c>
      <c r="Q1253" s="99"/>
    </row>
    <row r="1254">
      <c r="A1254" s="168">
        <v>42940.0</v>
      </c>
      <c r="B1254" s="134" t="s">
        <v>518</v>
      </c>
      <c r="C1254" s="134" t="s">
        <v>74</v>
      </c>
      <c r="D1254" s="133" t="s">
        <v>534</v>
      </c>
      <c r="E1254" s="168">
        <v>42940.0</v>
      </c>
      <c r="F1254" s="22" t="str">
        <f t="shared" si="112"/>
        <v>Jul-2017</v>
      </c>
      <c r="G1254" s="91" t="s">
        <v>25</v>
      </c>
      <c r="H1254" s="119" t="s">
        <v>35</v>
      </c>
      <c r="I1254" s="80" t="s">
        <v>112</v>
      </c>
      <c r="J1254" s="25" t="s">
        <v>86</v>
      </c>
      <c r="K1254" s="119" t="s">
        <v>9</v>
      </c>
      <c r="L1254" s="25" t="s">
        <v>30</v>
      </c>
      <c r="M1254" s="25"/>
      <c r="N1254" s="25" t="s">
        <v>98</v>
      </c>
      <c r="Q1254" s="99"/>
    </row>
    <row r="1255">
      <c r="A1255" s="134" t="s">
        <v>74</v>
      </c>
      <c r="B1255" s="134" t="s">
        <v>518</v>
      </c>
      <c r="C1255" s="134" t="s">
        <v>74</v>
      </c>
      <c r="D1255" s="133" t="s">
        <v>534</v>
      </c>
      <c r="E1255" s="168">
        <v>42940.0</v>
      </c>
      <c r="F1255" s="22" t="str">
        <f t="shared" si="112"/>
        <v>Jul-2017</v>
      </c>
      <c r="G1255" s="16" t="s">
        <v>20</v>
      </c>
      <c r="H1255" s="16" t="s">
        <v>35</v>
      </c>
      <c r="I1255" s="48" t="s">
        <v>536</v>
      </c>
      <c r="J1255" s="16" t="s">
        <v>27</v>
      </c>
      <c r="K1255" s="16" t="s">
        <v>9</v>
      </c>
      <c r="L1255" s="16" t="s">
        <v>24</v>
      </c>
      <c r="M1255" s="16" t="s">
        <v>24</v>
      </c>
      <c r="N1255" s="16" t="s">
        <v>98</v>
      </c>
      <c r="O1255" s="101"/>
      <c r="P1255" s="101"/>
      <c r="Q1255" s="102"/>
    </row>
    <row r="1256">
      <c r="A1256" s="140"/>
      <c r="B1256" s="134" t="s">
        <v>518</v>
      </c>
      <c r="C1256" s="134" t="s">
        <v>74</v>
      </c>
      <c r="D1256" s="133" t="s">
        <v>534</v>
      </c>
      <c r="E1256" s="168">
        <v>42940.0</v>
      </c>
      <c r="F1256" s="22" t="str">
        <f t="shared" si="112"/>
        <v>Jul-2017</v>
      </c>
      <c r="G1256" s="17" t="s">
        <v>25</v>
      </c>
      <c r="H1256" s="16" t="s">
        <v>35</v>
      </c>
      <c r="I1256" s="48" t="s">
        <v>536</v>
      </c>
      <c r="J1256" s="16" t="s">
        <v>27</v>
      </c>
      <c r="K1256" s="16" t="s">
        <v>9</v>
      </c>
      <c r="L1256" s="16" t="s">
        <v>24</v>
      </c>
      <c r="M1256" s="16"/>
      <c r="N1256" s="16" t="s">
        <v>69</v>
      </c>
      <c r="O1256" s="101"/>
      <c r="P1256" s="101"/>
      <c r="Q1256" s="102"/>
    </row>
    <row r="1257">
      <c r="A1257" s="140"/>
      <c r="B1257" s="134" t="s">
        <v>518</v>
      </c>
      <c r="C1257" s="134" t="s">
        <v>74</v>
      </c>
      <c r="D1257" s="133" t="s">
        <v>534</v>
      </c>
      <c r="E1257" s="168">
        <v>42940.0</v>
      </c>
      <c r="F1257" s="22" t="str">
        <f t="shared" si="112"/>
        <v>Jul-2017</v>
      </c>
      <c r="G1257" s="119" t="s">
        <v>20</v>
      </c>
      <c r="H1257" s="119" t="s">
        <v>35</v>
      </c>
      <c r="I1257" s="80" t="s">
        <v>231</v>
      </c>
      <c r="J1257" s="25" t="s">
        <v>9</v>
      </c>
      <c r="K1257" s="119" t="s">
        <v>9</v>
      </c>
      <c r="L1257" s="25" t="s">
        <v>24</v>
      </c>
      <c r="M1257" s="25" t="s">
        <v>24</v>
      </c>
      <c r="N1257" s="25" t="s">
        <v>69</v>
      </c>
      <c r="Q1257" s="99"/>
    </row>
    <row r="1258">
      <c r="A1258" s="141"/>
      <c r="B1258" s="134" t="s">
        <v>518</v>
      </c>
      <c r="C1258" s="134" t="s">
        <v>74</v>
      </c>
      <c r="D1258" s="133" t="s">
        <v>534</v>
      </c>
      <c r="E1258" s="168">
        <v>42940.0</v>
      </c>
      <c r="F1258" s="22" t="str">
        <f t="shared" si="112"/>
        <v>Jul-2017</v>
      </c>
      <c r="G1258" s="129" t="s">
        <v>25</v>
      </c>
      <c r="H1258" s="114" t="s">
        <v>35</v>
      </c>
      <c r="I1258" s="113" t="s">
        <v>231</v>
      </c>
      <c r="J1258" s="55" t="s">
        <v>9</v>
      </c>
      <c r="K1258" s="114" t="s">
        <v>9</v>
      </c>
      <c r="L1258" s="55" t="s">
        <v>24</v>
      </c>
      <c r="M1258" s="55"/>
      <c r="N1258" s="55" t="s">
        <v>98</v>
      </c>
      <c r="O1258" s="143"/>
      <c r="P1258" s="143"/>
      <c r="Q1258" s="144"/>
    </row>
    <row r="1259">
      <c r="A1259" s="107"/>
      <c r="B1259" s="95"/>
      <c r="C1259" s="95"/>
      <c r="D1259" s="95"/>
      <c r="E1259" s="95"/>
      <c r="I1259" s="23"/>
    </row>
    <row r="1260">
      <c r="A1260" s="133" t="s">
        <v>537</v>
      </c>
      <c r="B1260" s="134" t="s">
        <v>527</v>
      </c>
      <c r="C1260" s="134" t="s">
        <v>74</v>
      </c>
      <c r="D1260" s="133" t="s">
        <v>537</v>
      </c>
      <c r="E1260" s="168">
        <v>42941.0</v>
      </c>
      <c r="F1260" s="85" t="str">
        <f t="shared" ref="F1260:F1266" si="113">TEXT(E1257:E1260, "mmm") &amp; "-" &amp; TEXT(E1257:E1260, "yyyy") </f>
        <v>Jul-2017</v>
      </c>
      <c r="G1260" s="47" t="s">
        <v>20</v>
      </c>
      <c r="H1260" s="47" t="s">
        <v>35</v>
      </c>
      <c r="I1260" s="79" t="s">
        <v>133</v>
      </c>
      <c r="J1260" s="47" t="s">
        <v>86</v>
      </c>
      <c r="K1260" s="47" t="s">
        <v>9</v>
      </c>
      <c r="L1260" s="47" t="s">
        <v>24</v>
      </c>
      <c r="M1260" s="47" t="s">
        <v>30</v>
      </c>
      <c r="N1260" s="47" t="s">
        <v>69</v>
      </c>
      <c r="O1260" s="152"/>
      <c r="P1260" s="152"/>
      <c r="Q1260" s="153"/>
    </row>
    <row r="1261">
      <c r="A1261" s="134" t="s">
        <v>527</v>
      </c>
      <c r="B1261" s="134" t="s">
        <v>527</v>
      </c>
      <c r="C1261" s="134" t="s">
        <v>74</v>
      </c>
      <c r="D1261" s="133" t="s">
        <v>537</v>
      </c>
      <c r="E1261" s="168">
        <v>42941.0</v>
      </c>
      <c r="F1261" s="22" t="str">
        <f t="shared" si="113"/>
        <v>Jul-2017</v>
      </c>
      <c r="G1261" s="17" t="s">
        <v>25</v>
      </c>
      <c r="H1261" s="16" t="s">
        <v>35</v>
      </c>
      <c r="I1261" s="48" t="s">
        <v>133</v>
      </c>
      <c r="J1261" s="16" t="s">
        <v>86</v>
      </c>
      <c r="K1261" s="16" t="s">
        <v>27</v>
      </c>
      <c r="L1261" s="16" t="s">
        <v>30</v>
      </c>
      <c r="M1261" s="16"/>
      <c r="N1261" s="16" t="s">
        <v>99</v>
      </c>
      <c r="O1261" s="101"/>
      <c r="P1261" s="101"/>
      <c r="Q1261" s="102"/>
    </row>
    <row r="1262">
      <c r="A1262" s="134" t="s">
        <v>529</v>
      </c>
      <c r="B1262" s="134" t="s">
        <v>527</v>
      </c>
      <c r="C1262" s="134" t="s">
        <v>74</v>
      </c>
      <c r="D1262" s="133" t="s">
        <v>537</v>
      </c>
      <c r="E1262" s="168">
        <v>42941.0</v>
      </c>
      <c r="F1262" s="22" t="str">
        <f t="shared" si="113"/>
        <v>Jul-2017</v>
      </c>
      <c r="G1262" s="17" t="s">
        <v>32</v>
      </c>
      <c r="H1262" s="16" t="s">
        <v>35</v>
      </c>
      <c r="I1262" s="48" t="s">
        <v>133</v>
      </c>
      <c r="J1262" s="16" t="s">
        <v>86</v>
      </c>
      <c r="K1262" s="16" t="s">
        <v>9</v>
      </c>
      <c r="L1262" s="16" t="s">
        <v>30</v>
      </c>
      <c r="M1262" s="16"/>
      <c r="N1262" s="16" t="s">
        <v>98</v>
      </c>
      <c r="O1262" s="101"/>
      <c r="P1262" s="101"/>
      <c r="Q1262" s="102"/>
    </row>
    <row r="1263">
      <c r="A1263" s="168">
        <v>42941.0</v>
      </c>
      <c r="B1263" s="134" t="s">
        <v>527</v>
      </c>
      <c r="C1263" s="134" t="s">
        <v>74</v>
      </c>
      <c r="D1263" s="133" t="s">
        <v>537</v>
      </c>
      <c r="E1263" s="168">
        <v>42941.0</v>
      </c>
      <c r="F1263" s="22" t="str">
        <f t="shared" si="113"/>
        <v>Jul-2017</v>
      </c>
      <c r="G1263" s="119" t="s">
        <v>20</v>
      </c>
      <c r="H1263" s="119" t="s">
        <v>35</v>
      </c>
      <c r="I1263" s="126" t="s">
        <v>36</v>
      </c>
      <c r="J1263" s="119" t="s">
        <v>27</v>
      </c>
      <c r="K1263" s="119" t="s">
        <v>9</v>
      </c>
      <c r="L1263" s="119" t="s">
        <v>24</v>
      </c>
      <c r="M1263" s="119" t="s">
        <v>24</v>
      </c>
      <c r="N1263" s="119" t="s">
        <v>37</v>
      </c>
      <c r="O1263" s="174"/>
      <c r="P1263" s="174"/>
      <c r="Q1263" s="175"/>
    </row>
    <row r="1264">
      <c r="A1264" s="134" t="s">
        <v>74</v>
      </c>
      <c r="B1264" s="134" t="s">
        <v>527</v>
      </c>
      <c r="C1264" s="134" t="s">
        <v>74</v>
      </c>
      <c r="D1264" s="133" t="s">
        <v>537</v>
      </c>
      <c r="E1264" s="168">
        <v>42941.0</v>
      </c>
      <c r="F1264" s="22" t="str">
        <f t="shared" si="113"/>
        <v>Jul-2017</v>
      </c>
      <c r="G1264" s="91" t="s">
        <v>25</v>
      </c>
      <c r="H1264" s="119" t="s">
        <v>35</v>
      </c>
      <c r="I1264" s="126" t="s">
        <v>36</v>
      </c>
      <c r="J1264" s="119" t="s">
        <v>27</v>
      </c>
      <c r="K1264" s="119" t="s">
        <v>9</v>
      </c>
      <c r="L1264" s="119" t="s">
        <v>24</v>
      </c>
      <c r="M1264" s="119"/>
      <c r="N1264" s="119" t="s">
        <v>69</v>
      </c>
      <c r="O1264" s="174"/>
      <c r="P1264" s="174"/>
      <c r="Q1264" s="175"/>
    </row>
    <row r="1265">
      <c r="A1265" s="140"/>
      <c r="B1265" s="134" t="s">
        <v>527</v>
      </c>
      <c r="C1265" s="134" t="s">
        <v>74</v>
      </c>
      <c r="D1265" s="133" t="s">
        <v>537</v>
      </c>
      <c r="E1265" s="168">
        <v>42941.0</v>
      </c>
      <c r="F1265" s="22" t="str">
        <f t="shared" si="113"/>
        <v>Jul-2017</v>
      </c>
      <c r="G1265" s="16" t="s">
        <v>20</v>
      </c>
      <c r="H1265" s="16" t="s">
        <v>35</v>
      </c>
      <c r="I1265" s="48" t="s">
        <v>393</v>
      </c>
      <c r="J1265" s="16" t="s">
        <v>102</v>
      </c>
      <c r="K1265" s="16" t="s">
        <v>9</v>
      </c>
      <c r="L1265" s="16" t="s">
        <v>24</v>
      </c>
      <c r="M1265" s="16" t="s">
        <v>24</v>
      </c>
      <c r="N1265" s="16" t="s">
        <v>98</v>
      </c>
      <c r="O1265" s="101"/>
      <c r="P1265" s="101"/>
      <c r="Q1265" s="102"/>
    </row>
    <row r="1266">
      <c r="A1266" s="141"/>
      <c r="B1266" s="134" t="s">
        <v>527</v>
      </c>
      <c r="C1266" s="134" t="s">
        <v>74</v>
      </c>
      <c r="D1266" s="133" t="s">
        <v>537</v>
      </c>
      <c r="E1266" s="170">
        <v>42941.0</v>
      </c>
      <c r="F1266" s="52" t="str">
        <f t="shared" si="113"/>
        <v>Jul-2017</v>
      </c>
      <c r="G1266" s="93" t="s">
        <v>25</v>
      </c>
      <c r="H1266" s="38" t="s">
        <v>35</v>
      </c>
      <c r="I1266" s="122" t="s">
        <v>393</v>
      </c>
      <c r="J1266" s="38" t="s">
        <v>102</v>
      </c>
      <c r="K1266" s="38" t="s">
        <v>9</v>
      </c>
      <c r="L1266" s="38" t="s">
        <v>24</v>
      </c>
      <c r="M1266" s="38"/>
      <c r="N1266" s="38" t="s">
        <v>106</v>
      </c>
      <c r="O1266" s="105"/>
      <c r="P1266" s="105"/>
      <c r="Q1266" s="106"/>
    </row>
    <row r="1267">
      <c r="A1267" s="107"/>
      <c r="B1267" s="95"/>
      <c r="C1267" s="95"/>
      <c r="D1267" s="95"/>
      <c r="E1267" s="95"/>
      <c r="I1267" s="23"/>
    </row>
    <row r="1268">
      <c r="A1268" s="133" t="s">
        <v>538</v>
      </c>
      <c r="B1268" s="134" t="s">
        <v>151</v>
      </c>
      <c r="C1268" s="134" t="s">
        <v>74</v>
      </c>
      <c r="D1268" s="133" t="s">
        <v>538</v>
      </c>
      <c r="E1268" s="164">
        <v>42944.0</v>
      </c>
      <c r="F1268" s="85" t="str">
        <f t="shared" ref="F1268:F1279" si="114">TEXT(E1265:E1268, "mmm") &amp; "-" &amp; TEXT(E1265:E1268, "yyyy") </f>
        <v>Jul-2017</v>
      </c>
      <c r="G1268" s="218" t="s">
        <v>20</v>
      </c>
      <c r="H1268" s="218" t="s">
        <v>35</v>
      </c>
      <c r="I1268" s="86" t="s">
        <v>520</v>
      </c>
      <c r="J1268" s="73" t="s">
        <v>86</v>
      </c>
      <c r="K1268" s="218" t="s">
        <v>9</v>
      </c>
      <c r="L1268" s="73" t="s">
        <v>30</v>
      </c>
      <c r="M1268" s="73" t="s">
        <v>30</v>
      </c>
      <c r="N1268" s="73" t="s">
        <v>29</v>
      </c>
      <c r="O1268" s="165"/>
      <c r="P1268" s="165"/>
      <c r="Q1268" s="166"/>
    </row>
    <row r="1269">
      <c r="A1269" s="134" t="s">
        <v>151</v>
      </c>
      <c r="B1269" s="134" t="s">
        <v>151</v>
      </c>
      <c r="C1269" s="134" t="s">
        <v>74</v>
      </c>
      <c r="D1269" s="133" t="s">
        <v>538</v>
      </c>
      <c r="E1269" s="167">
        <v>42944.0</v>
      </c>
      <c r="F1269" s="22" t="str">
        <f t="shared" si="114"/>
        <v>Jul-2017</v>
      </c>
      <c r="G1269" s="91" t="s">
        <v>25</v>
      </c>
      <c r="H1269" s="119" t="s">
        <v>35</v>
      </c>
      <c r="I1269" s="80" t="s">
        <v>520</v>
      </c>
      <c r="J1269" s="25" t="s">
        <v>86</v>
      </c>
      <c r="K1269" s="119" t="s">
        <v>9</v>
      </c>
      <c r="L1269" s="25" t="s">
        <v>30</v>
      </c>
      <c r="M1269" s="25"/>
      <c r="N1269" s="25" t="s">
        <v>98</v>
      </c>
      <c r="Q1269" s="99"/>
    </row>
    <row r="1270">
      <c r="A1270" s="134" t="s">
        <v>368</v>
      </c>
      <c r="B1270" s="134" t="s">
        <v>151</v>
      </c>
      <c r="C1270" s="134" t="s">
        <v>74</v>
      </c>
      <c r="D1270" s="133" t="s">
        <v>538</v>
      </c>
      <c r="E1270" s="167">
        <v>42944.0</v>
      </c>
      <c r="F1270" s="22" t="str">
        <f t="shared" si="114"/>
        <v>Jul-2017</v>
      </c>
      <c r="G1270" s="16" t="s">
        <v>20</v>
      </c>
      <c r="H1270" s="16" t="s">
        <v>35</v>
      </c>
      <c r="I1270" s="48" t="s">
        <v>536</v>
      </c>
      <c r="J1270" s="16" t="s">
        <v>9</v>
      </c>
      <c r="K1270" s="16" t="s">
        <v>9</v>
      </c>
      <c r="L1270" s="16" t="s">
        <v>24</v>
      </c>
      <c r="M1270" s="16" t="s">
        <v>24</v>
      </c>
      <c r="N1270" s="16" t="s">
        <v>98</v>
      </c>
      <c r="O1270" s="101"/>
      <c r="P1270" s="101"/>
      <c r="Q1270" s="102"/>
    </row>
    <row r="1271">
      <c r="A1271" s="168">
        <v>42944.0</v>
      </c>
      <c r="B1271" s="134" t="s">
        <v>151</v>
      </c>
      <c r="C1271" s="134" t="s">
        <v>74</v>
      </c>
      <c r="D1271" s="133" t="s">
        <v>538</v>
      </c>
      <c r="E1271" s="167">
        <v>42944.0</v>
      </c>
      <c r="F1271" s="22" t="str">
        <f t="shared" si="114"/>
        <v>Jul-2017</v>
      </c>
      <c r="G1271" s="17" t="s">
        <v>25</v>
      </c>
      <c r="H1271" s="16" t="s">
        <v>35</v>
      </c>
      <c r="I1271" s="48" t="s">
        <v>536</v>
      </c>
      <c r="J1271" s="16" t="s">
        <v>9</v>
      </c>
      <c r="K1271" s="16" t="s">
        <v>9</v>
      </c>
      <c r="L1271" s="16" t="s">
        <v>24</v>
      </c>
      <c r="M1271" s="16"/>
      <c r="N1271" s="16" t="s">
        <v>69</v>
      </c>
      <c r="O1271" s="101"/>
      <c r="P1271" s="101"/>
      <c r="Q1271" s="102"/>
    </row>
    <row r="1272">
      <c r="A1272" s="134" t="s">
        <v>74</v>
      </c>
      <c r="B1272" s="134" t="s">
        <v>151</v>
      </c>
      <c r="C1272" s="134" t="s">
        <v>74</v>
      </c>
      <c r="D1272" s="133" t="s">
        <v>538</v>
      </c>
      <c r="E1272" s="167">
        <v>42944.0</v>
      </c>
      <c r="F1272" s="22" t="str">
        <f t="shared" si="114"/>
        <v>Jul-2017</v>
      </c>
      <c r="G1272" s="119" t="s">
        <v>20</v>
      </c>
      <c r="H1272" s="119" t="s">
        <v>35</v>
      </c>
      <c r="I1272" s="80" t="s">
        <v>539</v>
      </c>
      <c r="J1272" s="25" t="s">
        <v>71</v>
      </c>
      <c r="K1272" s="119" t="s">
        <v>9</v>
      </c>
      <c r="L1272" s="25" t="s">
        <v>30</v>
      </c>
      <c r="M1272" s="25" t="s">
        <v>30</v>
      </c>
      <c r="N1272" s="25" t="s">
        <v>99</v>
      </c>
      <c r="Q1272" s="99"/>
    </row>
    <row r="1273">
      <c r="A1273" s="140"/>
      <c r="B1273" s="134" t="s">
        <v>151</v>
      </c>
      <c r="C1273" s="134" t="s">
        <v>74</v>
      </c>
      <c r="D1273" s="133" t="s">
        <v>538</v>
      </c>
      <c r="E1273" s="167">
        <v>42944.0</v>
      </c>
      <c r="F1273" s="22" t="str">
        <f t="shared" si="114"/>
        <v>Jul-2017</v>
      </c>
      <c r="G1273" s="91" t="s">
        <v>25</v>
      </c>
      <c r="H1273" s="119" t="s">
        <v>35</v>
      </c>
      <c r="I1273" s="80" t="s">
        <v>539</v>
      </c>
      <c r="J1273" s="25" t="s">
        <v>71</v>
      </c>
      <c r="K1273" s="119" t="s">
        <v>9</v>
      </c>
      <c r="L1273" s="25" t="s">
        <v>30</v>
      </c>
      <c r="M1273" s="119"/>
      <c r="N1273" s="119" t="s">
        <v>69</v>
      </c>
      <c r="Q1273" s="99"/>
    </row>
    <row r="1274">
      <c r="A1274" s="140"/>
      <c r="B1274" s="134" t="s">
        <v>151</v>
      </c>
      <c r="C1274" s="134" t="s">
        <v>74</v>
      </c>
      <c r="D1274" s="133" t="s">
        <v>538</v>
      </c>
      <c r="E1274" s="167">
        <v>42944.0</v>
      </c>
      <c r="F1274" s="22" t="str">
        <f t="shared" si="114"/>
        <v>Jul-2017</v>
      </c>
      <c r="G1274" s="16" t="s">
        <v>20</v>
      </c>
      <c r="H1274" s="16" t="s">
        <v>35</v>
      </c>
      <c r="I1274" s="48" t="s">
        <v>442</v>
      </c>
      <c r="J1274" s="16" t="s">
        <v>71</v>
      </c>
      <c r="K1274" s="16" t="s">
        <v>9</v>
      </c>
      <c r="L1274" s="16" t="s">
        <v>30</v>
      </c>
      <c r="M1274" s="16" t="s">
        <v>30</v>
      </c>
      <c r="N1274" s="16" t="s">
        <v>99</v>
      </c>
      <c r="O1274" s="101"/>
      <c r="P1274" s="101"/>
      <c r="Q1274" s="102"/>
    </row>
    <row r="1275">
      <c r="A1275" s="140"/>
      <c r="B1275" s="134" t="s">
        <v>151</v>
      </c>
      <c r="C1275" s="134" t="s">
        <v>74</v>
      </c>
      <c r="D1275" s="133" t="s">
        <v>538</v>
      </c>
      <c r="E1275" s="167">
        <v>42944.0</v>
      </c>
      <c r="F1275" s="22" t="str">
        <f t="shared" si="114"/>
        <v>Jul-2017</v>
      </c>
      <c r="G1275" s="17" t="s">
        <v>25</v>
      </c>
      <c r="H1275" s="16" t="s">
        <v>35</v>
      </c>
      <c r="I1275" s="48" t="s">
        <v>442</v>
      </c>
      <c r="J1275" s="16" t="s">
        <v>71</v>
      </c>
      <c r="K1275" s="16" t="s">
        <v>9</v>
      </c>
      <c r="L1275" s="16" t="s">
        <v>30</v>
      </c>
      <c r="M1275" s="16"/>
      <c r="N1275" s="16" t="s">
        <v>37</v>
      </c>
      <c r="O1275" s="101"/>
      <c r="P1275" s="101"/>
      <c r="Q1275" s="102"/>
    </row>
    <row r="1276">
      <c r="A1276" s="140"/>
      <c r="B1276" s="134" t="s">
        <v>151</v>
      </c>
      <c r="C1276" s="134" t="s">
        <v>74</v>
      </c>
      <c r="D1276" s="133" t="s">
        <v>538</v>
      </c>
      <c r="E1276" s="167">
        <v>42944.0</v>
      </c>
      <c r="F1276" s="22" t="str">
        <f t="shared" si="114"/>
        <v>Jul-2017</v>
      </c>
      <c r="G1276" s="119" t="s">
        <v>20</v>
      </c>
      <c r="H1276" s="119" t="s">
        <v>35</v>
      </c>
      <c r="I1276" s="80" t="s">
        <v>36</v>
      </c>
      <c r="J1276" s="25" t="s">
        <v>27</v>
      </c>
      <c r="K1276" s="119" t="s">
        <v>9</v>
      </c>
      <c r="L1276" s="25" t="s">
        <v>30</v>
      </c>
      <c r="M1276" s="119" t="s">
        <v>30</v>
      </c>
      <c r="N1276" s="119" t="s">
        <v>37</v>
      </c>
      <c r="Q1276" s="99"/>
    </row>
    <row r="1277">
      <c r="A1277" s="140"/>
      <c r="B1277" s="134" t="s">
        <v>151</v>
      </c>
      <c r="C1277" s="134" t="s">
        <v>74</v>
      </c>
      <c r="D1277" s="133" t="s">
        <v>538</v>
      </c>
      <c r="E1277" s="167">
        <v>42944.0</v>
      </c>
      <c r="F1277" s="22" t="str">
        <f t="shared" si="114"/>
        <v>Jul-2017</v>
      </c>
      <c r="G1277" s="91" t="s">
        <v>25</v>
      </c>
      <c r="H1277" s="119" t="s">
        <v>35</v>
      </c>
      <c r="I1277" s="80" t="s">
        <v>36</v>
      </c>
      <c r="J1277" s="25" t="s">
        <v>27</v>
      </c>
      <c r="K1277" s="119" t="s">
        <v>9</v>
      </c>
      <c r="L1277" s="25" t="s">
        <v>30</v>
      </c>
      <c r="M1277" s="119"/>
      <c r="N1277" s="119" t="s">
        <v>37</v>
      </c>
      <c r="Q1277" s="99"/>
    </row>
    <row r="1278">
      <c r="A1278" s="140"/>
      <c r="B1278" s="134" t="s">
        <v>151</v>
      </c>
      <c r="C1278" s="134" t="s">
        <v>74</v>
      </c>
      <c r="D1278" s="133" t="s">
        <v>538</v>
      </c>
      <c r="E1278" s="167">
        <v>42944.0</v>
      </c>
      <c r="F1278" s="22" t="str">
        <f t="shared" si="114"/>
        <v>Jul-2017</v>
      </c>
      <c r="G1278" s="16" t="s">
        <v>20</v>
      </c>
      <c r="H1278" s="16" t="s">
        <v>35</v>
      </c>
      <c r="I1278" s="48" t="s">
        <v>536</v>
      </c>
      <c r="J1278" s="16" t="s">
        <v>9</v>
      </c>
      <c r="K1278" s="16" t="s">
        <v>9</v>
      </c>
      <c r="L1278" s="16" t="s">
        <v>24</v>
      </c>
      <c r="M1278" s="16" t="s">
        <v>24</v>
      </c>
      <c r="N1278" s="16" t="s">
        <v>69</v>
      </c>
      <c r="O1278" s="101"/>
      <c r="P1278" s="101"/>
      <c r="Q1278" s="102"/>
    </row>
    <row r="1279">
      <c r="A1279" s="141"/>
      <c r="B1279" s="134" t="s">
        <v>151</v>
      </c>
      <c r="C1279" s="134" t="s">
        <v>74</v>
      </c>
      <c r="D1279" s="133" t="s">
        <v>538</v>
      </c>
      <c r="E1279" s="169">
        <v>42944.0</v>
      </c>
      <c r="F1279" s="52" t="str">
        <f t="shared" si="114"/>
        <v>Jul-2017</v>
      </c>
      <c r="G1279" s="93" t="s">
        <v>25</v>
      </c>
      <c r="H1279" s="38" t="s">
        <v>35</v>
      </c>
      <c r="I1279" s="122" t="s">
        <v>536</v>
      </c>
      <c r="J1279" s="38" t="s">
        <v>9</v>
      </c>
      <c r="K1279" s="38" t="s">
        <v>9</v>
      </c>
      <c r="L1279" s="38" t="s">
        <v>24</v>
      </c>
      <c r="M1279" s="38"/>
      <c r="N1279" s="38" t="s">
        <v>99</v>
      </c>
      <c r="O1279" s="105"/>
      <c r="P1279" s="105"/>
      <c r="Q1279" s="106"/>
    </row>
    <row r="1280">
      <c r="A1280" s="107"/>
      <c r="B1280" s="95"/>
      <c r="C1280" s="95"/>
      <c r="D1280" s="95"/>
      <c r="E1280" s="95"/>
      <c r="I1280" s="23"/>
    </row>
    <row r="1281">
      <c r="A1281" s="133" t="s">
        <v>540</v>
      </c>
      <c r="B1281" s="134" t="s">
        <v>151</v>
      </c>
      <c r="C1281" s="134" t="s">
        <v>74</v>
      </c>
      <c r="D1281" s="133" t="s">
        <v>540</v>
      </c>
      <c r="E1281" s="223">
        <v>42949.0</v>
      </c>
      <c r="F1281" s="85" t="str">
        <f t="shared" ref="F1281:F1288" si="115">TEXT(E1278:E1281, "mmm") &amp; "-" &amp; TEXT(E1278:E1281, "yyyy") </f>
        <v>Aug-2017</v>
      </c>
      <c r="G1281" s="218" t="s">
        <v>20</v>
      </c>
      <c r="H1281" s="218" t="s">
        <v>35</v>
      </c>
      <c r="I1281" s="86" t="s">
        <v>133</v>
      </c>
      <c r="J1281" s="73" t="s">
        <v>86</v>
      </c>
      <c r="K1281" s="218" t="s">
        <v>9</v>
      </c>
      <c r="L1281" s="73" t="s">
        <v>30</v>
      </c>
      <c r="M1281" s="218" t="s">
        <v>30</v>
      </c>
      <c r="N1281" s="218" t="s">
        <v>69</v>
      </c>
      <c r="O1281" s="165"/>
      <c r="P1281" s="165"/>
      <c r="Q1281" s="166"/>
    </row>
    <row r="1282">
      <c r="A1282" s="134" t="s">
        <v>151</v>
      </c>
      <c r="B1282" s="134" t="s">
        <v>151</v>
      </c>
      <c r="C1282" s="134" t="s">
        <v>74</v>
      </c>
      <c r="D1282" s="133" t="s">
        <v>540</v>
      </c>
      <c r="E1282" s="168">
        <v>42949.0</v>
      </c>
      <c r="F1282" s="22" t="str">
        <f t="shared" si="115"/>
        <v>Aug-2017</v>
      </c>
      <c r="G1282" s="91" t="s">
        <v>25</v>
      </c>
      <c r="H1282" s="119" t="s">
        <v>35</v>
      </c>
      <c r="I1282" s="80" t="s">
        <v>133</v>
      </c>
      <c r="J1282" s="25" t="s">
        <v>86</v>
      </c>
      <c r="K1282" s="119" t="s">
        <v>9</v>
      </c>
      <c r="L1282" s="25" t="s">
        <v>24</v>
      </c>
      <c r="M1282" s="119"/>
      <c r="N1282" s="119" t="s">
        <v>98</v>
      </c>
      <c r="Q1282" s="99"/>
    </row>
    <row r="1283">
      <c r="A1283" s="134" t="s">
        <v>368</v>
      </c>
      <c r="B1283" s="134" t="s">
        <v>151</v>
      </c>
      <c r="C1283" s="134" t="s">
        <v>74</v>
      </c>
      <c r="D1283" s="133" t="s">
        <v>540</v>
      </c>
      <c r="E1283" s="168">
        <v>42949.0</v>
      </c>
      <c r="F1283" s="22" t="str">
        <f t="shared" si="115"/>
        <v>Aug-2017</v>
      </c>
      <c r="G1283" s="119" t="s">
        <v>32</v>
      </c>
      <c r="H1283" s="119" t="s">
        <v>35</v>
      </c>
      <c r="I1283" s="80" t="s">
        <v>133</v>
      </c>
      <c r="J1283" s="25" t="s">
        <v>86</v>
      </c>
      <c r="K1283" s="119" t="s">
        <v>9</v>
      </c>
      <c r="L1283" s="25" t="s">
        <v>30</v>
      </c>
      <c r="M1283" s="25"/>
      <c r="N1283" s="25" t="s">
        <v>29</v>
      </c>
      <c r="Q1283" s="99"/>
    </row>
    <row r="1284">
      <c r="A1284" s="168">
        <v>42949.0</v>
      </c>
      <c r="B1284" s="134" t="s">
        <v>151</v>
      </c>
      <c r="C1284" s="134" t="s">
        <v>74</v>
      </c>
      <c r="D1284" s="133" t="s">
        <v>540</v>
      </c>
      <c r="E1284" s="168">
        <v>42949.0</v>
      </c>
      <c r="F1284" s="22" t="str">
        <f t="shared" si="115"/>
        <v>Aug-2017</v>
      </c>
      <c r="G1284" s="16" t="s">
        <v>20</v>
      </c>
      <c r="H1284" s="16" t="s">
        <v>35</v>
      </c>
      <c r="I1284" s="48" t="s">
        <v>541</v>
      </c>
      <c r="J1284" s="16" t="s">
        <v>139</v>
      </c>
      <c r="K1284" s="16" t="s">
        <v>9</v>
      </c>
      <c r="L1284" s="16" t="s">
        <v>24</v>
      </c>
      <c r="M1284" s="16" t="s">
        <v>24</v>
      </c>
      <c r="N1284" s="16" t="s">
        <v>37</v>
      </c>
      <c r="O1284" s="101"/>
      <c r="P1284" s="101"/>
      <c r="Q1284" s="102"/>
    </row>
    <row r="1285">
      <c r="A1285" s="134" t="s">
        <v>74</v>
      </c>
      <c r="B1285" s="134" t="s">
        <v>151</v>
      </c>
      <c r="C1285" s="134" t="s">
        <v>74</v>
      </c>
      <c r="D1285" s="133" t="s">
        <v>540</v>
      </c>
      <c r="E1285" s="168">
        <v>42949.0</v>
      </c>
      <c r="F1285" s="22" t="str">
        <f t="shared" si="115"/>
        <v>Aug-2017</v>
      </c>
      <c r="G1285" s="17" t="s">
        <v>25</v>
      </c>
      <c r="H1285" s="16" t="s">
        <v>35</v>
      </c>
      <c r="I1285" s="48" t="s">
        <v>541</v>
      </c>
      <c r="J1285" s="16" t="s">
        <v>139</v>
      </c>
      <c r="K1285" s="16" t="s">
        <v>9</v>
      </c>
      <c r="L1285" s="16" t="s">
        <v>24</v>
      </c>
      <c r="M1285" s="16"/>
      <c r="N1285" s="16" t="s">
        <v>98</v>
      </c>
      <c r="O1285" s="101"/>
      <c r="P1285" s="101"/>
      <c r="Q1285" s="102"/>
    </row>
    <row r="1286">
      <c r="A1286" s="140"/>
      <c r="B1286" s="134" t="s">
        <v>151</v>
      </c>
      <c r="C1286" s="134" t="s">
        <v>74</v>
      </c>
      <c r="D1286" s="133" t="s">
        <v>540</v>
      </c>
      <c r="E1286" s="168">
        <v>42949.0</v>
      </c>
      <c r="F1286" s="22" t="str">
        <f t="shared" si="115"/>
        <v>Aug-2017</v>
      </c>
      <c r="G1286" s="119" t="s">
        <v>20</v>
      </c>
      <c r="H1286" s="119" t="s">
        <v>35</v>
      </c>
      <c r="I1286" s="80" t="s">
        <v>442</v>
      </c>
      <c r="J1286" s="25" t="s">
        <v>71</v>
      </c>
      <c r="K1286" s="119" t="s">
        <v>9</v>
      </c>
      <c r="L1286" s="25" t="s">
        <v>24</v>
      </c>
      <c r="M1286" s="25" t="s">
        <v>24</v>
      </c>
      <c r="N1286" s="25" t="s">
        <v>99</v>
      </c>
      <c r="Q1286" s="99"/>
    </row>
    <row r="1287">
      <c r="A1287" s="140"/>
      <c r="B1287" s="134" t="s">
        <v>151</v>
      </c>
      <c r="C1287" s="134" t="s">
        <v>74</v>
      </c>
      <c r="D1287" s="133" t="s">
        <v>540</v>
      </c>
      <c r="E1287" s="168">
        <v>42949.0</v>
      </c>
      <c r="F1287" s="22" t="str">
        <f t="shared" si="115"/>
        <v>Aug-2017</v>
      </c>
      <c r="G1287" s="91" t="s">
        <v>25</v>
      </c>
      <c r="H1287" s="119" t="s">
        <v>35</v>
      </c>
      <c r="I1287" s="80" t="s">
        <v>442</v>
      </c>
      <c r="J1287" s="25" t="s">
        <v>71</v>
      </c>
      <c r="K1287" s="119" t="s">
        <v>9</v>
      </c>
      <c r="L1287" s="25" t="s">
        <v>30</v>
      </c>
      <c r="M1287" s="25"/>
      <c r="N1287" s="25" t="s">
        <v>106</v>
      </c>
      <c r="Q1287" s="99"/>
    </row>
    <row r="1288">
      <c r="A1288" s="141"/>
      <c r="B1288" s="134" t="s">
        <v>151</v>
      </c>
      <c r="C1288" s="134" t="s">
        <v>74</v>
      </c>
      <c r="D1288" s="133" t="s">
        <v>540</v>
      </c>
      <c r="E1288" s="170">
        <v>42949.0</v>
      </c>
      <c r="F1288" s="52" t="str">
        <f t="shared" si="115"/>
        <v>Aug-2017</v>
      </c>
      <c r="G1288" s="114" t="s">
        <v>32</v>
      </c>
      <c r="H1288" s="114" t="s">
        <v>35</v>
      </c>
      <c r="I1288" s="113" t="s">
        <v>442</v>
      </c>
      <c r="J1288" s="55" t="s">
        <v>71</v>
      </c>
      <c r="K1288" s="114" t="s">
        <v>9</v>
      </c>
      <c r="L1288" s="55" t="s">
        <v>24</v>
      </c>
      <c r="M1288" s="55"/>
      <c r="N1288" s="55" t="s">
        <v>37</v>
      </c>
      <c r="O1288" s="143"/>
      <c r="P1288" s="143"/>
      <c r="Q1288" s="144"/>
    </row>
    <row r="1289">
      <c r="A1289" s="107"/>
      <c r="B1289" s="95"/>
      <c r="C1289" s="95"/>
      <c r="D1289" s="95"/>
      <c r="E1289" s="95"/>
      <c r="I1289" s="23"/>
    </row>
    <row r="1290">
      <c r="A1290" s="133" t="s">
        <v>542</v>
      </c>
      <c r="B1290" s="134" t="s">
        <v>18</v>
      </c>
      <c r="C1290" s="134" t="s">
        <v>74</v>
      </c>
      <c r="D1290" s="133" t="s">
        <v>542</v>
      </c>
      <c r="E1290" s="168">
        <v>42951.0</v>
      </c>
      <c r="F1290" s="85" t="str">
        <f t="shared" ref="F1290:F1293" si="116">TEXT(E1287:E1290, "mmm") &amp; "-" &amp; TEXT(E1287:E1290, "yyyy") </f>
        <v>Aug-2017</v>
      </c>
      <c r="G1290" s="218" t="s">
        <v>20</v>
      </c>
      <c r="H1290" s="218" t="s">
        <v>35</v>
      </c>
      <c r="I1290" s="86" t="s">
        <v>543</v>
      </c>
      <c r="J1290" s="73" t="s">
        <v>140</v>
      </c>
      <c r="K1290" s="73" t="s">
        <v>9</v>
      </c>
      <c r="L1290" s="73" t="s">
        <v>30</v>
      </c>
      <c r="M1290" s="73" t="s">
        <v>30</v>
      </c>
      <c r="N1290" s="73" t="s">
        <v>69</v>
      </c>
      <c r="O1290" s="165"/>
      <c r="P1290" s="165"/>
      <c r="Q1290" s="166"/>
    </row>
    <row r="1291">
      <c r="A1291" s="134" t="s">
        <v>18</v>
      </c>
      <c r="B1291" s="134" t="s">
        <v>18</v>
      </c>
      <c r="C1291" s="134" t="s">
        <v>74</v>
      </c>
      <c r="D1291" s="133" t="s">
        <v>542</v>
      </c>
      <c r="E1291" s="168">
        <v>42951.0</v>
      </c>
      <c r="F1291" s="22" t="str">
        <f t="shared" si="116"/>
        <v>Aug-2017</v>
      </c>
      <c r="G1291" s="91" t="s">
        <v>25</v>
      </c>
      <c r="H1291" s="119" t="s">
        <v>35</v>
      </c>
      <c r="I1291" s="80" t="s">
        <v>543</v>
      </c>
      <c r="J1291" s="25" t="s">
        <v>140</v>
      </c>
      <c r="K1291" s="25" t="s">
        <v>9</v>
      </c>
      <c r="L1291" s="25" t="s">
        <v>30</v>
      </c>
      <c r="M1291" s="25"/>
      <c r="N1291" s="25" t="s">
        <v>29</v>
      </c>
      <c r="Q1291" s="99"/>
    </row>
    <row r="1292">
      <c r="A1292" s="134" t="s">
        <v>331</v>
      </c>
      <c r="B1292" s="134" t="s">
        <v>18</v>
      </c>
      <c r="C1292" s="134" t="s">
        <v>74</v>
      </c>
      <c r="D1292" s="133" t="s">
        <v>542</v>
      </c>
      <c r="E1292" s="168">
        <v>42951.0</v>
      </c>
      <c r="F1292" s="22" t="str">
        <f t="shared" si="116"/>
        <v>Aug-2017</v>
      </c>
      <c r="G1292" s="16" t="s">
        <v>20</v>
      </c>
      <c r="H1292" s="16" t="s">
        <v>35</v>
      </c>
      <c r="I1292" s="48" t="s">
        <v>544</v>
      </c>
      <c r="J1292" s="16" t="s">
        <v>27</v>
      </c>
      <c r="K1292" s="16" t="s">
        <v>9</v>
      </c>
      <c r="L1292" s="16" t="s">
        <v>30</v>
      </c>
      <c r="M1292" s="16" t="s">
        <v>30</v>
      </c>
      <c r="N1292" s="16" t="s">
        <v>98</v>
      </c>
      <c r="O1292" s="101"/>
      <c r="P1292" s="101"/>
      <c r="Q1292" s="102"/>
    </row>
    <row r="1293">
      <c r="A1293" s="168">
        <v>42951.0</v>
      </c>
      <c r="B1293" s="134" t="s">
        <v>18</v>
      </c>
      <c r="C1293" s="134" t="s">
        <v>74</v>
      </c>
      <c r="D1293" s="133" t="s">
        <v>542</v>
      </c>
      <c r="E1293" s="168">
        <v>42951.0</v>
      </c>
      <c r="F1293" s="22" t="str">
        <f t="shared" si="116"/>
        <v>Aug-2017</v>
      </c>
      <c r="G1293" s="17" t="s">
        <v>25</v>
      </c>
      <c r="H1293" s="16" t="s">
        <v>35</v>
      </c>
      <c r="I1293" s="48" t="s">
        <v>544</v>
      </c>
      <c r="J1293" s="16" t="s">
        <v>27</v>
      </c>
      <c r="K1293" s="16" t="s">
        <v>9</v>
      </c>
      <c r="L1293" s="16" t="s">
        <v>30</v>
      </c>
      <c r="M1293" s="16"/>
      <c r="N1293" s="16" t="s">
        <v>37</v>
      </c>
      <c r="O1293" s="101"/>
      <c r="P1293" s="101"/>
      <c r="Q1293" s="102"/>
    </row>
    <row r="1294">
      <c r="A1294" s="134" t="s">
        <v>74</v>
      </c>
      <c r="B1294" s="134" t="s">
        <v>18</v>
      </c>
      <c r="C1294" s="134" t="s">
        <v>74</v>
      </c>
      <c r="D1294" s="133" t="s">
        <v>542</v>
      </c>
      <c r="E1294" s="168">
        <v>42951.0</v>
      </c>
      <c r="F1294" s="22" t="str">
        <f t="shared" ref="F1294:F1300" si="117">TEXT(E1292:E1294, "mmm") &amp; "-" &amp; TEXT(E1292:E1294, "yyyy") </f>
        <v>Aug-2017</v>
      </c>
      <c r="G1294" s="119" t="s">
        <v>20</v>
      </c>
      <c r="H1294" s="119" t="s">
        <v>35</v>
      </c>
      <c r="I1294" s="80" t="s">
        <v>239</v>
      </c>
      <c r="J1294" s="25" t="s">
        <v>27</v>
      </c>
      <c r="K1294" s="25" t="s">
        <v>9</v>
      </c>
      <c r="L1294" s="25" t="s">
        <v>24</v>
      </c>
      <c r="M1294" s="25" t="s">
        <v>24</v>
      </c>
      <c r="N1294" s="25" t="s">
        <v>69</v>
      </c>
      <c r="Q1294" s="99"/>
    </row>
    <row r="1295">
      <c r="A1295" s="140"/>
      <c r="B1295" s="134" t="s">
        <v>18</v>
      </c>
      <c r="C1295" s="134" t="s">
        <v>74</v>
      </c>
      <c r="D1295" s="133" t="s">
        <v>542</v>
      </c>
      <c r="E1295" s="168">
        <v>42951.0</v>
      </c>
      <c r="F1295" s="22" t="str">
        <f t="shared" si="117"/>
        <v>Aug-2017</v>
      </c>
      <c r="G1295" s="91" t="s">
        <v>25</v>
      </c>
      <c r="H1295" s="119" t="s">
        <v>35</v>
      </c>
      <c r="I1295" s="80" t="s">
        <v>239</v>
      </c>
      <c r="J1295" s="25" t="s">
        <v>27</v>
      </c>
      <c r="K1295" s="25" t="s">
        <v>9</v>
      </c>
      <c r="L1295" s="25" t="s">
        <v>24</v>
      </c>
      <c r="M1295" s="25"/>
      <c r="N1295" s="25" t="s">
        <v>98</v>
      </c>
      <c r="Q1295" s="99"/>
    </row>
    <row r="1296">
      <c r="A1296" s="140"/>
      <c r="B1296" s="134" t="s">
        <v>18</v>
      </c>
      <c r="C1296" s="134" t="s">
        <v>74</v>
      </c>
      <c r="D1296" s="133" t="s">
        <v>542</v>
      </c>
      <c r="E1296" s="168">
        <v>42951.0</v>
      </c>
      <c r="F1296" s="22" t="str">
        <f t="shared" si="117"/>
        <v>Aug-2017</v>
      </c>
      <c r="G1296" s="16" t="s">
        <v>20</v>
      </c>
      <c r="H1296" s="16" t="s">
        <v>35</v>
      </c>
      <c r="I1296" s="48" t="s">
        <v>451</v>
      </c>
      <c r="J1296" s="16" t="s">
        <v>139</v>
      </c>
      <c r="K1296" s="16" t="s">
        <v>9</v>
      </c>
      <c r="L1296" s="16" t="s">
        <v>24</v>
      </c>
      <c r="M1296" s="16" t="s">
        <v>30</v>
      </c>
      <c r="N1296" s="16" t="s">
        <v>98</v>
      </c>
      <c r="O1296" s="101"/>
      <c r="P1296" s="101"/>
      <c r="Q1296" s="102"/>
    </row>
    <row r="1297">
      <c r="A1297" s="140"/>
      <c r="B1297" s="134" t="s">
        <v>18</v>
      </c>
      <c r="C1297" s="134" t="s">
        <v>74</v>
      </c>
      <c r="D1297" s="133" t="s">
        <v>542</v>
      </c>
      <c r="E1297" s="168">
        <v>42951.0</v>
      </c>
      <c r="F1297" s="22" t="str">
        <f t="shared" si="117"/>
        <v>Aug-2017</v>
      </c>
      <c r="G1297" s="17" t="s">
        <v>25</v>
      </c>
      <c r="H1297" s="16" t="s">
        <v>35</v>
      </c>
      <c r="I1297" s="48" t="s">
        <v>451</v>
      </c>
      <c r="J1297" s="16" t="s">
        <v>139</v>
      </c>
      <c r="K1297" s="16" t="s">
        <v>9</v>
      </c>
      <c r="L1297" s="16" t="s">
        <v>30</v>
      </c>
      <c r="M1297" s="16"/>
      <c r="N1297" s="16" t="s">
        <v>106</v>
      </c>
      <c r="O1297" s="101"/>
      <c r="P1297" s="101"/>
      <c r="Q1297" s="102"/>
    </row>
    <row r="1298">
      <c r="A1298" s="140"/>
      <c r="B1298" s="134" t="s">
        <v>18</v>
      </c>
      <c r="C1298" s="134" t="s">
        <v>74</v>
      </c>
      <c r="D1298" s="133" t="s">
        <v>542</v>
      </c>
      <c r="E1298" s="168">
        <v>42951.0</v>
      </c>
      <c r="F1298" s="22" t="str">
        <f t="shared" si="117"/>
        <v>Aug-2017</v>
      </c>
      <c r="G1298" s="17" t="s">
        <v>32</v>
      </c>
      <c r="H1298" s="16" t="s">
        <v>35</v>
      </c>
      <c r="I1298" s="48" t="s">
        <v>451</v>
      </c>
      <c r="J1298" s="16" t="s">
        <v>139</v>
      </c>
      <c r="K1298" s="16" t="s">
        <v>9</v>
      </c>
      <c r="L1298" s="16" t="s">
        <v>30</v>
      </c>
      <c r="M1298" s="16"/>
      <c r="N1298" s="16" t="s">
        <v>99</v>
      </c>
      <c r="O1298" s="101"/>
      <c r="P1298" s="101"/>
      <c r="Q1298" s="102"/>
    </row>
    <row r="1299">
      <c r="A1299" s="140"/>
      <c r="B1299" s="134" t="s">
        <v>18</v>
      </c>
      <c r="C1299" s="134" t="s">
        <v>74</v>
      </c>
      <c r="D1299" s="133" t="s">
        <v>542</v>
      </c>
      <c r="E1299" s="168">
        <v>42951.0</v>
      </c>
      <c r="F1299" s="22" t="str">
        <f t="shared" si="117"/>
        <v>Aug-2017</v>
      </c>
      <c r="G1299" s="119" t="s">
        <v>20</v>
      </c>
      <c r="H1299" s="119" t="s">
        <v>35</v>
      </c>
      <c r="I1299" s="126" t="s">
        <v>346</v>
      </c>
      <c r="J1299" s="119" t="s">
        <v>139</v>
      </c>
      <c r="K1299" s="119" t="s">
        <v>9</v>
      </c>
      <c r="L1299" s="119" t="s">
        <v>24</v>
      </c>
      <c r="M1299" s="119" t="s">
        <v>24</v>
      </c>
      <c r="N1299" s="119" t="s">
        <v>98</v>
      </c>
      <c r="O1299" s="174"/>
      <c r="P1299" s="174"/>
      <c r="Q1299" s="175"/>
    </row>
    <row r="1300">
      <c r="A1300" s="140"/>
      <c r="B1300" s="134" t="s">
        <v>18</v>
      </c>
      <c r="C1300" s="134" t="s">
        <v>74</v>
      </c>
      <c r="D1300" s="133" t="s">
        <v>542</v>
      </c>
      <c r="E1300" s="168">
        <v>42951.0</v>
      </c>
      <c r="F1300" s="22" t="str">
        <f t="shared" si="117"/>
        <v>Aug-2017</v>
      </c>
      <c r="G1300" s="91" t="s">
        <v>25</v>
      </c>
      <c r="H1300" s="119" t="s">
        <v>35</v>
      </c>
      <c r="I1300" s="126" t="s">
        <v>346</v>
      </c>
      <c r="J1300" s="119" t="s">
        <v>139</v>
      </c>
      <c r="K1300" s="119" t="s">
        <v>9</v>
      </c>
      <c r="L1300" s="25" t="s">
        <v>30</v>
      </c>
      <c r="M1300" s="119"/>
      <c r="N1300" s="119" t="s">
        <v>106</v>
      </c>
      <c r="O1300" s="174"/>
      <c r="P1300" s="174"/>
      <c r="Q1300" s="175"/>
    </row>
    <row r="1301">
      <c r="A1301" s="141"/>
      <c r="B1301" s="134" t="s">
        <v>18</v>
      </c>
      <c r="C1301" s="134" t="s">
        <v>74</v>
      </c>
      <c r="D1301" s="133" t="s">
        <v>542</v>
      </c>
      <c r="E1301" s="168">
        <v>42951.0</v>
      </c>
      <c r="F1301" s="52" t="str">
        <f>TEXT(E1294:E1301, "mmm") &amp; "-" &amp; TEXT(E1294:E1301, "yyyy") </f>
        <v>Aug-2017</v>
      </c>
      <c r="G1301" s="129" t="s">
        <v>32</v>
      </c>
      <c r="H1301" s="114" t="s">
        <v>35</v>
      </c>
      <c r="I1301" s="130" t="s">
        <v>346</v>
      </c>
      <c r="J1301" s="114" t="s">
        <v>139</v>
      </c>
      <c r="K1301" s="114" t="s">
        <v>9</v>
      </c>
      <c r="L1301" s="114" t="s">
        <v>24</v>
      </c>
      <c r="M1301" s="114"/>
      <c r="N1301" s="114" t="s">
        <v>37</v>
      </c>
      <c r="O1301" s="202"/>
      <c r="P1301" s="202"/>
      <c r="Q1301" s="203"/>
    </row>
    <row r="1302">
      <c r="A1302" s="107"/>
      <c r="B1302" s="95"/>
      <c r="C1302" s="95"/>
      <c r="D1302" s="95"/>
      <c r="E1302" s="95"/>
      <c r="I1302" s="23"/>
    </row>
    <row r="1303">
      <c r="A1303" s="133" t="s">
        <v>545</v>
      </c>
      <c r="B1303" s="134" t="s">
        <v>546</v>
      </c>
      <c r="C1303" s="134" t="s">
        <v>84</v>
      </c>
      <c r="D1303" s="133" t="s">
        <v>545</v>
      </c>
      <c r="E1303" s="164">
        <v>42952.0</v>
      </c>
      <c r="F1303" s="85" t="str">
        <f t="shared" ref="F1303:F1316" si="118">TEXT(E1301:E1303, "mmm") &amp; "-" &amp; TEXT(E1301:E1303, "yyyy") </f>
        <v>Aug-2017</v>
      </c>
      <c r="G1303" s="218" t="s">
        <v>20</v>
      </c>
      <c r="H1303" s="218" t="s">
        <v>35</v>
      </c>
      <c r="I1303" s="86" t="s">
        <v>547</v>
      </c>
      <c r="J1303" s="73" t="s">
        <v>86</v>
      </c>
      <c r="K1303" s="73" t="s">
        <v>9</v>
      </c>
      <c r="L1303" s="73" t="s">
        <v>30</v>
      </c>
      <c r="M1303" s="73" t="s">
        <v>30</v>
      </c>
      <c r="N1303" s="73" t="s">
        <v>29</v>
      </c>
      <c r="O1303" s="165"/>
      <c r="P1303" s="165"/>
      <c r="Q1303" s="166"/>
    </row>
    <row r="1304">
      <c r="A1304" s="134" t="s">
        <v>546</v>
      </c>
      <c r="B1304" s="134" t="s">
        <v>546</v>
      </c>
      <c r="C1304" s="134" t="s">
        <v>84</v>
      </c>
      <c r="D1304" s="133" t="s">
        <v>545</v>
      </c>
      <c r="E1304" s="167">
        <v>42952.0</v>
      </c>
      <c r="F1304" s="22" t="str">
        <f t="shared" si="118"/>
        <v>Aug-2017</v>
      </c>
      <c r="G1304" s="91" t="s">
        <v>25</v>
      </c>
      <c r="H1304" s="119" t="s">
        <v>35</v>
      </c>
      <c r="I1304" s="80" t="s">
        <v>547</v>
      </c>
      <c r="J1304" s="25" t="s">
        <v>86</v>
      </c>
      <c r="K1304" s="25" t="s">
        <v>9</v>
      </c>
      <c r="L1304" s="25" t="s">
        <v>30</v>
      </c>
      <c r="M1304" s="25"/>
      <c r="N1304" s="25" t="s">
        <v>98</v>
      </c>
      <c r="Q1304" s="99"/>
    </row>
    <row r="1305">
      <c r="A1305" s="224" t="s">
        <v>548</v>
      </c>
      <c r="B1305" s="134" t="s">
        <v>546</v>
      </c>
      <c r="C1305" s="134" t="s">
        <v>84</v>
      </c>
      <c r="D1305" s="133" t="s">
        <v>545</v>
      </c>
      <c r="E1305" s="167">
        <v>42952.0</v>
      </c>
      <c r="F1305" s="22" t="str">
        <f t="shared" si="118"/>
        <v>Aug-2017</v>
      </c>
      <c r="G1305" s="16" t="s">
        <v>20</v>
      </c>
      <c r="H1305" s="16" t="s">
        <v>35</v>
      </c>
      <c r="I1305" s="48" t="s">
        <v>148</v>
      </c>
      <c r="J1305" s="16" t="s">
        <v>27</v>
      </c>
      <c r="K1305" s="16" t="s">
        <v>9</v>
      </c>
      <c r="L1305" s="16" t="s">
        <v>30</v>
      </c>
      <c r="M1305" s="16" t="s">
        <v>30</v>
      </c>
      <c r="N1305" s="16" t="s">
        <v>69</v>
      </c>
      <c r="O1305" s="101"/>
      <c r="P1305" s="101"/>
      <c r="Q1305" s="102"/>
      <c r="R1305" s="25">
        <v>4.0</v>
      </c>
    </row>
    <row r="1306">
      <c r="A1306" s="168">
        <v>42952.0</v>
      </c>
      <c r="B1306" s="134" t="s">
        <v>546</v>
      </c>
      <c r="C1306" s="134" t="s">
        <v>84</v>
      </c>
      <c r="D1306" s="133" t="s">
        <v>545</v>
      </c>
      <c r="E1306" s="167">
        <v>42952.0</v>
      </c>
      <c r="F1306" s="22" t="str">
        <f t="shared" si="118"/>
        <v>Aug-2017</v>
      </c>
      <c r="G1306" s="17" t="s">
        <v>25</v>
      </c>
      <c r="H1306" s="16" t="s">
        <v>35</v>
      </c>
      <c r="I1306" s="48" t="s">
        <v>148</v>
      </c>
      <c r="J1306" s="16" t="s">
        <v>27</v>
      </c>
      <c r="K1306" s="16" t="s">
        <v>9</v>
      </c>
      <c r="L1306" s="16" t="s">
        <v>24</v>
      </c>
      <c r="M1306" s="16"/>
      <c r="N1306" s="16" t="s">
        <v>37</v>
      </c>
      <c r="O1306" s="101"/>
      <c r="P1306" s="101"/>
      <c r="Q1306" s="102"/>
      <c r="R1306" s="25">
        <v>4.0</v>
      </c>
    </row>
    <row r="1307">
      <c r="A1307" s="134" t="s">
        <v>84</v>
      </c>
      <c r="B1307" s="134" t="s">
        <v>546</v>
      </c>
      <c r="C1307" s="134" t="s">
        <v>84</v>
      </c>
      <c r="D1307" s="133" t="s">
        <v>545</v>
      </c>
      <c r="E1307" s="167">
        <v>42952.0</v>
      </c>
      <c r="F1307" s="22" t="str">
        <f t="shared" si="118"/>
        <v>Aug-2017</v>
      </c>
      <c r="G1307" s="16" t="s">
        <v>32</v>
      </c>
      <c r="H1307" s="16" t="s">
        <v>35</v>
      </c>
      <c r="I1307" s="48" t="s">
        <v>148</v>
      </c>
      <c r="J1307" s="16" t="s">
        <v>27</v>
      </c>
      <c r="K1307" s="16" t="s">
        <v>9</v>
      </c>
      <c r="L1307" s="16" t="s">
        <v>30</v>
      </c>
      <c r="M1307" s="16"/>
      <c r="N1307" s="16" t="s">
        <v>106</v>
      </c>
      <c r="O1307" s="101"/>
      <c r="P1307" s="101"/>
      <c r="Q1307" s="102"/>
      <c r="R1307" s="25">
        <v>4.0</v>
      </c>
    </row>
    <row r="1308">
      <c r="A1308" s="140"/>
      <c r="B1308" s="134" t="s">
        <v>546</v>
      </c>
      <c r="C1308" s="134" t="s">
        <v>84</v>
      </c>
      <c r="D1308" s="133" t="s">
        <v>545</v>
      </c>
      <c r="E1308" s="167">
        <v>42952.0</v>
      </c>
      <c r="F1308" s="22" t="str">
        <f t="shared" si="118"/>
        <v>Aug-2017</v>
      </c>
      <c r="G1308" s="119" t="s">
        <v>20</v>
      </c>
      <c r="H1308" s="119" t="s">
        <v>35</v>
      </c>
      <c r="I1308" s="80" t="s">
        <v>239</v>
      </c>
      <c r="J1308" s="25" t="s">
        <v>27</v>
      </c>
      <c r="K1308" s="25" t="s">
        <v>9</v>
      </c>
      <c r="L1308" s="25" t="s">
        <v>24</v>
      </c>
      <c r="M1308" s="25" t="s">
        <v>24</v>
      </c>
      <c r="N1308" s="25" t="s">
        <v>69</v>
      </c>
      <c r="Q1308" s="99"/>
    </row>
    <row r="1309">
      <c r="A1309" s="140"/>
      <c r="B1309" s="134" t="s">
        <v>546</v>
      </c>
      <c r="C1309" s="134" t="s">
        <v>84</v>
      </c>
      <c r="D1309" s="133" t="s">
        <v>545</v>
      </c>
      <c r="E1309" s="167">
        <v>42952.0</v>
      </c>
      <c r="F1309" s="22" t="str">
        <f t="shared" si="118"/>
        <v>Aug-2017</v>
      </c>
      <c r="G1309" s="91" t="s">
        <v>25</v>
      </c>
      <c r="H1309" s="119" t="s">
        <v>35</v>
      </c>
      <c r="I1309" s="80" t="s">
        <v>239</v>
      </c>
      <c r="J1309" s="25" t="s">
        <v>27</v>
      </c>
      <c r="K1309" s="25" t="s">
        <v>9</v>
      </c>
      <c r="L1309" s="25" t="s">
        <v>24</v>
      </c>
      <c r="M1309" s="25"/>
      <c r="N1309" s="25" t="s">
        <v>98</v>
      </c>
      <c r="Q1309" s="99"/>
    </row>
    <row r="1310">
      <c r="A1310" s="140"/>
      <c r="B1310" s="134" t="s">
        <v>546</v>
      </c>
      <c r="C1310" s="134" t="s">
        <v>84</v>
      </c>
      <c r="D1310" s="133" t="s">
        <v>545</v>
      </c>
      <c r="E1310" s="167">
        <v>42952.0</v>
      </c>
      <c r="F1310" s="22" t="str">
        <f t="shared" si="118"/>
        <v>Aug-2017</v>
      </c>
      <c r="G1310" s="16" t="s">
        <v>20</v>
      </c>
      <c r="H1310" s="16" t="s">
        <v>35</v>
      </c>
      <c r="I1310" s="48" t="s">
        <v>117</v>
      </c>
      <c r="J1310" s="16" t="s">
        <v>44</v>
      </c>
      <c r="K1310" s="16" t="s">
        <v>9</v>
      </c>
      <c r="L1310" s="16" t="s">
        <v>30</v>
      </c>
      <c r="M1310" s="16" t="s">
        <v>30</v>
      </c>
      <c r="N1310" s="16" t="s">
        <v>98</v>
      </c>
      <c r="O1310" s="101"/>
      <c r="P1310" s="101"/>
      <c r="Q1310" s="102"/>
    </row>
    <row r="1311">
      <c r="A1311" s="140"/>
      <c r="B1311" s="134" t="s">
        <v>546</v>
      </c>
      <c r="C1311" s="134" t="s">
        <v>84</v>
      </c>
      <c r="D1311" s="133" t="s">
        <v>545</v>
      </c>
      <c r="E1311" s="167">
        <v>42952.0</v>
      </c>
      <c r="F1311" s="22" t="str">
        <f t="shared" si="118"/>
        <v>Aug-2017</v>
      </c>
      <c r="G1311" s="17" t="s">
        <v>25</v>
      </c>
      <c r="H1311" s="16" t="s">
        <v>35</v>
      </c>
      <c r="I1311" s="48" t="s">
        <v>117</v>
      </c>
      <c r="J1311" s="16" t="s">
        <v>44</v>
      </c>
      <c r="K1311" s="16" t="s">
        <v>9</v>
      </c>
      <c r="L1311" s="16" t="s">
        <v>30</v>
      </c>
      <c r="M1311" s="16"/>
      <c r="N1311" s="16" t="s">
        <v>98</v>
      </c>
      <c r="O1311" s="101"/>
      <c r="P1311" s="101"/>
      <c r="Q1311" s="102"/>
    </row>
    <row r="1312">
      <c r="A1312" s="140"/>
      <c r="B1312" s="134" t="s">
        <v>546</v>
      </c>
      <c r="C1312" s="134" t="s">
        <v>84</v>
      </c>
      <c r="D1312" s="133" t="s">
        <v>545</v>
      </c>
      <c r="E1312" s="167">
        <v>42952.0</v>
      </c>
      <c r="F1312" s="22" t="str">
        <f t="shared" si="118"/>
        <v>Aug-2017</v>
      </c>
      <c r="G1312" s="25" t="s">
        <v>146</v>
      </c>
      <c r="H1312" s="119" t="s">
        <v>35</v>
      </c>
      <c r="I1312" s="80" t="s">
        <v>36</v>
      </c>
      <c r="J1312" s="25" t="s">
        <v>27</v>
      </c>
      <c r="K1312" s="25" t="s">
        <v>9</v>
      </c>
      <c r="L1312" s="25" t="s">
        <v>24</v>
      </c>
      <c r="M1312" s="119" t="s">
        <v>24</v>
      </c>
      <c r="N1312" s="119" t="s">
        <v>37</v>
      </c>
      <c r="Q1312" s="99"/>
    </row>
    <row r="1313">
      <c r="A1313" s="140"/>
      <c r="B1313" s="134" t="s">
        <v>546</v>
      </c>
      <c r="C1313" s="134" t="s">
        <v>84</v>
      </c>
      <c r="D1313" s="133" t="s">
        <v>545</v>
      </c>
      <c r="E1313" s="167">
        <v>42952.0</v>
      </c>
      <c r="F1313" s="22" t="str">
        <f t="shared" si="118"/>
        <v>Aug-2017</v>
      </c>
      <c r="G1313" s="25" t="s">
        <v>149</v>
      </c>
      <c r="H1313" s="119" t="s">
        <v>35</v>
      </c>
      <c r="I1313" s="80" t="s">
        <v>36</v>
      </c>
      <c r="J1313" s="25" t="s">
        <v>27</v>
      </c>
      <c r="K1313" s="25" t="s">
        <v>9</v>
      </c>
      <c r="L1313" s="25" t="s">
        <v>30</v>
      </c>
      <c r="M1313" s="25"/>
      <c r="N1313" s="25" t="s">
        <v>98</v>
      </c>
      <c r="Q1313" s="99"/>
    </row>
    <row r="1314">
      <c r="A1314" s="140"/>
      <c r="B1314" s="134" t="s">
        <v>546</v>
      </c>
      <c r="C1314" s="134" t="s">
        <v>84</v>
      </c>
      <c r="D1314" s="133" t="s">
        <v>545</v>
      </c>
      <c r="E1314" s="167">
        <v>42952.0</v>
      </c>
      <c r="F1314" s="22" t="str">
        <f t="shared" si="118"/>
        <v>Aug-2017</v>
      </c>
      <c r="G1314" s="25" t="s">
        <v>222</v>
      </c>
      <c r="H1314" s="119" t="s">
        <v>35</v>
      </c>
      <c r="I1314" s="80" t="s">
        <v>36</v>
      </c>
      <c r="J1314" s="25" t="s">
        <v>27</v>
      </c>
      <c r="K1314" s="25" t="s">
        <v>9</v>
      </c>
      <c r="L1314" s="25" t="s">
        <v>24</v>
      </c>
      <c r="M1314" s="25"/>
      <c r="N1314" s="25" t="s">
        <v>29</v>
      </c>
      <c r="Q1314" s="99"/>
    </row>
    <row r="1315">
      <c r="A1315" s="140"/>
      <c r="B1315" s="134" t="s">
        <v>546</v>
      </c>
      <c r="C1315" s="134" t="s">
        <v>84</v>
      </c>
      <c r="D1315" s="133" t="s">
        <v>545</v>
      </c>
      <c r="E1315" s="167">
        <v>42952.0</v>
      </c>
      <c r="F1315" s="22" t="str">
        <f t="shared" si="118"/>
        <v>Aug-2017</v>
      </c>
      <c r="G1315" s="25" t="s">
        <v>467</v>
      </c>
      <c r="H1315" s="119" t="s">
        <v>35</v>
      </c>
      <c r="I1315" s="80" t="s">
        <v>36</v>
      </c>
      <c r="J1315" s="25" t="s">
        <v>27</v>
      </c>
      <c r="K1315" s="25" t="s">
        <v>9</v>
      </c>
      <c r="L1315" s="25" t="s">
        <v>30</v>
      </c>
      <c r="M1315" s="25"/>
      <c r="N1315" s="25" t="s">
        <v>69</v>
      </c>
      <c r="Q1315" s="99"/>
    </row>
    <row r="1316">
      <c r="A1316" s="141"/>
      <c r="B1316" s="134" t="s">
        <v>546</v>
      </c>
      <c r="C1316" s="134" t="s">
        <v>84</v>
      </c>
      <c r="D1316" s="133" t="s">
        <v>545</v>
      </c>
      <c r="E1316" s="169">
        <v>42952.0</v>
      </c>
      <c r="F1316" s="52" t="str">
        <f t="shared" si="118"/>
        <v>Aug-2017</v>
      </c>
      <c r="G1316" s="55" t="s">
        <v>480</v>
      </c>
      <c r="H1316" s="114" t="s">
        <v>35</v>
      </c>
      <c r="I1316" s="113" t="s">
        <v>36</v>
      </c>
      <c r="J1316" s="55" t="s">
        <v>27</v>
      </c>
      <c r="K1316" s="55" t="s">
        <v>9</v>
      </c>
      <c r="L1316" s="55" t="s">
        <v>24</v>
      </c>
      <c r="M1316" s="114"/>
      <c r="N1316" s="114" t="s">
        <v>106</v>
      </c>
      <c r="O1316" s="143"/>
      <c r="P1316" s="143"/>
      <c r="Q1316" s="144"/>
    </row>
    <row r="1317">
      <c r="A1317" s="107"/>
      <c r="B1317" s="95"/>
      <c r="C1317" s="95"/>
      <c r="D1317" s="95"/>
      <c r="E1317" s="95"/>
      <c r="I1317" s="23"/>
    </row>
    <row r="1318">
      <c r="A1318" s="133" t="s">
        <v>549</v>
      </c>
      <c r="B1318" s="134" t="s">
        <v>527</v>
      </c>
      <c r="C1318" s="134" t="s">
        <v>74</v>
      </c>
      <c r="D1318" s="133" t="s">
        <v>549</v>
      </c>
      <c r="E1318" s="225">
        <v>42955.0</v>
      </c>
      <c r="F1318" s="85" t="str">
        <f t="shared" ref="F1318:F1335" si="119">TEXT(E1316:E1318, "mmm") &amp; "-" &amp; TEXT(E1316:E1318, "yyyy") </f>
        <v>Aug-2017</v>
      </c>
      <c r="G1318" s="47" t="s">
        <v>20</v>
      </c>
      <c r="H1318" s="47" t="s">
        <v>35</v>
      </c>
      <c r="I1318" s="79" t="s">
        <v>550</v>
      </c>
      <c r="J1318" s="47" t="s">
        <v>97</v>
      </c>
      <c r="K1318" s="47" t="s">
        <v>9</v>
      </c>
      <c r="L1318" s="47" t="s">
        <v>30</v>
      </c>
      <c r="M1318" s="47" t="s">
        <v>30</v>
      </c>
      <c r="N1318" s="47" t="s">
        <v>98</v>
      </c>
      <c r="O1318" s="152"/>
      <c r="P1318" s="152"/>
      <c r="Q1318" s="153"/>
    </row>
    <row r="1319">
      <c r="A1319" s="134" t="s">
        <v>527</v>
      </c>
      <c r="B1319" s="134" t="s">
        <v>527</v>
      </c>
      <c r="C1319" s="134" t="s">
        <v>74</v>
      </c>
      <c r="D1319" s="133" t="s">
        <v>549</v>
      </c>
      <c r="E1319" s="226">
        <v>42955.0</v>
      </c>
      <c r="F1319" s="22" t="str">
        <f t="shared" si="119"/>
        <v>Aug-2017</v>
      </c>
      <c r="G1319" s="17" t="s">
        <v>25</v>
      </c>
      <c r="H1319" s="16" t="s">
        <v>35</v>
      </c>
      <c r="I1319" s="48" t="s">
        <v>550</v>
      </c>
      <c r="J1319" s="16" t="s">
        <v>97</v>
      </c>
      <c r="K1319" s="16" t="s">
        <v>9</v>
      </c>
      <c r="L1319" s="16" t="s">
        <v>30</v>
      </c>
      <c r="M1319" s="16"/>
      <c r="N1319" s="16" t="s">
        <v>98</v>
      </c>
      <c r="O1319" s="101"/>
      <c r="P1319" s="101"/>
      <c r="Q1319" s="102"/>
    </row>
    <row r="1320">
      <c r="A1320" s="134" t="s">
        <v>551</v>
      </c>
      <c r="B1320" s="134" t="s">
        <v>527</v>
      </c>
      <c r="C1320" s="134" t="s">
        <v>74</v>
      </c>
      <c r="D1320" s="133" t="s">
        <v>549</v>
      </c>
      <c r="E1320" s="226">
        <v>42955.0</v>
      </c>
      <c r="F1320" s="22" t="str">
        <f t="shared" si="119"/>
        <v>Aug-2017</v>
      </c>
      <c r="G1320" s="119" t="s">
        <v>20</v>
      </c>
      <c r="H1320" s="119" t="s">
        <v>35</v>
      </c>
      <c r="I1320" s="80" t="s">
        <v>451</v>
      </c>
      <c r="J1320" s="25" t="s">
        <v>139</v>
      </c>
      <c r="K1320" s="25" t="s">
        <v>9</v>
      </c>
      <c r="L1320" s="25" t="s">
        <v>30</v>
      </c>
      <c r="M1320" s="25" t="s">
        <v>30</v>
      </c>
      <c r="N1320" s="25" t="s">
        <v>98</v>
      </c>
      <c r="Q1320" s="99"/>
    </row>
    <row r="1321">
      <c r="A1321" s="168">
        <v>42955.0</v>
      </c>
      <c r="B1321" s="134" t="s">
        <v>527</v>
      </c>
      <c r="C1321" s="134" t="s">
        <v>74</v>
      </c>
      <c r="D1321" s="133" t="s">
        <v>549</v>
      </c>
      <c r="E1321" s="226">
        <v>42955.0</v>
      </c>
      <c r="F1321" s="22" t="str">
        <f t="shared" si="119"/>
        <v>Aug-2017</v>
      </c>
      <c r="G1321" s="91" t="s">
        <v>25</v>
      </c>
      <c r="H1321" s="119" t="s">
        <v>35</v>
      </c>
      <c r="I1321" s="80" t="s">
        <v>451</v>
      </c>
      <c r="J1321" s="25" t="s">
        <v>139</v>
      </c>
      <c r="K1321" s="25" t="s">
        <v>9</v>
      </c>
      <c r="L1321" s="25" t="s">
        <v>24</v>
      </c>
      <c r="M1321" s="25"/>
      <c r="N1321" s="25" t="s">
        <v>99</v>
      </c>
      <c r="Q1321" s="99"/>
    </row>
    <row r="1322">
      <c r="A1322" s="134" t="s">
        <v>74</v>
      </c>
      <c r="B1322" s="134" t="s">
        <v>527</v>
      </c>
      <c r="C1322" s="134" t="s">
        <v>74</v>
      </c>
      <c r="D1322" s="133" t="s">
        <v>549</v>
      </c>
      <c r="E1322" s="226">
        <v>42955.0</v>
      </c>
      <c r="F1322" s="22" t="str">
        <f t="shared" si="119"/>
        <v>Aug-2017</v>
      </c>
      <c r="G1322" s="119" t="s">
        <v>32</v>
      </c>
      <c r="H1322" s="119" t="s">
        <v>35</v>
      </c>
      <c r="I1322" s="80" t="s">
        <v>451</v>
      </c>
      <c r="J1322" s="25" t="s">
        <v>139</v>
      </c>
      <c r="K1322" s="25" t="s">
        <v>9</v>
      </c>
      <c r="L1322" s="25" t="s">
        <v>30</v>
      </c>
      <c r="M1322" s="119"/>
      <c r="N1322" s="119" t="s">
        <v>106</v>
      </c>
      <c r="Q1322" s="99"/>
    </row>
    <row r="1323">
      <c r="A1323" s="140"/>
      <c r="B1323" s="134" t="s">
        <v>527</v>
      </c>
      <c r="C1323" s="134" t="s">
        <v>74</v>
      </c>
      <c r="D1323" s="133" t="s">
        <v>549</v>
      </c>
      <c r="E1323" s="226">
        <v>42955.0</v>
      </c>
      <c r="F1323" s="22" t="str">
        <f t="shared" si="119"/>
        <v>Aug-2017</v>
      </c>
      <c r="G1323" s="16" t="s">
        <v>20</v>
      </c>
      <c r="H1323" s="16" t="s">
        <v>35</v>
      </c>
      <c r="I1323" s="48" t="s">
        <v>552</v>
      </c>
      <c r="J1323" s="16" t="s">
        <v>216</v>
      </c>
      <c r="K1323" s="16" t="s">
        <v>9</v>
      </c>
      <c r="L1323" s="16" t="s">
        <v>30</v>
      </c>
      <c r="M1323" s="16" t="s">
        <v>30</v>
      </c>
      <c r="N1323" s="16" t="s">
        <v>98</v>
      </c>
      <c r="O1323" s="101"/>
      <c r="P1323" s="101"/>
      <c r="Q1323" s="102"/>
    </row>
    <row r="1324">
      <c r="A1324" s="140"/>
      <c r="B1324" s="134" t="s">
        <v>527</v>
      </c>
      <c r="C1324" s="134" t="s">
        <v>74</v>
      </c>
      <c r="D1324" s="133" t="s">
        <v>549</v>
      </c>
      <c r="E1324" s="226">
        <v>42955.0</v>
      </c>
      <c r="F1324" s="22" t="str">
        <f t="shared" si="119"/>
        <v>Aug-2017</v>
      </c>
      <c r="G1324" s="17" t="s">
        <v>25</v>
      </c>
      <c r="H1324" s="16" t="s">
        <v>35</v>
      </c>
      <c r="I1324" s="48" t="s">
        <v>552</v>
      </c>
      <c r="J1324" s="16" t="s">
        <v>216</v>
      </c>
      <c r="K1324" s="16" t="s">
        <v>9</v>
      </c>
      <c r="L1324" s="16" t="s">
        <v>30</v>
      </c>
      <c r="M1324" s="16"/>
      <c r="N1324" s="16" t="s">
        <v>37</v>
      </c>
      <c r="O1324" s="101"/>
      <c r="P1324" s="101"/>
      <c r="Q1324" s="102"/>
    </row>
    <row r="1325">
      <c r="A1325" s="140"/>
      <c r="B1325" s="134" t="s">
        <v>527</v>
      </c>
      <c r="C1325" s="134" t="s">
        <v>74</v>
      </c>
      <c r="D1325" s="133" t="s">
        <v>549</v>
      </c>
      <c r="E1325" s="226">
        <v>42955.0</v>
      </c>
      <c r="F1325" s="22" t="str">
        <f t="shared" si="119"/>
        <v>Aug-2017</v>
      </c>
      <c r="G1325" s="25" t="s">
        <v>146</v>
      </c>
      <c r="H1325" s="119" t="s">
        <v>35</v>
      </c>
      <c r="I1325" s="80" t="s">
        <v>94</v>
      </c>
      <c r="J1325" s="25" t="s">
        <v>44</v>
      </c>
      <c r="K1325" s="25" t="s">
        <v>9</v>
      </c>
      <c r="L1325" s="25" t="s">
        <v>24</v>
      </c>
      <c r="M1325" s="25" t="s">
        <v>24</v>
      </c>
      <c r="N1325" s="25" t="s">
        <v>98</v>
      </c>
      <c r="Q1325" s="99"/>
    </row>
    <row r="1326">
      <c r="A1326" s="140"/>
      <c r="B1326" s="134" t="s">
        <v>527</v>
      </c>
      <c r="C1326" s="134" t="s">
        <v>74</v>
      </c>
      <c r="D1326" s="133" t="s">
        <v>549</v>
      </c>
      <c r="E1326" s="226">
        <v>42955.0</v>
      </c>
      <c r="F1326" s="22" t="str">
        <f t="shared" si="119"/>
        <v>Aug-2017</v>
      </c>
      <c r="G1326" s="25" t="s">
        <v>149</v>
      </c>
      <c r="H1326" s="119" t="s">
        <v>35</v>
      </c>
      <c r="I1326" s="80" t="s">
        <v>94</v>
      </c>
      <c r="J1326" s="25" t="s">
        <v>44</v>
      </c>
      <c r="K1326" s="25" t="s">
        <v>9</v>
      </c>
      <c r="L1326" s="25" t="s">
        <v>24</v>
      </c>
      <c r="M1326" s="119"/>
      <c r="N1326" s="119" t="s">
        <v>37</v>
      </c>
      <c r="Q1326" s="99"/>
    </row>
    <row r="1327">
      <c r="A1327" s="140"/>
      <c r="B1327" s="134" t="s">
        <v>527</v>
      </c>
      <c r="C1327" s="134" t="s">
        <v>74</v>
      </c>
      <c r="D1327" s="133" t="s">
        <v>549</v>
      </c>
      <c r="E1327" s="226">
        <v>42955.0</v>
      </c>
      <c r="F1327" s="22" t="str">
        <f t="shared" si="119"/>
        <v>Aug-2017</v>
      </c>
      <c r="G1327" s="25" t="s">
        <v>222</v>
      </c>
      <c r="H1327" s="119" t="s">
        <v>35</v>
      </c>
      <c r="I1327" s="80" t="s">
        <v>94</v>
      </c>
      <c r="J1327" s="25" t="s">
        <v>44</v>
      </c>
      <c r="K1327" s="25" t="s">
        <v>9</v>
      </c>
      <c r="L1327" s="25" t="s">
        <v>24</v>
      </c>
      <c r="M1327" s="25"/>
      <c r="N1327" s="25" t="s">
        <v>69</v>
      </c>
      <c r="Q1327" s="99"/>
    </row>
    <row r="1328">
      <c r="A1328" s="140"/>
      <c r="B1328" s="134" t="s">
        <v>527</v>
      </c>
      <c r="C1328" s="134" t="s">
        <v>74</v>
      </c>
      <c r="D1328" s="133" t="s">
        <v>549</v>
      </c>
      <c r="E1328" s="226">
        <v>42955.0</v>
      </c>
      <c r="F1328" s="22" t="str">
        <f t="shared" si="119"/>
        <v>Aug-2017</v>
      </c>
      <c r="G1328" s="16" t="s">
        <v>146</v>
      </c>
      <c r="H1328" s="16" t="s">
        <v>35</v>
      </c>
      <c r="I1328" s="48" t="s">
        <v>393</v>
      </c>
      <c r="J1328" s="16" t="s">
        <v>102</v>
      </c>
      <c r="K1328" s="16" t="s">
        <v>9</v>
      </c>
      <c r="L1328" s="16" t="s">
        <v>24</v>
      </c>
      <c r="M1328" s="16" t="s">
        <v>30</v>
      </c>
      <c r="N1328" s="16" t="s">
        <v>98</v>
      </c>
      <c r="O1328" s="101"/>
      <c r="P1328" s="101"/>
      <c r="Q1328" s="102"/>
    </row>
    <row r="1329">
      <c r="A1329" s="140"/>
      <c r="B1329" s="134" t="s">
        <v>527</v>
      </c>
      <c r="C1329" s="134" t="s">
        <v>74</v>
      </c>
      <c r="D1329" s="133" t="s">
        <v>549</v>
      </c>
      <c r="E1329" s="226">
        <v>42955.0</v>
      </c>
      <c r="F1329" s="22" t="str">
        <f t="shared" si="119"/>
        <v>Aug-2017</v>
      </c>
      <c r="G1329" s="16" t="s">
        <v>149</v>
      </c>
      <c r="H1329" s="16" t="s">
        <v>35</v>
      </c>
      <c r="I1329" s="48" t="s">
        <v>393</v>
      </c>
      <c r="J1329" s="16" t="s">
        <v>102</v>
      </c>
      <c r="K1329" s="16" t="s">
        <v>9</v>
      </c>
      <c r="L1329" s="16" t="s">
        <v>30</v>
      </c>
      <c r="M1329" s="16"/>
      <c r="N1329" s="16" t="s">
        <v>69</v>
      </c>
      <c r="O1329" s="101"/>
      <c r="P1329" s="101"/>
      <c r="Q1329" s="102"/>
    </row>
    <row r="1330">
      <c r="A1330" s="140"/>
      <c r="B1330" s="134" t="s">
        <v>527</v>
      </c>
      <c r="C1330" s="134" t="s">
        <v>74</v>
      </c>
      <c r="D1330" s="133" t="s">
        <v>549</v>
      </c>
      <c r="E1330" s="226">
        <v>42955.0</v>
      </c>
      <c r="F1330" s="22" t="str">
        <f t="shared" si="119"/>
        <v>Aug-2017</v>
      </c>
      <c r="G1330" s="16" t="s">
        <v>222</v>
      </c>
      <c r="H1330" s="16" t="s">
        <v>35</v>
      </c>
      <c r="I1330" s="48" t="s">
        <v>393</v>
      </c>
      <c r="J1330" s="16" t="s">
        <v>102</v>
      </c>
      <c r="K1330" s="16" t="s">
        <v>9</v>
      </c>
      <c r="L1330" s="16" t="s">
        <v>30</v>
      </c>
      <c r="M1330" s="16"/>
      <c r="N1330" s="16" t="s">
        <v>29</v>
      </c>
      <c r="O1330" s="101"/>
      <c r="P1330" s="101"/>
      <c r="Q1330" s="102"/>
    </row>
    <row r="1331">
      <c r="A1331" s="140"/>
      <c r="B1331" s="134" t="s">
        <v>527</v>
      </c>
      <c r="C1331" s="134" t="s">
        <v>74</v>
      </c>
      <c r="D1331" s="133" t="s">
        <v>549</v>
      </c>
      <c r="E1331" s="226">
        <v>42955.0</v>
      </c>
      <c r="F1331" s="22" t="str">
        <f t="shared" si="119"/>
        <v>Aug-2017</v>
      </c>
      <c r="G1331" s="16" t="s">
        <v>467</v>
      </c>
      <c r="H1331" s="16" t="s">
        <v>35</v>
      </c>
      <c r="I1331" s="48" t="s">
        <v>393</v>
      </c>
      <c r="J1331" s="16" t="s">
        <v>102</v>
      </c>
      <c r="K1331" s="16" t="s">
        <v>9</v>
      </c>
      <c r="L1331" s="16" t="s">
        <v>24</v>
      </c>
      <c r="M1331" s="16"/>
      <c r="N1331" s="16" t="s">
        <v>37</v>
      </c>
      <c r="O1331" s="101"/>
      <c r="P1331" s="101"/>
      <c r="Q1331" s="102"/>
    </row>
    <row r="1332">
      <c r="A1332" s="140"/>
      <c r="B1332" s="134" t="s">
        <v>527</v>
      </c>
      <c r="C1332" s="134" t="s">
        <v>74</v>
      </c>
      <c r="D1332" s="133" t="s">
        <v>549</v>
      </c>
      <c r="E1332" s="226">
        <v>42955.0</v>
      </c>
      <c r="F1332" s="22" t="str">
        <f t="shared" si="119"/>
        <v>Aug-2017</v>
      </c>
      <c r="G1332" s="16" t="s">
        <v>480</v>
      </c>
      <c r="H1332" s="16" t="s">
        <v>35</v>
      </c>
      <c r="I1332" s="48" t="s">
        <v>393</v>
      </c>
      <c r="J1332" s="16" t="s">
        <v>102</v>
      </c>
      <c r="K1332" s="16" t="s">
        <v>9</v>
      </c>
      <c r="L1332" s="16" t="s">
        <v>30</v>
      </c>
      <c r="M1332" s="16"/>
      <c r="N1332" s="16" t="s">
        <v>106</v>
      </c>
      <c r="O1332" s="101"/>
      <c r="P1332" s="101"/>
      <c r="Q1332" s="102"/>
    </row>
    <row r="1333">
      <c r="A1333" s="140"/>
      <c r="B1333" s="134" t="s">
        <v>527</v>
      </c>
      <c r="C1333" s="134" t="s">
        <v>74</v>
      </c>
      <c r="D1333" s="133" t="s">
        <v>549</v>
      </c>
      <c r="E1333" s="226">
        <v>42955.0</v>
      </c>
      <c r="F1333" s="22" t="str">
        <f t="shared" si="119"/>
        <v>Aug-2017</v>
      </c>
      <c r="G1333" s="25" t="s">
        <v>146</v>
      </c>
      <c r="H1333" s="119" t="s">
        <v>35</v>
      </c>
      <c r="I1333" s="80" t="s">
        <v>94</v>
      </c>
      <c r="J1333" s="25" t="s">
        <v>44</v>
      </c>
      <c r="K1333" s="25" t="s">
        <v>9</v>
      </c>
      <c r="L1333" s="25" t="s">
        <v>24</v>
      </c>
      <c r="M1333" s="25" t="s">
        <v>24</v>
      </c>
      <c r="N1333" s="25" t="s">
        <v>98</v>
      </c>
      <c r="Q1333" s="99"/>
    </row>
    <row r="1334">
      <c r="A1334" s="140"/>
      <c r="B1334" s="134" t="s">
        <v>527</v>
      </c>
      <c r="C1334" s="134" t="s">
        <v>74</v>
      </c>
      <c r="D1334" s="133" t="s">
        <v>549</v>
      </c>
      <c r="E1334" s="226">
        <v>42955.0</v>
      </c>
      <c r="F1334" s="22" t="str">
        <f t="shared" si="119"/>
        <v>Aug-2017</v>
      </c>
      <c r="G1334" s="25" t="s">
        <v>149</v>
      </c>
      <c r="H1334" s="119" t="s">
        <v>35</v>
      </c>
      <c r="I1334" s="80" t="s">
        <v>94</v>
      </c>
      <c r="J1334" s="25" t="s">
        <v>44</v>
      </c>
      <c r="K1334" s="25" t="s">
        <v>9</v>
      </c>
      <c r="L1334" s="25" t="s">
        <v>24</v>
      </c>
      <c r="M1334" s="25"/>
      <c r="N1334" s="25" t="s">
        <v>69</v>
      </c>
      <c r="Q1334" s="99"/>
    </row>
    <row r="1335">
      <c r="A1335" s="141"/>
      <c r="B1335" s="134" t="s">
        <v>527</v>
      </c>
      <c r="C1335" s="134" t="s">
        <v>74</v>
      </c>
      <c r="D1335" s="133" t="s">
        <v>549</v>
      </c>
      <c r="E1335" s="227">
        <v>42955.0</v>
      </c>
      <c r="F1335" s="52" t="str">
        <f t="shared" si="119"/>
        <v>Aug-2017</v>
      </c>
      <c r="G1335" s="55" t="s">
        <v>222</v>
      </c>
      <c r="H1335" s="114" t="s">
        <v>35</v>
      </c>
      <c r="I1335" s="113" t="s">
        <v>94</v>
      </c>
      <c r="J1335" s="55" t="s">
        <v>44</v>
      </c>
      <c r="K1335" s="55" t="s">
        <v>9</v>
      </c>
      <c r="L1335" s="55" t="s">
        <v>24</v>
      </c>
      <c r="M1335" s="114"/>
      <c r="N1335" s="114" t="s">
        <v>106</v>
      </c>
      <c r="O1335" s="143"/>
      <c r="P1335" s="143"/>
      <c r="Q1335" s="144"/>
    </row>
    <row r="1336">
      <c r="A1336" s="107"/>
      <c r="B1336" s="95"/>
      <c r="C1336" s="95"/>
      <c r="D1336" s="95"/>
      <c r="E1336" s="95"/>
      <c r="I1336" s="23"/>
    </row>
    <row r="1337">
      <c r="A1337" s="133" t="s">
        <v>553</v>
      </c>
      <c r="B1337" s="134" t="s">
        <v>151</v>
      </c>
      <c r="C1337" s="134" t="s">
        <v>74</v>
      </c>
      <c r="D1337" s="133" t="s">
        <v>553</v>
      </c>
      <c r="E1337" s="164">
        <v>42956.0</v>
      </c>
      <c r="F1337" s="85" t="str">
        <f t="shared" ref="F1337:F1346" si="120">TEXT(E1335:E1337, "mmm") &amp; "-" &amp; TEXT(E1335:E1337, "yyyy") </f>
        <v>Aug-2017</v>
      </c>
      <c r="G1337" s="47" t="s">
        <v>20</v>
      </c>
      <c r="H1337" s="47" t="s">
        <v>35</v>
      </c>
      <c r="I1337" s="79" t="s">
        <v>259</v>
      </c>
      <c r="J1337" s="47" t="s">
        <v>97</v>
      </c>
      <c r="K1337" s="47" t="s">
        <v>9</v>
      </c>
      <c r="L1337" s="47" t="s">
        <v>24</v>
      </c>
      <c r="M1337" s="47" t="s">
        <v>24</v>
      </c>
      <c r="N1337" s="47" t="s">
        <v>98</v>
      </c>
      <c r="O1337" s="152"/>
      <c r="P1337" s="152"/>
      <c r="Q1337" s="153"/>
    </row>
    <row r="1338">
      <c r="A1338" s="134" t="s">
        <v>151</v>
      </c>
      <c r="B1338" s="134" t="s">
        <v>151</v>
      </c>
      <c r="C1338" s="134" t="s">
        <v>74</v>
      </c>
      <c r="D1338" s="133" t="s">
        <v>553</v>
      </c>
      <c r="E1338" s="167">
        <v>42956.0</v>
      </c>
      <c r="F1338" s="22" t="str">
        <f t="shared" si="120"/>
        <v>Aug-2017</v>
      </c>
      <c r="G1338" s="17" t="s">
        <v>25</v>
      </c>
      <c r="H1338" s="16" t="s">
        <v>35</v>
      </c>
      <c r="I1338" s="48" t="s">
        <v>259</v>
      </c>
      <c r="J1338" s="16" t="s">
        <v>97</v>
      </c>
      <c r="K1338" s="16" t="s">
        <v>9</v>
      </c>
      <c r="L1338" s="16" t="s">
        <v>24</v>
      </c>
      <c r="M1338" s="16"/>
      <c r="N1338" s="16" t="s">
        <v>106</v>
      </c>
      <c r="O1338" s="101"/>
      <c r="P1338" s="101"/>
      <c r="Q1338" s="102"/>
    </row>
    <row r="1339">
      <c r="A1339" s="134" t="s">
        <v>368</v>
      </c>
      <c r="B1339" s="134" t="s">
        <v>151</v>
      </c>
      <c r="C1339" s="134" t="s">
        <v>74</v>
      </c>
      <c r="D1339" s="133" t="s">
        <v>553</v>
      </c>
      <c r="E1339" s="167">
        <v>42956.0</v>
      </c>
      <c r="F1339" s="22" t="str">
        <f t="shared" si="120"/>
        <v>Aug-2017</v>
      </c>
      <c r="G1339" s="119" t="s">
        <v>20</v>
      </c>
      <c r="H1339" s="119" t="s">
        <v>35</v>
      </c>
      <c r="I1339" s="80" t="s">
        <v>554</v>
      </c>
      <c r="J1339" s="25" t="s">
        <v>44</v>
      </c>
      <c r="K1339" s="25" t="s">
        <v>9</v>
      </c>
      <c r="L1339" s="25" t="s">
        <v>30</v>
      </c>
      <c r="M1339" s="25" t="s">
        <v>30</v>
      </c>
      <c r="N1339" s="25" t="s">
        <v>98</v>
      </c>
      <c r="Q1339" s="99"/>
    </row>
    <row r="1340">
      <c r="A1340" s="168">
        <v>42956.0</v>
      </c>
      <c r="B1340" s="134" t="s">
        <v>151</v>
      </c>
      <c r="C1340" s="134" t="s">
        <v>74</v>
      </c>
      <c r="D1340" s="133" t="s">
        <v>553</v>
      </c>
      <c r="E1340" s="167">
        <v>42956.0</v>
      </c>
      <c r="F1340" s="22" t="str">
        <f t="shared" si="120"/>
        <v>Aug-2017</v>
      </c>
      <c r="G1340" s="91" t="s">
        <v>25</v>
      </c>
      <c r="H1340" s="119" t="s">
        <v>35</v>
      </c>
      <c r="I1340" s="80" t="s">
        <v>554</v>
      </c>
      <c r="J1340" s="25" t="s">
        <v>27</v>
      </c>
      <c r="K1340" s="25" t="s">
        <v>9</v>
      </c>
      <c r="L1340" s="25" t="s">
        <v>30</v>
      </c>
      <c r="M1340" s="119"/>
      <c r="N1340" s="119" t="s">
        <v>37</v>
      </c>
      <c r="Q1340" s="99"/>
    </row>
    <row r="1341">
      <c r="A1341" s="176" t="s">
        <v>555</v>
      </c>
      <c r="B1341" s="134" t="s">
        <v>151</v>
      </c>
      <c r="C1341" s="134" t="s">
        <v>74</v>
      </c>
      <c r="D1341" s="133" t="s">
        <v>553</v>
      </c>
      <c r="E1341" s="167">
        <v>42956.0</v>
      </c>
      <c r="F1341" s="22" t="str">
        <f t="shared" si="120"/>
        <v>Aug-2017</v>
      </c>
      <c r="G1341" s="16" t="s">
        <v>20</v>
      </c>
      <c r="H1341" s="16" t="s">
        <v>35</v>
      </c>
      <c r="I1341" s="48" t="s">
        <v>133</v>
      </c>
      <c r="J1341" s="16" t="s">
        <v>86</v>
      </c>
      <c r="K1341" s="16" t="s">
        <v>9</v>
      </c>
      <c r="L1341" s="16" t="s">
        <v>30</v>
      </c>
      <c r="M1341" s="16" t="s">
        <v>30</v>
      </c>
      <c r="N1341" s="16" t="s">
        <v>69</v>
      </c>
      <c r="O1341" s="101"/>
      <c r="P1341" s="101"/>
      <c r="Q1341" s="102"/>
    </row>
    <row r="1342">
      <c r="A1342" s="134" t="s">
        <v>74</v>
      </c>
      <c r="B1342" s="134" t="s">
        <v>151</v>
      </c>
      <c r="C1342" s="134" t="s">
        <v>74</v>
      </c>
      <c r="D1342" s="133" t="s">
        <v>553</v>
      </c>
      <c r="E1342" s="167">
        <v>42956.0</v>
      </c>
      <c r="F1342" s="22" t="str">
        <f t="shared" si="120"/>
        <v>Aug-2017</v>
      </c>
      <c r="G1342" s="17" t="s">
        <v>25</v>
      </c>
      <c r="H1342" s="16" t="s">
        <v>35</v>
      </c>
      <c r="I1342" s="48" t="s">
        <v>133</v>
      </c>
      <c r="J1342" s="16" t="s">
        <v>86</v>
      </c>
      <c r="K1342" s="16" t="s">
        <v>9</v>
      </c>
      <c r="L1342" s="16" t="s">
        <v>24</v>
      </c>
      <c r="M1342" s="16"/>
      <c r="N1342" s="16" t="s">
        <v>98</v>
      </c>
      <c r="O1342" s="101"/>
      <c r="P1342" s="101"/>
      <c r="Q1342" s="102"/>
    </row>
    <row r="1343">
      <c r="A1343" s="140"/>
      <c r="B1343" s="134" t="s">
        <v>151</v>
      </c>
      <c r="C1343" s="134" t="s">
        <v>74</v>
      </c>
      <c r="D1343" s="133" t="s">
        <v>553</v>
      </c>
      <c r="E1343" s="167">
        <v>42956.0</v>
      </c>
      <c r="F1343" s="22" t="str">
        <f t="shared" si="120"/>
        <v>Aug-2017</v>
      </c>
      <c r="G1343" s="16" t="s">
        <v>32</v>
      </c>
      <c r="H1343" s="16" t="s">
        <v>35</v>
      </c>
      <c r="I1343" s="48" t="s">
        <v>133</v>
      </c>
      <c r="J1343" s="16" t="s">
        <v>86</v>
      </c>
      <c r="K1343" s="16" t="s">
        <v>9</v>
      </c>
      <c r="L1343" s="16" t="s">
        <v>30</v>
      </c>
      <c r="M1343" s="16"/>
      <c r="N1343" s="16" t="s">
        <v>29</v>
      </c>
      <c r="O1343" s="101"/>
      <c r="P1343" s="101"/>
      <c r="Q1343" s="102"/>
    </row>
    <row r="1344">
      <c r="A1344" s="140"/>
      <c r="B1344" s="134" t="s">
        <v>151</v>
      </c>
      <c r="C1344" s="134" t="s">
        <v>74</v>
      </c>
      <c r="D1344" s="133" t="s">
        <v>553</v>
      </c>
      <c r="E1344" s="167">
        <v>42956.0</v>
      </c>
      <c r="F1344" s="22" t="str">
        <f t="shared" si="120"/>
        <v>Aug-2017</v>
      </c>
      <c r="G1344" s="25" t="s">
        <v>146</v>
      </c>
      <c r="H1344" s="119" t="s">
        <v>35</v>
      </c>
      <c r="I1344" s="80" t="s">
        <v>394</v>
      </c>
      <c r="J1344" s="25" t="s">
        <v>27</v>
      </c>
      <c r="K1344" s="25" t="s">
        <v>9</v>
      </c>
      <c r="L1344" s="25" t="s">
        <v>24</v>
      </c>
      <c r="M1344" s="25" t="s">
        <v>24</v>
      </c>
      <c r="N1344" s="25" t="s">
        <v>69</v>
      </c>
      <c r="Q1344" s="99"/>
    </row>
    <row r="1345">
      <c r="A1345" s="140"/>
      <c r="B1345" s="134" t="s">
        <v>151</v>
      </c>
      <c r="C1345" s="134" t="s">
        <v>74</v>
      </c>
      <c r="D1345" s="133" t="s">
        <v>553</v>
      </c>
      <c r="E1345" s="167">
        <v>42956.0</v>
      </c>
      <c r="F1345" s="22" t="str">
        <f t="shared" si="120"/>
        <v>Aug-2017</v>
      </c>
      <c r="G1345" s="25" t="s">
        <v>149</v>
      </c>
      <c r="H1345" s="119" t="s">
        <v>35</v>
      </c>
      <c r="I1345" s="80" t="s">
        <v>394</v>
      </c>
      <c r="J1345" s="25" t="s">
        <v>27</v>
      </c>
      <c r="K1345" s="25" t="s">
        <v>9</v>
      </c>
      <c r="L1345" s="25" t="s">
        <v>24</v>
      </c>
      <c r="M1345" s="25"/>
      <c r="N1345" s="25" t="s">
        <v>98</v>
      </c>
      <c r="Q1345" s="99"/>
    </row>
    <row r="1346">
      <c r="A1346" s="141"/>
      <c r="B1346" s="134" t="s">
        <v>151</v>
      </c>
      <c r="C1346" s="134" t="s">
        <v>74</v>
      </c>
      <c r="D1346" s="133" t="s">
        <v>553</v>
      </c>
      <c r="E1346" s="169">
        <v>42956.0</v>
      </c>
      <c r="F1346" s="52" t="str">
        <f t="shared" si="120"/>
        <v>Aug-2017</v>
      </c>
      <c r="G1346" s="55" t="s">
        <v>222</v>
      </c>
      <c r="H1346" s="114" t="s">
        <v>35</v>
      </c>
      <c r="I1346" s="113" t="s">
        <v>394</v>
      </c>
      <c r="J1346" s="55" t="s">
        <v>27</v>
      </c>
      <c r="K1346" s="55" t="s">
        <v>9</v>
      </c>
      <c r="L1346" s="55" t="s">
        <v>24</v>
      </c>
      <c r="M1346" s="55"/>
      <c r="N1346" s="55" t="s">
        <v>98</v>
      </c>
      <c r="O1346" s="143"/>
      <c r="P1346" s="143"/>
      <c r="Q1346" s="144"/>
    </row>
    <row r="1347">
      <c r="A1347" s="107"/>
      <c r="B1347" s="95"/>
      <c r="C1347" s="95"/>
      <c r="D1347" s="95"/>
      <c r="E1347" s="95"/>
      <c r="I1347" s="23"/>
    </row>
    <row r="1348">
      <c r="A1348" s="133" t="s">
        <v>556</v>
      </c>
      <c r="B1348" s="134" t="s">
        <v>18</v>
      </c>
      <c r="C1348" s="134" t="s">
        <v>74</v>
      </c>
      <c r="D1348" s="133" t="s">
        <v>556</v>
      </c>
      <c r="E1348" s="168">
        <v>42958.0</v>
      </c>
      <c r="F1348" s="85" t="str">
        <f t="shared" ref="F1348:F1354" si="121">TEXT(E1345:E1348, "mmm") &amp; "-" &amp; TEXT(E1345:E1348, "yyyy") </f>
        <v>Aug-2017</v>
      </c>
      <c r="G1348" s="218" t="s">
        <v>20</v>
      </c>
      <c r="H1348" s="218" t="s">
        <v>35</v>
      </c>
      <c r="I1348" s="86" t="s">
        <v>187</v>
      </c>
      <c r="J1348" s="73" t="s">
        <v>27</v>
      </c>
      <c r="K1348" s="73" t="s">
        <v>9</v>
      </c>
      <c r="L1348" s="73" t="s">
        <v>30</v>
      </c>
      <c r="M1348" s="73" t="s">
        <v>30</v>
      </c>
      <c r="N1348" s="73" t="s">
        <v>98</v>
      </c>
      <c r="O1348" s="165"/>
      <c r="P1348" s="165"/>
      <c r="Q1348" s="166"/>
    </row>
    <row r="1349">
      <c r="A1349" s="134" t="s">
        <v>18</v>
      </c>
      <c r="B1349" s="134" t="s">
        <v>18</v>
      </c>
      <c r="C1349" s="134" t="s">
        <v>74</v>
      </c>
      <c r="D1349" s="133" t="s">
        <v>556</v>
      </c>
      <c r="E1349" s="168">
        <v>42958.0</v>
      </c>
      <c r="F1349" s="22" t="str">
        <f t="shared" si="121"/>
        <v>Aug-2017</v>
      </c>
      <c r="G1349" s="91" t="s">
        <v>25</v>
      </c>
      <c r="H1349" s="119" t="s">
        <v>35</v>
      </c>
      <c r="I1349" s="80" t="s">
        <v>187</v>
      </c>
      <c r="J1349" s="25" t="s">
        <v>27</v>
      </c>
      <c r="K1349" s="25" t="s">
        <v>9</v>
      </c>
      <c r="L1349" s="25" t="s">
        <v>30</v>
      </c>
      <c r="M1349" s="25"/>
      <c r="N1349" s="25" t="s">
        <v>106</v>
      </c>
      <c r="Q1349" s="99"/>
    </row>
    <row r="1350">
      <c r="A1350" s="134" t="s">
        <v>331</v>
      </c>
      <c r="B1350" s="134" t="s">
        <v>18</v>
      </c>
      <c r="C1350" s="134" t="s">
        <v>74</v>
      </c>
      <c r="D1350" s="133" t="s">
        <v>556</v>
      </c>
      <c r="E1350" s="168">
        <v>42958.0</v>
      </c>
      <c r="F1350" s="22" t="str">
        <f t="shared" si="121"/>
        <v>Aug-2017</v>
      </c>
      <c r="G1350" s="16" t="s">
        <v>20</v>
      </c>
      <c r="H1350" s="16" t="s">
        <v>35</v>
      </c>
      <c r="I1350" s="48" t="s">
        <v>393</v>
      </c>
      <c r="J1350" s="16" t="s">
        <v>102</v>
      </c>
      <c r="K1350" s="16" t="s">
        <v>9</v>
      </c>
      <c r="L1350" s="16" t="s">
        <v>30</v>
      </c>
      <c r="M1350" s="16" t="s">
        <v>24</v>
      </c>
      <c r="N1350" s="16" t="s">
        <v>98</v>
      </c>
      <c r="O1350" s="101"/>
      <c r="P1350" s="101"/>
      <c r="Q1350" s="102"/>
    </row>
    <row r="1351">
      <c r="A1351" s="168">
        <v>42958.0</v>
      </c>
      <c r="B1351" s="134" t="s">
        <v>18</v>
      </c>
      <c r="C1351" s="134" t="s">
        <v>74</v>
      </c>
      <c r="D1351" s="133" t="s">
        <v>556</v>
      </c>
      <c r="E1351" s="168">
        <v>42958.0</v>
      </c>
      <c r="F1351" s="22" t="str">
        <f t="shared" si="121"/>
        <v>Aug-2017</v>
      </c>
      <c r="G1351" s="17" t="s">
        <v>25</v>
      </c>
      <c r="H1351" s="16" t="s">
        <v>35</v>
      </c>
      <c r="I1351" s="48" t="s">
        <v>393</v>
      </c>
      <c r="J1351" s="16" t="s">
        <v>102</v>
      </c>
      <c r="K1351" s="16" t="s">
        <v>9</v>
      </c>
      <c r="L1351" s="16" t="s">
        <v>24</v>
      </c>
      <c r="M1351" s="16"/>
      <c r="N1351" s="16" t="s">
        <v>29</v>
      </c>
      <c r="O1351" s="101"/>
      <c r="P1351" s="101"/>
      <c r="Q1351" s="102"/>
    </row>
    <row r="1352">
      <c r="A1352" s="134" t="s">
        <v>74</v>
      </c>
      <c r="B1352" s="134" t="s">
        <v>18</v>
      </c>
      <c r="C1352" s="134" t="s">
        <v>74</v>
      </c>
      <c r="D1352" s="133" t="s">
        <v>556</v>
      </c>
      <c r="E1352" s="168">
        <v>42958.0</v>
      </c>
      <c r="F1352" s="22" t="str">
        <f t="shared" si="121"/>
        <v>Aug-2017</v>
      </c>
      <c r="G1352" s="16" t="s">
        <v>32</v>
      </c>
      <c r="H1352" s="16" t="s">
        <v>35</v>
      </c>
      <c r="I1352" s="48" t="s">
        <v>393</v>
      </c>
      <c r="J1352" s="16" t="s">
        <v>102</v>
      </c>
      <c r="K1352" s="16" t="s">
        <v>9</v>
      </c>
      <c r="L1352" s="16" t="s">
        <v>24</v>
      </c>
      <c r="M1352" s="16"/>
      <c r="N1352" s="16" t="s">
        <v>106</v>
      </c>
      <c r="O1352" s="101"/>
      <c r="P1352" s="101"/>
      <c r="Q1352" s="102"/>
    </row>
    <row r="1353">
      <c r="A1353" s="140"/>
      <c r="B1353" s="134" t="s">
        <v>18</v>
      </c>
      <c r="C1353" s="134" t="s">
        <v>74</v>
      </c>
      <c r="D1353" s="133" t="s">
        <v>556</v>
      </c>
      <c r="E1353" s="168">
        <v>42958.0</v>
      </c>
      <c r="F1353" s="22" t="str">
        <f t="shared" si="121"/>
        <v>Aug-2017</v>
      </c>
      <c r="G1353" s="119" t="s">
        <v>20</v>
      </c>
      <c r="H1353" s="119" t="s">
        <v>35</v>
      </c>
      <c r="I1353" s="80" t="s">
        <v>371</v>
      </c>
      <c r="J1353" s="25" t="s">
        <v>44</v>
      </c>
      <c r="K1353" s="25" t="s">
        <v>9</v>
      </c>
      <c r="L1353" s="25" t="s">
        <v>30</v>
      </c>
      <c r="M1353" s="25" t="s">
        <v>30</v>
      </c>
      <c r="N1353" s="25" t="s">
        <v>98</v>
      </c>
      <c r="Q1353" s="99"/>
    </row>
    <row r="1354">
      <c r="A1354" s="140"/>
      <c r="B1354" s="134" t="s">
        <v>18</v>
      </c>
      <c r="C1354" s="134" t="s">
        <v>74</v>
      </c>
      <c r="D1354" s="133" t="s">
        <v>556</v>
      </c>
      <c r="E1354" s="168">
        <v>42958.0</v>
      </c>
      <c r="F1354" s="22" t="str">
        <f t="shared" si="121"/>
        <v>Aug-2017</v>
      </c>
      <c r="G1354" s="91" t="s">
        <v>25</v>
      </c>
      <c r="H1354" s="119" t="s">
        <v>35</v>
      </c>
      <c r="I1354" s="80" t="s">
        <v>371</v>
      </c>
      <c r="J1354" s="25" t="s">
        <v>44</v>
      </c>
      <c r="K1354" s="25" t="s">
        <v>9</v>
      </c>
      <c r="L1354" s="25" t="s">
        <v>30</v>
      </c>
      <c r="M1354" s="25"/>
      <c r="N1354" s="25" t="s">
        <v>98</v>
      </c>
      <c r="Q1354" s="99"/>
    </row>
    <row r="1355">
      <c r="A1355" s="140"/>
      <c r="B1355" s="134" t="s">
        <v>18</v>
      </c>
      <c r="C1355" s="134" t="s">
        <v>74</v>
      </c>
      <c r="D1355" s="133" t="s">
        <v>556</v>
      </c>
      <c r="E1355" s="168">
        <v>42958.0</v>
      </c>
      <c r="F1355" s="22" t="str">
        <f t="shared" ref="F1355:F1356" si="122">TEXT(E1353:E1355, "mmm") &amp; "-" &amp; TEXT(E1353:E1355, "yyyy") </f>
        <v>Aug-2017</v>
      </c>
      <c r="G1355" s="16" t="s">
        <v>20</v>
      </c>
      <c r="H1355" s="16" t="s">
        <v>35</v>
      </c>
      <c r="I1355" s="48" t="s">
        <v>248</v>
      </c>
      <c r="J1355" s="16" t="s">
        <v>9</v>
      </c>
      <c r="K1355" s="16" t="s">
        <v>9</v>
      </c>
      <c r="L1355" s="16" t="s">
        <v>24</v>
      </c>
      <c r="M1355" s="16" t="s">
        <v>24</v>
      </c>
      <c r="N1355" s="16" t="s">
        <v>69</v>
      </c>
      <c r="O1355" s="101"/>
      <c r="P1355" s="101"/>
      <c r="Q1355" s="102"/>
    </row>
    <row r="1356">
      <c r="A1356" s="141"/>
      <c r="B1356" s="134" t="s">
        <v>18</v>
      </c>
      <c r="C1356" s="134" t="s">
        <v>74</v>
      </c>
      <c r="D1356" s="133" t="s">
        <v>556</v>
      </c>
      <c r="E1356" s="170">
        <v>42958.0</v>
      </c>
      <c r="F1356" s="52" t="str">
        <f t="shared" si="122"/>
        <v>Aug-2017</v>
      </c>
      <c r="G1356" s="93" t="s">
        <v>25</v>
      </c>
      <c r="H1356" s="38" t="s">
        <v>35</v>
      </c>
      <c r="I1356" s="122" t="s">
        <v>248</v>
      </c>
      <c r="J1356" s="38" t="s">
        <v>9</v>
      </c>
      <c r="K1356" s="38" t="s">
        <v>9</v>
      </c>
      <c r="L1356" s="38" t="s">
        <v>24</v>
      </c>
      <c r="M1356" s="38"/>
      <c r="N1356" s="38" t="s">
        <v>98</v>
      </c>
      <c r="O1356" s="105"/>
      <c r="P1356" s="105"/>
      <c r="Q1356" s="106"/>
    </row>
    <row r="1357">
      <c r="A1357" s="107"/>
      <c r="B1357" s="95"/>
      <c r="C1357" s="95"/>
      <c r="D1357" s="95"/>
      <c r="E1357" s="95"/>
      <c r="I1357" s="23"/>
    </row>
    <row r="1358">
      <c r="A1358" s="133" t="s">
        <v>557</v>
      </c>
      <c r="B1358" s="134" t="s">
        <v>151</v>
      </c>
      <c r="C1358" s="134" t="s">
        <v>74</v>
      </c>
      <c r="D1358" s="133" t="s">
        <v>557</v>
      </c>
      <c r="E1358" s="168">
        <v>42963.0</v>
      </c>
      <c r="F1358" s="85" t="str">
        <f t="shared" ref="F1358:F1360" si="123">TEXT(E1356:E1358, "mmm") &amp; "-" &amp; TEXT(E1356:E1358, "yyyy") </f>
        <v>Aug-2017</v>
      </c>
      <c r="G1358" s="47" t="s">
        <v>146</v>
      </c>
      <c r="H1358" s="47" t="s">
        <v>35</v>
      </c>
      <c r="I1358" s="79" t="s">
        <v>259</v>
      </c>
      <c r="J1358" s="47" t="s">
        <v>97</v>
      </c>
      <c r="K1358" s="47" t="s">
        <v>9</v>
      </c>
      <c r="L1358" s="47" t="s">
        <v>24</v>
      </c>
      <c r="M1358" s="47" t="s">
        <v>24</v>
      </c>
      <c r="N1358" s="47" t="s">
        <v>98</v>
      </c>
      <c r="O1358" s="152"/>
      <c r="P1358" s="152"/>
      <c r="Q1358" s="153"/>
    </row>
    <row r="1359">
      <c r="A1359" s="134" t="s">
        <v>151</v>
      </c>
      <c r="B1359" s="134" t="s">
        <v>151</v>
      </c>
      <c r="C1359" s="134" t="s">
        <v>74</v>
      </c>
      <c r="D1359" s="133" t="s">
        <v>557</v>
      </c>
      <c r="E1359" s="168">
        <v>42963.0</v>
      </c>
      <c r="F1359" s="22" t="str">
        <f t="shared" si="123"/>
        <v>Aug-2017</v>
      </c>
      <c r="G1359" s="16" t="s">
        <v>149</v>
      </c>
      <c r="H1359" s="16" t="s">
        <v>35</v>
      </c>
      <c r="I1359" s="48" t="s">
        <v>259</v>
      </c>
      <c r="J1359" s="16" t="s">
        <v>97</v>
      </c>
      <c r="K1359" s="16" t="s">
        <v>9</v>
      </c>
      <c r="L1359" s="16" t="s">
        <v>24</v>
      </c>
      <c r="M1359" s="16"/>
      <c r="N1359" s="16" t="s">
        <v>69</v>
      </c>
      <c r="O1359" s="101"/>
      <c r="P1359" s="101"/>
      <c r="Q1359" s="102"/>
    </row>
    <row r="1360">
      <c r="A1360" s="134" t="s">
        <v>368</v>
      </c>
      <c r="B1360" s="134" t="s">
        <v>151</v>
      </c>
      <c r="C1360" s="134" t="s">
        <v>74</v>
      </c>
      <c r="D1360" s="133" t="s">
        <v>557</v>
      </c>
      <c r="E1360" s="168">
        <v>42963.0</v>
      </c>
      <c r="F1360" s="22" t="str">
        <f t="shared" si="123"/>
        <v>Aug-2017</v>
      </c>
      <c r="G1360" s="16" t="s">
        <v>222</v>
      </c>
      <c r="H1360" s="16" t="s">
        <v>35</v>
      </c>
      <c r="I1360" s="48" t="s">
        <v>259</v>
      </c>
      <c r="J1360" s="16" t="s">
        <v>97</v>
      </c>
      <c r="K1360" s="16" t="s">
        <v>9</v>
      </c>
      <c r="L1360" s="16" t="s">
        <v>24</v>
      </c>
      <c r="M1360" s="16"/>
      <c r="N1360" s="16" t="s">
        <v>29</v>
      </c>
      <c r="O1360" s="101"/>
      <c r="P1360" s="101"/>
      <c r="Q1360" s="102"/>
    </row>
    <row r="1361">
      <c r="A1361" s="168">
        <v>42963.0</v>
      </c>
      <c r="B1361" s="134" t="s">
        <v>151</v>
      </c>
      <c r="C1361" s="134" t="s">
        <v>74</v>
      </c>
      <c r="D1361" s="133" t="s">
        <v>557</v>
      </c>
      <c r="E1361" s="168">
        <v>42963.0</v>
      </c>
      <c r="F1361" s="22" t="str">
        <f t="shared" ref="F1361:F1362" si="124">TEXT(E1358:E1361, "mmm") &amp; "-" &amp; TEXT(E1358:E1361, "yyyy") </f>
        <v>Aug-2017</v>
      </c>
      <c r="G1361" s="25" t="s">
        <v>146</v>
      </c>
      <c r="H1361" s="119" t="s">
        <v>35</v>
      </c>
      <c r="I1361" s="80" t="s">
        <v>276</v>
      </c>
      <c r="J1361" s="25" t="s">
        <v>48</v>
      </c>
      <c r="K1361" s="25" t="s">
        <v>9</v>
      </c>
      <c r="L1361" s="25" t="s">
        <v>30</v>
      </c>
      <c r="M1361" s="25" t="s">
        <v>30</v>
      </c>
      <c r="N1361" s="25" t="s">
        <v>98</v>
      </c>
      <c r="Q1361" s="99"/>
    </row>
    <row r="1362">
      <c r="A1362" s="134" t="s">
        <v>74</v>
      </c>
      <c r="B1362" s="134" t="s">
        <v>151</v>
      </c>
      <c r="C1362" s="134" t="s">
        <v>74</v>
      </c>
      <c r="D1362" s="133" t="s">
        <v>557</v>
      </c>
      <c r="E1362" s="168">
        <v>42963.0</v>
      </c>
      <c r="F1362" s="22" t="str">
        <f t="shared" si="124"/>
        <v>Aug-2017</v>
      </c>
      <c r="G1362" s="25" t="s">
        <v>149</v>
      </c>
      <c r="H1362" s="119" t="s">
        <v>35</v>
      </c>
      <c r="I1362" s="80" t="s">
        <v>276</v>
      </c>
      <c r="J1362" s="25" t="s">
        <v>48</v>
      </c>
      <c r="K1362" s="25" t="s">
        <v>9</v>
      </c>
      <c r="L1362" s="25" t="s">
        <v>30</v>
      </c>
      <c r="M1362" s="119"/>
      <c r="N1362" s="119" t="s">
        <v>37</v>
      </c>
      <c r="Q1362" s="99"/>
    </row>
    <row r="1363">
      <c r="A1363" s="134"/>
      <c r="B1363" s="134" t="s">
        <v>151</v>
      </c>
      <c r="C1363" s="134" t="s">
        <v>74</v>
      </c>
      <c r="D1363" s="133" t="s">
        <v>557</v>
      </c>
      <c r="E1363" s="168">
        <v>42963.0</v>
      </c>
      <c r="F1363" s="22" t="str">
        <f t="shared" ref="F1363:F1367" si="125">TEXT(E1361:E1363, "mmm") &amp; "-" &amp; TEXT(E1361:E1363, "yyyy") </f>
        <v>Aug-2017</v>
      </c>
      <c r="G1363" s="25" t="s">
        <v>222</v>
      </c>
      <c r="H1363" s="119" t="s">
        <v>35</v>
      </c>
      <c r="I1363" s="80" t="s">
        <v>276</v>
      </c>
      <c r="J1363" s="25" t="s">
        <v>48</v>
      </c>
      <c r="K1363" s="25" t="s">
        <v>9</v>
      </c>
      <c r="L1363" s="25" t="s">
        <v>30</v>
      </c>
      <c r="M1363" s="119"/>
      <c r="N1363" s="119" t="s">
        <v>37</v>
      </c>
      <c r="Q1363" s="99"/>
    </row>
    <row r="1364">
      <c r="A1364" s="140"/>
      <c r="B1364" s="134" t="s">
        <v>151</v>
      </c>
      <c r="C1364" s="134" t="s">
        <v>74</v>
      </c>
      <c r="D1364" s="133" t="s">
        <v>557</v>
      </c>
      <c r="E1364" s="168">
        <v>42963.0</v>
      </c>
      <c r="F1364" s="22" t="str">
        <f t="shared" si="125"/>
        <v>Aug-2017</v>
      </c>
      <c r="G1364" s="16" t="s">
        <v>146</v>
      </c>
      <c r="H1364" s="16" t="s">
        <v>35</v>
      </c>
      <c r="I1364" s="48" t="s">
        <v>36</v>
      </c>
      <c r="J1364" s="16" t="s">
        <v>27</v>
      </c>
      <c r="K1364" s="16" t="s">
        <v>9</v>
      </c>
      <c r="L1364" s="16" t="s">
        <v>24</v>
      </c>
      <c r="M1364" s="16" t="s">
        <v>24</v>
      </c>
      <c r="N1364" s="16" t="s">
        <v>29</v>
      </c>
      <c r="O1364" s="101"/>
      <c r="P1364" s="101"/>
      <c r="Q1364" s="102"/>
    </row>
    <row r="1365">
      <c r="A1365" s="140"/>
      <c r="B1365" s="134" t="s">
        <v>151</v>
      </c>
      <c r="C1365" s="134" t="s">
        <v>74</v>
      </c>
      <c r="D1365" s="133" t="s">
        <v>557</v>
      </c>
      <c r="E1365" s="168">
        <v>42963.0</v>
      </c>
      <c r="F1365" s="22" t="str">
        <f t="shared" si="125"/>
        <v>Aug-2017</v>
      </c>
      <c r="G1365" s="16" t="s">
        <v>149</v>
      </c>
      <c r="H1365" s="16" t="s">
        <v>35</v>
      </c>
      <c r="I1365" s="48" t="s">
        <v>36</v>
      </c>
      <c r="J1365" s="16" t="s">
        <v>27</v>
      </c>
      <c r="K1365" s="16" t="s">
        <v>9</v>
      </c>
      <c r="L1365" s="16" t="s">
        <v>30</v>
      </c>
      <c r="M1365" s="16"/>
      <c r="N1365" s="16" t="s">
        <v>98</v>
      </c>
      <c r="O1365" s="101"/>
      <c r="P1365" s="101"/>
      <c r="Q1365" s="102"/>
    </row>
    <row r="1366">
      <c r="A1366" s="140"/>
      <c r="B1366" s="134" t="s">
        <v>151</v>
      </c>
      <c r="C1366" s="134" t="s">
        <v>74</v>
      </c>
      <c r="D1366" s="133" t="s">
        <v>557</v>
      </c>
      <c r="E1366" s="168">
        <v>42963.0</v>
      </c>
      <c r="F1366" s="22" t="str">
        <f t="shared" si="125"/>
        <v>Aug-2017</v>
      </c>
      <c r="G1366" s="16" t="s">
        <v>222</v>
      </c>
      <c r="H1366" s="16" t="s">
        <v>35</v>
      </c>
      <c r="I1366" s="48" t="s">
        <v>36</v>
      </c>
      <c r="J1366" s="16" t="s">
        <v>27</v>
      </c>
      <c r="K1366" s="16" t="s">
        <v>9</v>
      </c>
      <c r="L1366" s="16" t="s">
        <v>24</v>
      </c>
      <c r="M1366" s="16"/>
      <c r="N1366" s="16" t="s">
        <v>37</v>
      </c>
      <c r="O1366" s="101"/>
      <c r="P1366" s="101"/>
      <c r="Q1366" s="102"/>
    </row>
    <row r="1367">
      <c r="A1367" s="141"/>
      <c r="B1367" s="134" t="s">
        <v>151</v>
      </c>
      <c r="C1367" s="134" t="s">
        <v>74</v>
      </c>
      <c r="D1367" s="133" t="s">
        <v>557</v>
      </c>
      <c r="E1367" s="170">
        <v>42963.0</v>
      </c>
      <c r="F1367" s="52" t="str">
        <f t="shared" si="125"/>
        <v>Aug-2017</v>
      </c>
      <c r="G1367" s="38" t="s">
        <v>467</v>
      </c>
      <c r="H1367" s="38" t="s">
        <v>35</v>
      </c>
      <c r="I1367" s="122" t="s">
        <v>36</v>
      </c>
      <c r="J1367" s="38" t="s">
        <v>27</v>
      </c>
      <c r="K1367" s="38" t="s">
        <v>9</v>
      </c>
      <c r="L1367" s="38" t="s">
        <v>24</v>
      </c>
      <c r="M1367" s="38"/>
      <c r="N1367" s="38" t="s">
        <v>69</v>
      </c>
      <c r="O1367" s="105"/>
      <c r="P1367" s="105"/>
      <c r="Q1367" s="106"/>
    </row>
    <row r="1368">
      <c r="A1368" s="107"/>
      <c r="B1368" s="95"/>
      <c r="C1368" s="95"/>
      <c r="D1368" s="95"/>
      <c r="E1368" s="95"/>
      <c r="I1368" s="23"/>
    </row>
    <row r="1369">
      <c r="A1369" s="133" t="s">
        <v>558</v>
      </c>
      <c r="B1369" s="134" t="s">
        <v>18</v>
      </c>
      <c r="C1369" s="134" t="s">
        <v>74</v>
      </c>
      <c r="D1369" s="133" t="s">
        <v>558</v>
      </c>
      <c r="E1369" s="168">
        <v>42965.0</v>
      </c>
      <c r="F1369" s="85" t="str">
        <f t="shared" ref="F1369:F1370" si="126">TEXT(E1367:E1369, "mmm") &amp; "-" &amp; TEXT(E1367:E1369, "yyyy") </f>
        <v>Aug-2017</v>
      </c>
      <c r="G1369" s="218" t="s">
        <v>20</v>
      </c>
      <c r="H1369" s="218" t="s">
        <v>35</v>
      </c>
      <c r="I1369" s="86" t="s">
        <v>114</v>
      </c>
      <c r="J1369" s="73" t="s">
        <v>27</v>
      </c>
      <c r="K1369" s="73" t="s">
        <v>9</v>
      </c>
      <c r="L1369" s="73" t="s">
        <v>30</v>
      </c>
      <c r="M1369" s="73" t="s">
        <v>30</v>
      </c>
      <c r="N1369" s="73" t="s">
        <v>98</v>
      </c>
      <c r="O1369" s="165"/>
      <c r="P1369" s="165"/>
      <c r="Q1369" s="166"/>
    </row>
    <row r="1370">
      <c r="A1370" s="134" t="s">
        <v>18</v>
      </c>
      <c r="B1370" s="134" t="s">
        <v>18</v>
      </c>
      <c r="C1370" s="134" t="s">
        <v>74</v>
      </c>
      <c r="D1370" s="133" t="s">
        <v>558</v>
      </c>
      <c r="E1370" s="168">
        <v>42965.0</v>
      </c>
      <c r="F1370" s="22" t="str">
        <f t="shared" si="126"/>
        <v>Aug-2017</v>
      </c>
      <c r="G1370" s="91" t="s">
        <v>25</v>
      </c>
      <c r="H1370" s="119" t="s">
        <v>35</v>
      </c>
      <c r="I1370" s="80" t="s">
        <v>114</v>
      </c>
      <c r="J1370" s="25" t="s">
        <v>27</v>
      </c>
      <c r="K1370" s="25" t="s">
        <v>9</v>
      </c>
      <c r="L1370" s="25" t="s">
        <v>30</v>
      </c>
      <c r="M1370" s="25"/>
      <c r="N1370" s="25" t="s">
        <v>99</v>
      </c>
      <c r="Q1370" s="99"/>
    </row>
    <row r="1371">
      <c r="A1371" s="134" t="s">
        <v>331</v>
      </c>
      <c r="B1371" s="134" t="s">
        <v>18</v>
      </c>
      <c r="C1371" s="134" t="s">
        <v>74</v>
      </c>
      <c r="D1371" s="133" t="s">
        <v>558</v>
      </c>
      <c r="E1371" s="168">
        <v>42965.0</v>
      </c>
      <c r="F1371" s="22" t="str">
        <f t="shared" ref="F1371:F1372" si="127">TEXT(E1368:E1371, "mmm") &amp; "-" &amp; TEXT(E1368:E1371, "yyyy") </f>
        <v>Aug-2017</v>
      </c>
      <c r="G1371" s="16" t="s">
        <v>20</v>
      </c>
      <c r="H1371" s="16" t="s">
        <v>35</v>
      </c>
      <c r="I1371" s="48" t="s">
        <v>450</v>
      </c>
      <c r="J1371" s="16" t="s">
        <v>9</v>
      </c>
      <c r="K1371" s="16" t="s">
        <v>9</v>
      </c>
      <c r="L1371" s="16" t="s">
        <v>24</v>
      </c>
      <c r="M1371" s="16" t="s">
        <v>24</v>
      </c>
      <c r="N1371" s="16" t="s">
        <v>98</v>
      </c>
      <c r="O1371" s="101"/>
      <c r="P1371" s="101"/>
      <c r="Q1371" s="102"/>
    </row>
    <row r="1372">
      <c r="A1372" s="168">
        <v>42965.0</v>
      </c>
      <c r="B1372" s="134" t="s">
        <v>18</v>
      </c>
      <c r="C1372" s="134" t="s">
        <v>74</v>
      </c>
      <c r="D1372" s="133" t="s">
        <v>558</v>
      </c>
      <c r="E1372" s="168">
        <v>42965.0</v>
      </c>
      <c r="F1372" s="22" t="str">
        <f t="shared" si="127"/>
        <v>Aug-2017</v>
      </c>
      <c r="G1372" s="17" t="s">
        <v>25</v>
      </c>
      <c r="H1372" s="16" t="s">
        <v>35</v>
      </c>
      <c r="I1372" s="48" t="s">
        <v>450</v>
      </c>
      <c r="J1372" s="16" t="s">
        <v>9</v>
      </c>
      <c r="K1372" s="16" t="s">
        <v>9</v>
      </c>
      <c r="L1372" s="16" t="s">
        <v>24</v>
      </c>
      <c r="M1372" s="16"/>
      <c r="N1372" s="16" t="s">
        <v>69</v>
      </c>
      <c r="O1372" s="101"/>
      <c r="P1372" s="101"/>
      <c r="Q1372" s="102"/>
    </row>
    <row r="1373">
      <c r="A1373" s="134" t="s">
        <v>74</v>
      </c>
      <c r="B1373" s="134" t="s">
        <v>18</v>
      </c>
      <c r="C1373" s="134" t="s">
        <v>74</v>
      </c>
      <c r="D1373" s="133" t="s">
        <v>558</v>
      </c>
      <c r="E1373" s="168">
        <v>42965.0</v>
      </c>
      <c r="F1373" s="22" t="str">
        <f t="shared" ref="F1373:F1378" si="128">TEXT(E1371:E1373, "mmm") &amp; "-" &amp; TEXT(E1371:E1373, "yyyy") </f>
        <v>Aug-2017</v>
      </c>
      <c r="G1373" s="119" t="s">
        <v>20</v>
      </c>
      <c r="H1373" s="119" t="s">
        <v>35</v>
      </c>
      <c r="I1373" s="80" t="s">
        <v>127</v>
      </c>
      <c r="J1373" s="25" t="s">
        <v>44</v>
      </c>
      <c r="K1373" s="25" t="s">
        <v>9</v>
      </c>
      <c r="L1373" s="25" t="s">
        <v>30</v>
      </c>
      <c r="M1373" s="25" t="s">
        <v>30</v>
      </c>
      <c r="N1373" s="25" t="s">
        <v>98</v>
      </c>
      <c r="Q1373" s="99"/>
    </row>
    <row r="1374">
      <c r="A1374" s="140"/>
      <c r="B1374" s="134" t="s">
        <v>18</v>
      </c>
      <c r="C1374" s="134" t="s">
        <v>74</v>
      </c>
      <c r="D1374" s="133" t="s">
        <v>558</v>
      </c>
      <c r="E1374" s="168">
        <v>42965.0</v>
      </c>
      <c r="F1374" s="22" t="str">
        <f t="shared" si="128"/>
        <v>Aug-2017</v>
      </c>
      <c r="G1374" s="91" t="s">
        <v>25</v>
      </c>
      <c r="H1374" s="119" t="s">
        <v>35</v>
      </c>
      <c r="I1374" s="80" t="s">
        <v>127</v>
      </c>
      <c r="J1374" s="25" t="s">
        <v>44</v>
      </c>
      <c r="K1374" s="25" t="s">
        <v>9</v>
      </c>
      <c r="L1374" s="25" t="s">
        <v>24</v>
      </c>
      <c r="M1374" s="25"/>
      <c r="N1374" s="25" t="s">
        <v>69</v>
      </c>
      <c r="Q1374" s="99"/>
    </row>
    <row r="1375">
      <c r="A1375" s="140"/>
      <c r="B1375" s="134" t="s">
        <v>18</v>
      </c>
      <c r="C1375" s="134" t="s">
        <v>74</v>
      </c>
      <c r="D1375" s="133" t="s">
        <v>558</v>
      </c>
      <c r="E1375" s="168">
        <v>42965.0</v>
      </c>
      <c r="F1375" s="22" t="str">
        <f t="shared" si="128"/>
        <v>Aug-2017</v>
      </c>
      <c r="G1375" s="119" t="s">
        <v>32</v>
      </c>
      <c r="H1375" s="119" t="s">
        <v>35</v>
      </c>
      <c r="I1375" s="80" t="s">
        <v>127</v>
      </c>
      <c r="J1375" s="25" t="s">
        <v>44</v>
      </c>
      <c r="K1375" s="25" t="s">
        <v>9</v>
      </c>
      <c r="L1375" s="119" t="s">
        <v>30</v>
      </c>
      <c r="M1375" s="119"/>
      <c r="N1375" s="119" t="s">
        <v>106</v>
      </c>
      <c r="O1375" s="174"/>
      <c r="P1375" s="174"/>
      <c r="Q1375" s="175"/>
    </row>
    <row r="1376">
      <c r="A1376" s="140"/>
      <c r="B1376" s="134" t="s">
        <v>18</v>
      </c>
      <c r="C1376" s="134" t="s">
        <v>74</v>
      </c>
      <c r="D1376" s="133" t="s">
        <v>558</v>
      </c>
      <c r="E1376" s="168">
        <v>42965.0</v>
      </c>
      <c r="F1376" s="22" t="str">
        <f t="shared" si="128"/>
        <v>Aug-2017</v>
      </c>
      <c r="G1376" s="16" t="s">
        <v>20</v>
      </c>
      <c r="H1376" s="16" t="s">
        <v>35</v>
      </c>
      <c r="I1376" s="48" t="s">
        <v>559</v>
      </c>
      <c r="J1376" s="16" t="s">
        <v>9</v>
      </c>
      <c r="K1376" s="16" t="s">
        <v>9</v>
      </c>
      <c r="L1376" s="16" t="s">
        <v>24</v>
      </c>
      <c r="M1376" s="16" t="s">
        <v>30</v>
      </c>
      <c r="N1376" s="16" t="s">
        <v>98</v>
      </c>
      <c r="O1376" s="101"/>
      <c r="P1376" s="101"/>
      <c r="Q1376" s="102"/>
    </row>
    <row r="1377">
      <c r="A1377" s="140"/>
      <c r="B1377" s="134" t="s">
        <v>18</v>
      </c>
      <c r="C1377" s="134" t="s">
        <v>74</v>
      </c>
      <c r="D1377" s="133" t="s">
        <v>558</v>
      </c>
      <c r="E1377" s="168">
        <v>42965.0</v>
      </c>
      <c r="F1377" s="22" t="str">
        <f t="shared" si="128"/>
        <v>Aug-2017</v>
      </c>
      <c r="G1377" s="17" t="s">
        <v>25</v>
      </c>
      <c r="H1377" s="16" t="s">
        <v>35</v>
      </c>
      <c r="I1377" s="48" t="s">
        <v>559</v>
      </c>
      <c r="J1377" s="16" t="s">
        <v>9</v>
      </c>
      <c r="K1377" s="16" t="s">
        <v>9</v>
      </c>
      <c r="L1377" s="16" t="s">
        <v>30</v>
      </c>
      <c r="M1377" s="16"/>
      <c r="N1377" s="16" t="s">
        <v>69</v>
      </c>
      <c r="O1377" s="101"/>
      <c r="P1377" s="101"/>
      <c r="Q1377" s="102"/>
    </row>
    <row r="1378">
      <c r="A1378" s="140"/>
      <c r="B1378" s="134" t="s">
        <v>18</v>
      </c>
      <c r="C1378" s="134" t="s">
        <v>74</v>
      </c>
      <c r="D1378" s="133" t="s">
        <v>558</v>
      </c>
      <c r="E1378" s="168">
        <v>42965.0</v>
      </c>
      <c r="F1378" s="22" t="str">
        <f t="shared" si="128"/>
        <v>Aug-2017</v>
      </c>
      <c r="G1378" s="16" t="s">
        <v>32</v>
      </c>
      <c r="H1378" s="16" t="s">
        <v>35</v>
      </c>
      <c r="I1378" s="48" t="s">
        <v>559</v>
      </c>
      <c r="J1378" s="16" t="s">
        <v>9</v>
      </c>
      <c r="K1378" s="16" t="s">
        <v>9</v>
      </c>
      <c r="L1378" s="16" t="s">
        <v>30</v>
      </c>
      <c r="M1378" s="16"/>
      <c r="N1378" s="16" t="s">
        <v>37</v>
      </c>
      <c r="O1378" s="101"/>
      <c r="P1378" s="101"/>
      <c r="Q1378" s="102"/>
    </row>
    <row r="1379">
      <c r="A1379" s="140"/>
      <c r="B1379" s="134" t="s">
        <v>18</v>
      </c>
      <c r="C1379" s="134" t="s">
        <v>74</v>
      </c>
      <c r="D1379" s="133" t="s">
        <v>558</v>
      </c>
      <c r="E1379" s="168">
        <v>42965.0</v>
      </c>
      <c r="F1379" s="21" t="str">
        <f t="shared" ref="F1379:F1380" si="129">TEXT(E1373:E1379, "mmm") &amp; "-" &amp; TEXT(E1373:E1379, "yyyy") </f>
        <v>Aug-2017</v>
      </c>
      <c r="G1379" s="119" t="s">
        <v>20</v>
      </c>
      <c r="H1379" s="119" t="s">
        <v>35</v>
      </c>
      <c r="I1379" s="126" t="s">
        <v>194</v>
      </c>
      <c r="J1379" s="119" t="s">
        <v>23</v>
      </c>
      <c r="K1379" s="119" t="s">
        <v>9</v>
      </c>
      <c r="L1379" s="119" t="s">
        <v>24</v>
      </c>
      <c r="M1379" s="119" t="s">
        <v>24</v>
      </c>
      <c r="N1379" s="119" t="s">
        <v>99</v>
      </c>
      <c r="O1379" s="174"/>
      <c r="P1379" s="174"/>
      <c r="Q1379" s="175"/>
    </row>
    <row r="1380">
      <c r="A1380" s="141"/>
      <c r="B1380" s="134" t="s">
        <v>18</v>
      </c>
      <c r="C1380" s="134" t="s">
        <v>74</v>
      </c>
      <c r="D1380" s="133" t="s">
        <v>558</v>
      </c>
      <c r="E1380" s="168">
        <v>42965.0</v>
      </c>
      <c r="F1380" s="51" t="str">
        <f t="shared" si="129"/>
        <v>Aug-2017</v>
      </c>
      <c r="G1380" s="129" t="s">
        <v>25</v>
      </c>
      <c r="H1380" s="114" t="s">
        <v>35</v>
      </c>
      <c r="I1380" s="130" t="s">
        <v>194</v>
      </c>
      <c r="J1380" s="114" t="s">
        <v>23</v>
      </c>
      <c r="K1380" s="114" t="s">
        <v>9</v>
      </c>
      <c r="L1380" s="114" t="s">
        <v>24</v>
      </c>
      <c r="M1380" s="114"/>
      <c r="N1380" s="114" t="s">
        <v>69</v>
      </c>
      <c r="O1380" s="202"/>
      <c r="P1380" s="202"/>
      <c r="Q1380" s="203"/>
    </row>
    <row r="1381">
      <c r="A1381" s="107"/>
      <c r="B1381" s="95"/>
      <c r="C1381" s="95"/>
      <c r="D1381" s="95"/>
      <c r="E1381" s="95"/>
      <c r="I1381" s="23"/>
    </row>
    <row r="1382">
      <c r="A1382" s="133" t="s">
        <v>560</v>
      </c>
      <c r="B1382" s="134" t="s">
        <v>18</v>
      </c>
      <c r="C1382" s="134" t="s">
        <v>19</v>
      </c>
      <c r="D1382" s="133" t="s">
        <v>560</v>
      </c>
      <c r="E1382" s="228">
        <v>42966.0</v>
      </c>
      <c r="F1382" s="70" t="str">
        <f t="shared" ref="F1382:F1406" si="130">TEXT(E1376:E1382, "mmm") &amp; "-" &amp; TEXT(E1376:E1382, "yyyy") </f>
        <v>Aug-2017</v>
      </c>
      <c r="G1382" s="47" t="s">
        <v>20</v>
      </c>
      <c r="H1382" s="47" t="s">
        <v>287</v>
      </c>
      <c r="I1382" s="79" t="s">
        <v>561</v>
      </c>
      <c r="J1382" s="47" t="s">
        <v>71</v>
      </c>
      <c r="K1382" s="47" t="s">
        <v>9</v>
      </c>
      <c r="L1382" s="47" t="s">
        <v>30</v>
      </c>
      <c r="M1382" s="47" t="s">
        <v>30</v>
      </c>
      <c r="N1382" s="47" t="s">
        <v>99</v>
      </c>
      <c r="O1382" s="152"/>
      <c r="P1382" s="152"/>
      <c r="Q1382" s="153"/>
    </row>
    <row r="1383">
      <c r="A1383" s="134" t="s">
        <v>18</v>
      </c>
      <c r="B1383" s="134" t="s">
        <v>18</v>
      </c>
      <c r="C1383" s="134" t="s">
        <v>19</v>
      </c>
      <c r="D1383" s="133" t="s">
        <v>560</v>
      </c>
      <c r="E1383" s="228">
        <v>42966.0</v>
      </c>
      <c r="F1383" s="21" t="str">
        <f t="shared" si="130"/>
        <v>Aug-2017</v>
      </c>
      <c r="G1383" s="17" t="s">
        <v>25</v>
      </c>
      <c r="H1383" s="16" t="s">
        <v>287</v>
      </c>
      <c r="I1383" s="48" t="s">
        <v>561</v>
      </c>
      <c r="J1383" s="16" t="s">
        <v>71</v>
      </c>
      <c r="K1383" s="16" t="s">
        <v>9</v>
      </c>
      <c r="L1383" s="16" t="s">
        <v>30</v>
      </c>
      <c r="M1383" s="16"/>
      <c r="N1383" s="16" t="s">
        <v>69</v>
      </c>
      <c r="O1383" s="101"/>
      <c r="P1383" s="101"/>
      <c r="Q1383" s="102"/>
    </row>
    <row r="1384">
      <c r="A1384" s="134" t="s">
        <v>562</v>
      </c>
      <c r="B1384" s="134" t="s">
        <v>18</v>
      </c>
      <c r="C1384" s="134" t="s">
        <v>19</v>
      </c>
      <c r="D1384" s="133" t="s">
        <v>560</v>
      </c>
      <c r="E1384" s="228">
        <v>42966.0</v>
      </c>
      <c r="F1384" s="21" t="str">
        <f t="shared" si="130"/>
        <v>Aug-2017</v>
      </c>
      <c r="G1384" s="119" t="s">
        <v>20</v>
      </c>
      <c r="H1384" s="25" t="s">
        <v>287</v>
      </c>
      <c r="I1384" s="80" t="s">
        <v>520</v>
      </c>
      <c r="J1384" s="25" t="s">
        <v>86</v>
      </c>
      <c r="K1384" s="25" t="s">
        <v>9</v>
      </c>
      <c r="L1384" s="25" t="s">
        <v>30</v>
      </c>
      <c r="M1384" s="25" t="s">
        <v>30</v>
      </c>
      <c r="N1384" s="25" t="s">
        <v>29</v>
      </c>
      <c r="Q1384" s="99"/>
    </row>
    <row r="1385">
      <c r="A1385" s="168">
        <v>42966.0</v>
      </c>
      <c r="B1385" s="134" t="s">
        <v>18</v>
      </c>
      <c r="C1385" s="134" t="s">
        <v>19</v>
      </c>
      <c r="D1385" s="133" t="s">
        <v>560</v>
      </c>
      <c r="E1385" s="228">
        <v>42966.0</v>
      </c>
      <c r="F1385" s="21" t="str">
        <f t="shared" si="130"/>
        <v>Aug-2017</v>
      </c>
      <c r="G1385" s="91" t="s">
        <v>25</v>
      </c>
      <c r="H1385" s="25" t="s">
        <v>287</v>
      </c>
      <c r="I1385" s="80" t="s">
        <v>520</v>
      </c>
      <c r="J1385" s="25" t="s">
        <v>86</v>
      </c>
      <c r="K1385" s="25" t="s">
        <v>9</v>
      </c>
      <c r="L1385" s="25" t="s">
        <v>30</v>
      </c>
      <c r="M1385" s="25"/>
      <c r="N1385" s="25" t="s">
        <v>98</v>
      </c>
      <c r="Q1385" s="99"/>
    </row>
    <row r="1386">
      <c r="A1386" s="140"/>
      <c r="B1386" s="134" t="s">
        <v>18</v>
      </c>
      <c r="C1386" s="134" t="s">
        <v>19</v>
      </c>
      <c r="D1386" s="133" t="s">
        <v>560</v>
      </c>
      <c r="E1386" s="228">
        <v>42966.0</v>
      </c>
      <c r="F1386" s="21" t="str">
        <f t="shared" si="130"/>
        <v>Aug-2017</v>
      </c>
      <c r="G1386" s="16" t="s">
        <v>20</v>
      </c>
      <c r="H1386" s="16" t="s">
        <v>287</v>
      </c>
      <c r="I1386" s="48" t="s">
        <v>563</v>
      </c>
      <c r="J1386" s="16" t="s">
        <v>44</v>
      </c>
      <c r="K1386" s="16" t="s">
        <v>9</v>
      </c>
      <c r="L1386" s="16" t="s">
        <v>30</v>
      </c>
      <c r="M1386" s="16" t="s">
        <v>30</v>
      </c>
      <c r="N1386" s="16" t="s">
        <v>37</v>
      </c>
      <c r="O1386" s="101"/>
      <c r="P1386" s="101"/>
      <c r="Q1386" s="102"/>
    </row>
    <row r="1387">
      <c r="A1387" s="176" t="s">
        <v>564</v>
      </c>
      <c r="B1387" s="134" t="s">
        <v>18</v>
      </c>
      <c r="C1387" s="134" t="s">
        <v>19</v>
      </c>
      <c r="D1387" s="133" t="s">
        <v>560</v>
      </c>
      <c r="E1387" s="228">
        <v>42966.0</v>
      </c>
      <c r="F1387" s="21" t="str">
        <f t="shared" si="130"/>
        <v>Aug-2017</v>
      </c>
      <c r="G1387" s="17" t="s">
        <v>25</v>
      </c>
      <c r="H1387" s="16" t="s">
        <v>287</v>
      </c>
      <c r="I1387" s="48" t="s">
        <v>563</v>
      </c>
      <c r="J1387" s="16" t="s">
        <v>44</v>
      </c>
      <c r="K1387" s="16" t="s">
        <v>9</v>
      </c>
      <c r="L1387" s="16" t="s">
        <v>30</v>
      </c>
      <c r="M1387" s="16"/>
      <c r="N1387" s="16" t="s">
        <v>106</v>
      </c>
      <c r="O1387" s="101"/>
      <c r="P1387" s="101"/>
      <c r="Q1387" s="102"/>
    </row>
    <row r="1388">
      <c r="A1388" s="134" t="s">
        <v>19</v>
      </c>
      <c r="B1388" s="134" t="s">
        <v>18</v>
      </c>
      <c r="C1388" s="134" t="s">
        <v>19</v>
      </c>
      <c r="D1388" s="133" t="s">
        <v>560</v>
      </c>
      <c r="E1388" s="228">
        <v>42966.0</v>
      </c>
      <c r="F1388" s="21" t="str">
        <f t="shared" si="130"/>
        <v>Aug-2017</v>
      </c>
      <c r="G1388" s="119" t="s">
        <v>20</v>
      </c>
      <c r="H1388" s="25" t="s">
        <v>287</v>
      </c>
      <c r="I1388" s="80" t="s">
        <v>565</v>
      </c>
      <c r="J1388" s="25" t="s">
        <v>9</v>
      </c>
      <c r="K1388" s="25" t="s">
        <v>9</v>
      </c>
      <c r="L1388" s="25" t="s">
        <v>30</v>
      </c>
      <c r="M1388" s="25" t="s">
        <v>30</v>
      </c>
      <c r="N1388" s="25" t="s">
        <v>98</v>
      </c>
      <c r="Q1388" s="99"/>
    </row>
    <row r="1389">
      <c r="A1389" s="140"/>
      <c r="B1389" s="134" t="s">
        <v>18</v>
      </c>
      <c r="C1389" s="134" t="s">
        <v>19</v>
      </c>
      <c r="D1389" s="133" t="s">
        <v>560</v>
      </c>
      <c r="E1389" s="228">
        <v>42966.0</v>
      </c>
      <c r="F1389" s="21" t="str">
        <f t="shared" si="130"/>
        <v>Aug-2017</v>
      </c>
      <c r="G1389" s="91" t="s">
        <v>25</v>
      </c>
      <c r="H1389" s="25" t="s">
        <v>287</v>
      </c>
      <c r="I1389" s="80" t="s">
        <v>565</v>
      </c>
      <c r="J1389" s="25" t="s">
        <v>9</v>
      </c>
      <c r="K1389" s="25" t="s">
        <v>9</v>
      </c>
      <c r="L1389" s="25" t="s">
        <v>30</v>
      </c>
      <c r="M1389" s="25"/>
      <c r="N1389" s="25" t="s">
        <v>106</v>
      </c>
      <c r="Q1389" s="99"/>
    </row>
    <row r="1390">
      <c r="A1390" s="140"/>
      <c r="B1390" s="134" t="s">
        <v>18</v>
      </c>
      <c r="C1390" s="134" t="s">
        <v>19</v>
      </c>
      <c r="D1390" s="133" t="s">
        <v>560</v>
      </c>
      <c r="E1390" s="228">
        <v>42966.0</v>
      </c>
      <c r="F1390" s="21" t="str">
        <f t="shared" si="130"/>
        <v>Aug-2017</v>
      </c>
      <c r="G1390" s="16" t="s">
        <v>20</v>
      </c>
      <c r="H1390" s="16" t="s">
        <v>287</v>
      </c>
      <c r="I1390" s="48" t="s">
        <v>566</v>
      </c>
      <c r="J1390" s="16" t="s">
        <v>9</v>
      </c>
      <c r="K1390" s="16" t="s">
        <v>9</v>
      </c>
      <c r="L1390" s="16" t="s">
        <v>30</v>
      </c>
      <c r="M1390" s="16" t="s">
        <v>30</v>
      </c>
      <c r="N1390" s="16" t="s">
        <v>99</v>
      </c>
      <c r="O1390" s="101"/>
      <c r="P1390" s="101"/>
      <c r="Q1390" s="102"/>
    </row>
    <row r="1391">
      <c r="A1391" s="140"/>
      <c r="B1391" s="134" t="s">
        <v>18</v>
      </c>
      <c r="C1391" s="134" t="s">
        <v>19</v>
      </c>
      <c r="D1391" s="133" t="s">
        <v>560</v>
      </c>
      <c r="E1391" s="228">
        <v>42966.0</v>
      </c>
      <c r="F1391" s="21" t="str">
        <f t="shared" si="130"/>
        <v>Aug-2017</v>
      </c>
      <c r="G1391" s="17" t="s">
        <v>25</v>
      </c>
      <c r="H1391" s="16" t="s">
        <v>287</v>
      </c>
      <c r="I1391" s="48" t="s">
        <v>566</v>
      </c>
      <c r="J1391" s="16" t="s">
        <v>9</v>
      </c>
      <c r="K1391" s="16" t="s">
        <v>9</v>
      </c>
      <c r="L1391" s="16" t="s">
        <v>30</v>
      </c>
      <c r="M1391" s="16"/>
      <c r="N1391" s="16" t="s">
        <v>37</v>
      </c>
      <c r="O1391" s="101"/>
      <c r="P1391" s="101"/>
      <c r="Q1391" s="102"/>
    </row>
    <row r="1392">
      <c r="A1392" s="140"/>
      <c r="B1392" s="134" t="s">
        <v>18</v>
      </c>
      <c r="C1392" s="134" t="s">
        <v>19</v>
      </c>
      <c r="D1392" s="133" t="s">
        <v>560</v>
      </c>
      <c r="E1392" s="228">
        <v>42966.0</v>
      </c>
      <c r="F1392" s="21" t="str">
        <f t="shared" si="130"/>
        <v>Aug-2017</v>
      </c>
      <c r="G1392" s="119" t="s">
        <v>20</v>
      </c>
      <c r="H1392" s="25" t="s">
        <v>287</v>
      </c>
      <c r="I1392" s="80" t="s">
        <v>567</v>
      </c>
      <c r="J1392" s="25" t="s">
        <v>27</v>
      </c>
      <c r="K1392" s="25" t="s">
        <v>9</v>
      </c>
      <c r="L1392" s="25" t="s">
        <v>24</v>
      </c>
      <c r="M1392" s="25" t="s">
        <v>24</v>
      </c>
      <c r="N1392" s="25" t="s">
        <v>69</v>
      </c>
      <c r="Q1392" s="99"/>
    </row>
    <row r="1393">
      <c r="A1393" s="140"/>
      <c r="B1393" s="134" t="s">
        <v>18</v>
      </c>
      <c r="C1393" s="134" t="s">
        <v>19</v>
      </c>
      <c r="D1393" s="133" t="s">
        <v>560</v>
      </c>
      <c r="E1393" s="228">
        <v>42966.0</v>
      </c>
      <c r="F1393" s="21" t="str">
        <f t="shared" si="130"/>
        <v>Aug-2017</v>
      </c>
      <c r="G1393" s="91" t="s">
        <v>25</v>
      </c>
      <c r="H1393" s="25" t="s">
        <v>287</v>
      </c>
      <c r="I1393" s="80" t="s">
        <v>567</v>
      </c>
      <c r="J1393" s="25" t="s">
        <v>27</v>
      </c>
      <c r="K1393" s="25" t="s">
        <v>9</v>
      </c>
      <c r="L1393" s="25" t="s">
        <v>24</v>
      </c>
      <c r="M1393" s="25"/>
      <c r="N1393" s="25" t="s">
        <v>106</v>
      </c>
      <c r="Q1393" s="99"/>
    </row>
    <row r="1394">
      <c r="A1394" s="140"/>
      <c r="B1394" s="134" t="s">
        <v>18</v>
      </c>
      <c r="C1394" s="134" t="s">
        <v>19</v>
      </c>
      <c r="D1394" s="133" t="s">
        <v>560</v>
      </c>
      <c r="E1394" s="228">
        <v>42966.0</v>
      </c>
      <c r="F1394" s="21" t="str">
        <f t="shared" si="130"/>
        <v>Aug-2017</v>
      </c>
      <c r="G1394" s="16" t="s">
        <v>20</v>
      </c>
      <c r="H1394" s="16" t="s">
        <v>287</v>
      </c>
      <c r="I1394" s="48" t="s">
        <v>451</v>
      </c>
      <c r="J1394" s="16" t="s">
        <v>139</v>
      </c>
      <c r="K1394" s="16" t="s">
        <v>9</v>
      </c>
      <c r="L1394" s="16" t="s">
        <v>30</v>
      </c>
      <c r="M1394" s="16" t="s">
        <v>30</v>
      </c>
      <c r="N1394" s="16" t="s">
        <v>98</v>
      </c>
      <c r="O1394" s="101"/>
      <c r="P1394" s="101"/>
      <c r="Q1394" s="102"/>
    </row>
    <row r="1395">
      <c r="A1395" s="140"/>
      <c r="B1395" s="134" t="s">
        <v>18</v>
      </c>
      <c r="C1395" s="134" t="s">
        <v>19</v>
      </c>
      <c r="D1395" s="133" t="s">
        <v>560</v>
      </c>
      <c r="E1395" s="228">
        <v>42966.0</v>
      </c>
      <c r="F1395" s="21" t="str">
        <f t="shared" si="130"/>
        <v>Aug-2017</v>
      </c>
      <c r="G1395" s="17" t="s">
        <v>25</v>
      </c>
      <c r="H1395" s="16" t="s">
        <v>287</v>
      </c>
      <c r="I1395" s="48" t="s">
        <v>451</v>
      </c>
      <c r="J1395" s="16" t="s">
        <v>139</v>
      </c>
      <c r="K1395" s="16" t="s">
        <v>9</v>
      </c>
      <c r="L1395" s="16" t="s">
        <v>30</v>
      </c>
      <c r="M1395" s="16"/>
      <c r="N1395" s="16" t="s">
        <v>99</v>
      </c>
      <c r="O1395" s="101"/>
      <c r="P1395" s="101"/>
      <c r="Q1395" s="102"/>
    </row>
    <row r="1396">
      <c r="A1396" s="140"/>
      <c r="B1396" s="134" t="s">
        <v>18</v>
      </c>
      <c r="C1396" s="134" t="s">
        <v>19</v>
      </c>
      <c r="D1396" s="133" t="s">
        <v>560</v>
      </c>
      <c r="E1396" s="228">
        <v>42966.0</v>
      </c>
      <c r="F1396" s="21" t="str">
        <f t="shared" si="130"/>
        <v>Aug-2017</v>
      </c>
      <c r="G1396" s="119" t="s">
        <v>20</v>
      </c>
      <c r="H1396" s="25" t="s">
        <v>287</v>
      </c>
      <c r="I1396" s="80" t="s">
        <v>568</v>
      </c>
      <c r="J1396" s="25" t="s">
        <v>71</v>
      </c>
      <c r="K1396" s="25" t="s">
        <v>9</v>
      </c>
      <c r="L1396" s="25" t="s">
        <v>30</v>
      </c>
      <c r="M1396" s="25" t="s">
        <v>30</v>
      </c>
      <c r="N1396" s="25" t="s">
        <v>69</v>
      </c>
      <c r="Q1396" s="99"/>
    </row>
    <row r="1397">
      <c r="A1397" s="140"/>
      <c r="B1397" s="134" t="s">
        <v>18</v>
      </c>
      <c r="C1397" s="134" t="s">
        <v>19</v>
      </c>
      <c r="D1397" s="133" t="s">
        <v>560</v>
      </c>
      <c r="E1397" s="228">
        <v>42966.0</v>
      </c>
      <c r="F1397" s="21" t="str">
        <f t="shared" si="130"/>
        <v>Aug-2017</v>
      </c>
      <c r="G1397" s="91" t="s">
        <v>25</v>
      </c>
      <c r="H1397" s="25" t="s">
        <v>287</v>
      </c>
      <c r="I1397" s="80" t="s">
        <v>568</v>
      </c>
      <c r="J1397" s="25" t="s">
        <v>479</v>
      </c>
      <c r="K1397" s="25" t="s">
        <v>9</v>
      </c>
      <c r="L1397" s="25" t="s">
        <v>30</v>
      </c>
      <c r="M1397" s="25"/>
      <c r="N1397" s="25" t="s">
        <v>106</v>
      </c>
      <c r="Q1397" s="99"/>
    </row>
    <row r="1398">
      <c r="A1398" s="140"/>
      <c r="B1398" s="134" t="s">
        <v>18</v>
      </c>
      <c r="C1398" s="134" t="s">
        <v>19</v>
      </c>
      <c r="D1398" s="133" t="s">
        <v>560</v>
      </c>
      <c r="E1398" s="228">
        <v>42966.0</v>
      </c>
      <c r="F1398" s="21" t="str">
        <f t="shared" si="130"/>
        <v>Aug-2017</v>
      </c>
      <c r="G1398" s="16" t="s">
        <v>20</v>
      </c>
      <c r="H1398" s="16" t="s">
        <v>35</v>
      </c>
      <c r="I1398" s="48" t="s">
        <v>569</v>
      </c>
      <c r="J1398" s="16" t="s">
        <v>44</v>
      </c>
      <c r="K1398" s="16" t="s">
        <v>9</v>
      </c>
      <c r="L1398" s="16" t="s">
        <v>30</v>
      </c>
      <c r="M1398" s="16" t="s">
        <v>30</v>
      </c>
      <c r="N1398" s="16" t="s">
        <v>98</v>
      </c>
      <c r="O1398" s="101"/>
      <c r="P1398" s="101"/>
      <c r="Q1398" s="102"/>
    </row>
    <row r="1399">
      <c r="A1399" s="140"/>
      <c r="B1399" s="134" t="s">
        <v>18</v>
      </c>
      <c r="C1399" s="134" t="s">
        <v>19</v>
      </c>
      <c r="D1399" s="133" t="s">
        <v>560</v>
      </c>
      <c r="E1399" s="228">
        <v>42966.0</v>
      </c>
      <c r="F1399" s="21" t="str">
        <f t="shared" si="130"/>
        <v>Aug-2017</v>
      </c>
      <c r="G1399" s="17" t="s">
        <v>25</v>
      </c>
      <c r="H1399" s="16" t="s">
        <v>35</v>
      </c>
      <c r="I1399" s="48" t="s">
        <v>569</v>
      </c>
      <c r="J1399" s="16" t="s">
        <v>44</v>
      </c>
      <c r="K1399" s="16" t="s">
        <v>9</v>
      </c>
      <c r="L1399" s="16" t="s">
        <v>24</v>
      </c>
      <c r="M1399" s="16"/>
      <c r="N1399" s="16" t="s">
        <v>98</v>
      </c>
      <c r="O1399" s="101"/>
      <c r="P1399" s="101"/>
      <c r="Q1399" s="102"/>
    </row>
    <row r="1400">
      <c r="A1400" s="140"/>
      <c r="B1400" s="134" t="s">
        <v>18</v>
      </c>
      <c r="C1400" s="134" t="s">
        <v>19</v>
      </c>
      <c r="D1400" s="133" t="s">
        <v>560</v>
      </c>
      <c r="E1400" s="228">
        <v>42966.0</v>
      </c>
      <c r="F1400" s="21" t="str">
        <f t="shared" si="130"/>
        <v>Aug-2017</v>
      </c>
      <c r="G1400" s="16" t="s">
        <v>32</v>
      </c>
      <c r="H1400" s="16" t="s">
        <v>35</v>
      </c>
      <c r="I1400" s="48" t="s">
        <v>569</v>
      </c>
      <c r="J1400" s="16" t="s">
        <v>44</v>
      </c>
      <c r="K1400" s="16" t="s">
        <v>9</v>
      </c>
      <c r="L1400" s="16" t="s">
        <v>30</v>
      </c>
      <c r="M1400" s="16"/>
      <c r="N1400" s="16" t="s">
        <v>37</v>
      </c>
      <c r="O1400" s="101"/>
      <c r="P1400" s="101"/>
      <c r="Q1400" s="102"/>
    </row>
    <row r="1401">
      <c r="A1401" s="140"/>
      <c r="B1401" s="134" t="s">
        <v>18</v>
      </c>
      <c r="C1401" s="134" t="s">
        <v>19</v>
      </c>
      <c r="D1401" s="133" t="s">
        <v>560</v>
      </c>
      <c r="E1401" s="228">
        <v>42966.0</v>
      </c>
      <c r="F1401" s="21" t="str">
        <f t="shared" si="130"/>
        <v>Aug-2017</v>
      </c>
      <c r="G1401" s="119" t="s">
        <v>20</v>
      </c>
      <c r="H1401" s="25" t="s">
        <v>35</v>
      </c>
      <c r="I1401" s="80" t="s">
        <v>570</v>
      </c>
      <c r="J1401" s="25" t="s">
        <v>97</v>
      </c>
      <c r="K1401" s="25" t="s">
        <v>9</v>
      </c>
      <c r="L1401" s="25" t="s">
        <v>24</v>
      </c>
      <c r="M1401" s="25" t="s">
        <v>24</v>
      </c>
      <c r="N1401" s="25" t="s">
        <v>98</v>
      </c>
      <c r="Q1401" s="99"/>
    </row>
    <row r="1402">
      <c r="A1402" s="140"/>
      <c r="B1402" s="134" t="s">
        <v>18</v>
      </c>
      <c r="C1402" s="134" t="s">
        <v>19</v>
      </c>
      <c r="D1402" s="133" t="s">
        <v>560</v>
      </c>
      <c r="E1402" s="228">
        <v>42966.0</v>
      </c>
      <c r="F1402" s="21" t="str">
        <f t="shared" si="130"/>
        <v>Aug-2017</v>
      </c>
      <c r="G1402" s="91" t="s">
        <v>25</v>
      </c>
      <c r="H1402" s="25" t="s">
        <v>35</v>
      </c>
      <c r="I1402" s="80" t="s">
        <v>570</v>
      </c>
      <c r="J1402" s="25" t="s">
        <v>97</v>
      </c>
      <c r="K1402" s="25" t="s">
        <v>9</v>
      </c>
      <c r="L1402" s="25" t="s">
        <v>24</v>
      </c>
      <c r="M1402" s="25"/>
      <c r="N1402" s="25" t="s">
        <v>69</v>
      </c>
      <c r="Q1402" s="99"/>
    </row>
    <row r="1403">
      <c r="A1403" s="140"/>
      <c r="B1403" s="134" t="s">
        <v>18</v>
      </c>
      <c r="C1403" s="134" t="s">
        <v>19</v>
      </c>
      <c r="D1403" s="133" t="s">
        <v>560</v>
      </c>
      <c r="E1403" s="228">
        <v>42966.0</v>
      </c>
      <c r="F1403" s="21" t="str">
        <f t="shared" si="130"/>
        <v>Aug-2017</v>
      </c>
      <c r="G1403" s="16" t="s">
        <v>20</v>
      </c>
      <c r="H1403" s="16" t="s">
        <v>35</v>
      </c>
      <c r="I1403" s="48" t="s">
        <v>462</v>
      </c>
      <c r="J1403" s="16" t="s">
        <v>48</v>
      </c>
      <c r="K1403" s="16" t="s">
        <v>9</v>
      </c>
      <c r="L1403" s="16" t="s">
        <v>30</v>
      </c>
      <c r="M1403" s="16" t="s">
        <v>30</v>
      </c>
      <c r="N1403" s="16" t="s">
        <v>98</v>
      </c>
      <c r="O1403" s="101"/>
      <c r="P1403" s="101"/>
      <c r="Q1403" s="102"/>
    </row>
    <row r="1404">
      <c r="A1404" s="140"/>
      <c r="B1404" s="134" t="s">
        <v>18</v>
      </c>
      <c r="C1404" s="134" t="s">
        <v>19</v>
      </c>
      <c r="D1404" s="133" t="s">
        <v>560</v>
      </c>
      <c r="E1404" s="228">
        <v>42966.0</v>
      </c>
      <c r="F1404" s="21" t="str">
        <f t="shared" si="130"/>
        <v>Aug-2017</v>
      </c>
      <c r="G1404" s="17" t="s">
        <v>25</v>
      </c>
      <c r="H1404" s="16" t="s">
        <v>35</v>
      </c>
      <c r="I1404" s="48" t="s">
        <v>462</v>
      </c>
      <c r="J1404" s="16" t="s">
        <v>48</v>
      </c>
      <c r="K1404" s="16" t="s">
        <v>9</v>
      </c>
      <c r="L1404" s="16" t="s">
        <v>30</v>
      </c>
      <c r="M1404" s="16"/>
      <c r="N1404" s="16" t="s">
        <v>99</v>
      </c>
      <c r="O1404" s="101"/>
      <c r="P1404" s="101"/>
      <c r="Q1404" s="102"/>
    </row>
    <row r="1405">
      <c r="A1405" s="140"/>
      <c r="B1405" s="134" t="s">
        <v>18</v>
      </c>
      <c r="C1405" s="134" t="s">
        <v>19</v>
      </c>
      <c r="D1405" s="133" t="s">
        <v>560</v>
      </c>
      <c r="E1405" s="228">
        <v>42966.0</v>
      </c>
      <c r="F1405" s="21" t="str">
        <f t="shared" si="130"/>
        <v>Aug-2017</v>
      </c>
      <c r="G1405" s="119" t="s">
        <v>20</v>
      </c>
      <c r="H1405" s="119" t="s">
        <v>35</v>
      </c>
      <c r="I1405" s="126" t="s">
        <v>355</v>
      </c>
      <c r="J1405" s="119" t="s">
        <v>9</v>
      </c>
      <c r="K1405" s="119" t="s">
        <v>9</v>
      </c>
      <c r="L1405" s="119" t="s">
        <v>24</v>
      </c>
      <c r="M1405" s="119" t="s">
        <v>24</v>
      </c>
      <c r="N1405" s="119" t="s">
        <v>69</v>
      </c>
      <c r="O1405" s="174"/>
      <c r="P1405" s="174"/>
      <c r="Q1405" s="175"/>
    </row>
    <row r="1406">
      <c r="A1406" s="141"/>
      <c r="B1406" s="134" t="s">
        <v>18</v>
      </c>
      <c r="C1406" s="134" t="s">
        <v>19</v>
      </c>
      <c r="D1406" s="133" t="s">
        <v>560</v>
      </c>
      <c r="E1406" s="228">
        <v>42966.0</v>
      </c>
      <c r="F1406" s="51" t="str">
        <f t="shared" si="130"/>
        <v>Aug-2017</v>
      </c>
      <c r="G1406" s="129" t="s">
        <v>25</v>
      </c>
      <c r="H1406" s="114" t="s">
        <v>35</v>
      </c>
      <c r="I1406" s="130" t="s">
        <v>355</v>
      </c>
      <c r="J1406" s="114" t="s">
        <v>9</v>
      </c>
      <c r="K1406" s="114" t="s">
        <v>9</v>
      </c>
      <c r="L1406" s="114" t="s">
        <v>24</v>
      </c>
      <c r="M1406" s="114"/>
      <c r="N1406" s="114" t="s">
        <v>98</v>
      </c>
      <c r="O1406" s="202"/>
      <c r="P1406" s="202"/>
      <c r="Q1406" s="203"/>
    </row>
    <row r="1407">
      <c r="A1407" s="107"/>
      <c r="B1407" s="95"/>
      <c r="C1407" s="95"/>
      <c r="D1407" s="95"/>
      <c r="E1407" s="95"/>
      <c r="G1407" s="119"/>
      <c r="I1407" s="23"/>
    </row>
    <row r="1408">
      <c r="A1408" s="133" t="s">
        <v>571</v>
      </c>
      <c r="B1408" s="134" t="s">
        <v>18</v>
      </c>
      <c r="C1408" s="134" t="s">
        <v>427</v>
      </c>
      <c r="D1408" s="133" t="s">
        <v>571</v>
      </c>
      <c r="E1408" s="164">
        <v>42968.0</v>
      </c>
      <c r="F1408" s="70" t="str">
        <f t="shared" ref="F1408:F1422" si="131">TEXT(E1402:E1408, "mmm") &amp; "-" &amp; TEXT(E1402:E1408, "yyyy") </f>
        <v>Aug-2017</v>
      </c>
      <c r="G1408" s="47" t="s">
        <v>20</v>
      </c>
      <c r="H1408" s="47" t="s">
        <v>35</v>
      </c>
      <c r="I1408" s="79" t="s">
        <v>572</v>
      </c>
      <c r="J1408" s="47" t="s">
        <v>9</v>
      </c>
      <c r="K1408" s="47" t="s">
        <v>9</v>
      </c>
      <c r="L1408" s="47" t="s">
        <v>30</v>
      </c>
      <c r="M1408" s="47" t="s">
        <v>30</v>
      </c>
      <c r="N1408" s="47" t="s">
        <v>37</v>
      </c>
      <c r="O1408" s="152"/>
      <c r="P1408" s="152"/>
      <c r="Q1408" s="153"/>
    </row>
    <row r="1409">
      <c r="A1409" s="134" t="s">
        <v>18</v>
      </c>
      <c r="B1409" s="134" t="s">
        <v>18</v>
      </c>
      <c r="C1409" s="134" t="s">
        <v>427</v>
      </c>
      <c r="D1409" s="133" t="s">
        <v>571</v>
      </c>
      <c r="E1409" s="167">
        <v>42968.0</v>
      </c>
      <c r="F1409" s="21" t="str">
        <f t="shared" si="131"/>
        <v>Aug-2017</v>
      </c>
      <c r="G1409" s="17" t="s">
        <v>25</v>
      </c>
      <c r="H1409" s="16" t="s">
        <v>35</v>
      </c>
      <c r="I1409" s="48" t="s">
        <v>572</v>
      </c>
      <c r="J1409" s="16" t="s">
        <v>9</v>
      </c>
      <c r="K1409" s="16" t="s">
        <v>9</v>
      </c>
      <c r="L1409" s="16" t="s">
        <v>30</v>
      </c>
      <c r="M1409" s="16"/>
      <c r="N1409" s="16" t="s">
        <v>37</v>
      </c>
      <c r="O1409" s="101"/>
      <c r="P1409" s="101"/>
      <c r="Q1409" s="102"/>
    </row>
    <row r="1410">
      <c r="A1410" s="134" t="s">
        <v>428</v>
      </c>
      <c r="B1410" s="134" t="s">
        <v>18</v>
      </c>
      <c r="C1410" s="134" t="s">
        <v>427</v>
      </c>
      <c r="D1410" s="133" t="s">
        <v>571</v>
      </c>
      <c r="E1410" s="167">
        <v>42968.0</v>
      </c>
      <c r="F1410" s="21" t="str">
        <f t="shared" si="131"/>
        <v>Aug-2017</v>
      </c>
      <c r="G1410" s="119" t="s">
        <v>20</v>
      </c>
      <c r="H1410" s="119" t="s">
        <v>35</v>
      </c>
      <c r="I1410" s="80" t="s">
        <v>442</v>
      </c>
      <c r="J1410" s="25" t="s">
        <v>71</v>
      </c>
      <c r="K1410" s="25" t="s">
        <v>9</v>
      </c>
      <c r="L1410" s="25" t="s">
        <v>30</v>
      </c>
      <c r="M1410" s="25" t="s">
        <v>24</v>
      </c>
      <c r="N1410" s="25" t="s">
        <v>99</v>
      </c>
      <c r="Q1410" s="99"/>
    </row>
    <row r="1411">
      <c r="A1411" s="168">
        <v>42968.0</v>
      </c>
      <c r="B1411" s="134" t="s">
        <v>18</v>
      </c>
      <c r="C1411" s="134" t="s">
        <v>427</v>
      </c>
      <c r="D1411" s="133" t="s">
        <v>571</v>
      </c>
      <c r="E1411" s="167">
        <v>42968.0</v>
      </c>
      <c r="F1411" s="21" t="str">
        <f t="shared" si="131"/>
        <v>Aug-2017</v>
      </c>
      <c r="G1411" s="91" t="s">
        <v>25</v>
      </c>
      <c r="H1411" s="119" t="s">
        <v>35</v>
      </c>
      <c r="I1411" s="80" t="s">
        <v>442</v>
      </c>
      <c r="J1411" s="25" t="s">
        <v>71</v>
      </c>
      <c r="K1411" s="25" t="s">
        <v>9</v>
      </c>
      <c r="L1411" s="25" t="s">
        <v>24</v>
      </c>
      <c r="M1411" s="25"/>
      <c r="N1411" s="25" t="s">
        <v>37</v>
      </c>
      <c r="Q1411" s="99"/>
    </row>
    <row r="1412">
      <c r="A1412" s="140"/>
      <c r="B1412" s="134" t="s">
        <v>18</v>
      </c>
      <c r="C1412" s="134" t="s">
        <v>427</v>
      </c>
      <c r="D1412" s="133" t="s">
        <v>571</v>
      </c>
      <c r="E1412" s="167">
        <v>42968.0</v>
      </c>
      <c r="F1412" s="21" t="str">
        <f t="shared" si="131"/>
        <v>Aug-2017</v>
      </c>
      <c r="G1412" s="119" t="s">
        <v>32</v>
      </c>
      <c r="H1412" s="119" t="s">
        <v>35</v>
      </c>
      <c r="I1412" s="80" t="s">
        <v>442</v>
      </c>
      <c r="J1412" s="25" t="s">
        <v>71</v>
      </c>
      <c r="K1412" s="25" t="s">
        <v>9</v>
      </c>
      <c r="L1412" s="25" t="s">
        <v>24</v>
      </c>
      <c r="M1412" s="25"/>
      <c r="N1412" s="25" t="s">
        <v>106</v>
      </c>
      <c r="Q1412" s="99"/>
    </row>
    <row r="1413">
      <c r="A1413" s="176" t="s">
        <v>573</v>
      </c>
      <c r="B1413" s="134" t="s">
        <v>18</v>
      </c>
      <c r="C1413" s="134" t="s">
        <v>427</v>
      </c>
      <c r="D1413" s="133" t="s">
        <v>571</v>
      </c>
      <c r="E1413" s="167">
        <v>42968.0</v>
      </c>
      <c r="F1413" s="21" t="str">
        <f t="shared" si="131"/>
        <v>Aug-2017</v>
      </c>
      <c r="G1413" s="16" t="s">
        <v>20</v>
      </c>
      <c r="H1413" s="16" t="s">
        <v>35</v>
      </c>
      <c r="I1413" s="48" t="s">
        <v>302</v>
      </c>
      <c r="J1413" s="16" t="s">
        <v>27</v>
      </c>
      <c r="K1413" s="16" t="s">
        <v>9</v>
      </c>
      <c r="L1413" s="16" t="s">
        <v>30</v>
      </c>
      <c r="M1413" s="16" t="s">
        <v>30</v>
      </c>
      <c r="N1413" s="16" t="s">
        <v>37</v>
      </c>
      <c r="O1413" s="101"/>
      <c r="P1413" s="101"/>
      <c r="Q1413" s="102"/>
    </row>
    <row r="1414">
      <c r="A1414" s="134" t="s">
        <v>427</v>
      </c>
      <c r="B1414" s="134" t="s">
        <v>18</v>
      </c>
      <c r="C1414" s="134" t="s">
        <v>427</v>
      </c>
      <c r="D1414" s="133" t="s">
        <v>571</v>
      </c>
      <c r="E1414" s="167">
        <v>42968.0</v>
      </c>
      <c r="F1414" s="21" t="str">
        <f t="shared" si="131"/>
        <v>Aug-2017</v>
      </c>
      <c r="G1414" s="17" t="s">
        <v>25</v>
      </c>
      <c r="H1414" s="16" t="s">
        <v>35</v>
      </c>
      <c r="I1414" s="48" t="s">
        <v>302</v>
      </c>
      <c r="J1414" s="16" t="s">
        <v>27</v>
      </c>
      <c r="K1414" s="16" t="s">
        <v>9</v>
      </c>
      <c r="L1414" s="16" t="s">
        <v>30</v>
      </c>
      <c r="M1414" s="16"/>
      <c r="N1414" s="16" t="s">
        <v>99</v>
      </c>
      <c r="O1414" s="101"/>
      <c r="P1414" s="101"/>
      <c r="Q1414" s="102"/>
    </row>
    <row r="1415">
      <c r="A1415" s="140"/>
      <c r="B1415" s="134" t="s">
        <v>18</v>
      </c>
      <c r="C1415" s="134" t="s">
        <v>427</v>
      </c>
      <c r="D1415" s="133" t="s">
        <v>571</v>
      </c>
      <c r="E1415" s="167">
        <v>42968.0</v>
      </c>
      <c r="F1415" s="21" t="str">
        <f t="shared" si="131"/>
        <v>Aug-2017</v>
      </c>
      <c r="G1415" s="119" t="s">
        <v>20</v>
      </c>
      <c r="H1415" s="119" t="s">
        <v>35</v>
      </c>
      <c r="I1415" s="80" t="s">
        <v>574</v>
      </c>
      <c r="J1415" s="25" t="s">
        <v>27</v>
      </c>
      <c r="K1415" s="25" t="s">
        <v>9</v>
      </c>
      <c r="L1415" s="25" t="s">
        <v>30</v>
      </c>
      <c r="M1415" s="25" t="s">
        <v>30</v>
      </c>
      <c r="N1415" s="25" t="s">
        <v>98</v>
      </c>
      <c r="Q1415" s="99"/>
    </row>
    <row r="1416">
      <c r="A1416" s="140"/>
      <c r="B1416" s="134" t="s">
        <v>18</v>
      </c>
      <c r="C1416" s="134" t="s">
        <v>427</v>
      </c>
      <c r="D1416" s="133" t="s">
        <v>571</v>
      </c>
      <c r="E1416" s="167">
        <v>42968.0</v>
      </c>
      <c r="F1416" s="21" t="str">
        <f t="shared" si="131"/>
        <v>Aug-2017</v>
      </c>
      <c r="G1416" s="91" t="s">
        <v>25</v>
      </c>
      <c r="H1416" s="119" t="s">
        <v>35</v>
      </c>
      <c r="I1416" s="80" t="s">
        <v>574</v>
      </c>
      <c r="J1416" s="25" t="s">
        <v>71</v>
      </c>
      <c r="K1416" s="25" t="s">
        <v>9</v>
      </c>
      <c r="L1416" s="25" t="s">
        <v>24</v>
      </c>
      <c r="M1416" s="25"/>
      <c r="N1416" s="25" t="s">
        <v>37</v>
      </c>
      <c r="Q1416" s="99"/>
    </row>
    <row r="1417">
      <c r="A1417" s="140"/>
      <c r="B1417" s="134" t="s">
        <v>18</v>
      </c>
      <c r="C1417" s="134" t="s">
        <v>427</v>
      </c>
      <c r="D1417" s="133" t="s">
        <v>571</v>
      </c>
      <c r="E1417" s="167">
        <v>42968.0</v>
      </c>
      <c r="F1417" s="21" t="str">
        <f t="shared" si="131"/>
        <v>Aug-2017</v>
      </c>
      <c r="G1417" s="119" t="s">
        <v>32</v>
      </c>
      <c r="H1417" s="119" t="s">
        <v>35</v>
      </c>
      <c r="I1417" s="80" t="s">
        <v>574</v>
      </c>
      <c r="J1417" s="25" t="s">
        <v>27</v>
      </c>
      <c r="K1417" s="25" t="s">
        <v>9</v>
      </c>
      <c r="L1417" s="25" t="s">
        <v>30</v>
      </c>
      <c r="M1417" s="25"/>
      <c r="N1417" s="25" t="s">
        <v>106</v>
      </c>
      <c r="Q1417" s="99"/>
    </row>
    <row r="1418">
      <c r="A1418" s="140"/>
      <c r="B1418" s="134" t="s">
        <v>18</v>
      </c>
      <c r="C1418" s="134" t="s">
        <v>427</v>
      </c>
      <c r="D1418" s="133" t="s">
        <v>571</v>
      </c>
      <c r="E1418" s="167">
        <v>42968.0</v>
      </c>
      <c r="F1418" s="21" t="str">
        <f t="shared" si="131"/>
        <v>Aug-2017</v>
      </c>
      <c r="G1418" s="16" t="s">
        <v>20</v>
      </c>
      <c r="H1418" s="16" t="s">
        <v>35</v>
      </c>
      <c r="I1418" s="48" t="s">
        <v>226</v>
      </c>
      <c r="J1418" s="16" t="s">
        <v>9</v>
      </c>
      <c r="K1418" s="16" t="s">
        <v>9</v>
      </c>
      <c r="L1418" s="16" t="s">
        <v>24</v>
      </c>
      <c r="M1418" s="16" t="s">
        <v>30</v>
      </c>
      <c r="N1418" s="16" t="s">
        <v>98</v>
      </c>
      <c r="O1418" s="101"/>
      <c r="P1418" s="101"/>
      <c r="Q1418" s="102"/>
    </row>
    <row r="1419">
      <c r="A1419" s="140"/>
      <c r="B1419" s="134" t="s">
        <v>18</v>
      </c>
      <c r="C1419" s="134" t="s">
        <v>427</v>
      </c>
      <c r="D1419" s="133" t="s">
        <v>571</v>
      </c>
      <c r="E1419" s="167">
        <v>42968.0</v>
      </c>
      <c r="F1419" s="21" t="str">
        <f t="shared" si="131"/>
        <v>Aug-2017</v>
      </c>
      <c r="G1419" s="17" t="s">
        <v>25</v>
      </c>
      <c r="H1419" s="16" t="s">
        <v>35</v>
      </c>
      <c r="I1419" s="48" t="s">
        <v>226</v>
      </c>
      <c r="J1419" s="16" t="s">
        <v>9</v>
      </c>
      <c r="K1419" s="16" t="s">
        <v>9</v>
      </c>
      <c r="L1419" s="16" t="s">
        <v>30</v>
      </c>
      <c r="M1419" s="16"/>
      <c r="N1419" s="16" t="s">
        <v>69</v>
      </c>
      <c r="O1419" s="101"/>
      <c r="P1419" s="101"/>
      <c r="Q1419" s="102"/>
    </row>
    <row r="1420">
      <c r="A1420" s="140"/>
      <c r="B1420" s="134" t="s">
        <v>18</v>
      </c>
      <c r="C1420" s="134" t="s">
        <v>427</v>
      </c>
      <c r="D1420" s="133" t="s">
        <v>571</v>
      </c>
      <c r="E1420" s="167">
        <v>42968.0</v>
      </c>
      <c r="F1420" s="21" t="str">
        <f t="shared" si="131"/>
        <v>Aug-2017</v>
      </c>
      <c r="G1420" s="16" t="s">
        <v>32</v>
      </c>
      <c r="H1420" s="16" t="s">
        <v>35</v>
      </c>
      <c r="I1420" s="48" t="s">
        <v>226</v>
      </c>
      <c r="J1420" s="16" t="s">
        <v>9</v>
      </c>
      <c r="K1420" s="16" t="s">
        <v>9</v>
      </c>
      <c r="L1420" s="16" t="s">
        <v>30</v>
      </c>
      <c r="M1420" s="16"/>
      <c r="N1420" s="16" t="s">
        <v>99</v>
      </c>
      <c r="O1420" s="101"/>
      <c r="P1420" s="101"/>
      <c r="Q1420" s="102"/>
    </row>
    <row r="1421">
      <c r="A1421" s="140"/>
      <c r="B1421" s="134" t="s">
        <v>18</v>
      </c>
      <c r="C1421" s="134" t="s">
        <v>427</v>
      </c>
      <c r="D1421" s="133" t="s">
        <v>571</v>
      </c>
      <c r="E1421" s="167">
        <v>42968.0</v>
      </c>
      <c r="F1421" s="21" t="str">
        <f t="shared" si="131"/>
        <v>Aug-2017</v>
      </c>
      <c r="G1421" s="119" t="s">
        <v>20</v>
      </c>
      <c r="H1421" s="119" t="s">
        <v>35</v>
      </c>
      <c r="I1421" s="80" t="s">
        <v>184</v>
      </c>
      <c r="J1421" s="25" t="s">
        <v>44</v>
      </c>
      <c r="K1421" s="25" t="s">
        <v>9</v>
      </c>
      <c r="L1421" s="25" t="s">
        <v>24</v>
      </c>
      <c r="M1421" s="25" t="s">
        <v>24</v>
      </c>
      <c r="N1421" s="25" t="s">
        <v>98</v>
      </c>
      <c r="Q1421" s="99"/>
    </row>
    <row r="1422">
      <c r="A1422" s="141"/>
      <c r="B1422" s="134" t="s">
        <v>18</v>
      </c>
      <c r="C1422" s="134" t="s">
        <v>427</v>
      </c>
      <c r="D1422" s="133" t="s">
        <v>571</v>
      </c>
      <c r="E1422" s="169">
        <v>42968.0</v>
      </c>
      <c r="F1422" s="51" t="str">
        <f t="shared" si="131"/>
        <v>Aug-2017</v>
      </c>
      <c r="G1422" s="129" t="s">
        <v>25</v>
      </c>
      <c r="H1422" s="114" t="s">
        <v>35</v>
      </c>
      <c r="I1422" s="113" t="s">
        <v>184</v>
      </c>
      <c r="J1422" s="55" t="s">
        <v>44</v>
      </c>
      <c r="K1422" s="55" t="s">
        <v>9</v>
      </c>
      <c r="L1422" s="55" t="s">
        <v>24</v>
      </c>
      <c r="M1422" s="55"/>
      <c r="N1422" s="55" t="s">
        <v>37</v>
      </c>
      <c r="O1422" s="143"/>
      <c r="P1422" s="143"/>
      <c r="Q1422" s="144"/>
    </row>
    <row r="1423">
      <c r="A1423" s="107"/>
      <c r="B1423" s="95"/>
      <c r="C1423" s="95"/>
      <c r="D1423" s="95"/>
      <c r="E1423" s="95"/>
      <c r="I1423" s="23"/>
    </row>
    <row r="1424">
      <c r="A1424" s="133" t="s">
        <v>575</v>
      </c>
      <c r="B1424" s="134" t="s">
        <v>18</v>
      </c>
      <c r="C1424" s="134" t="s">
        <v>74</v>
      </c>
      <c r="D1424" s="133" t="s">
        <v>575</v>
      </c>
      <c r="E1424" s="164">
        <v>42972.0</v>
      </c>
      <c r="F1424" s="70" t="str">
        <f t="shared" ref="F1424:F1447" si="132">TEXT(E1418:E1424, "mmm") &amp; "-" &amp; TEXT(E1418:E1424, "yyyy") </f>
        <v>Aug-2017</v>
      </c>
      <c r="G1424" s="47" t="s">
        <v>20</v>
      </c>
      <c r="H1424" s="47" t="s">
        <v>35</v>
      </c>
      <c r="I1424" s="79" t="s">
        <v>576</v>
      </c>
      <c r="J1424" s="47" t="s">
        <v>9</v>
      </c>
      <c r="K1424" s="47" t="s">
        <v>9</v>
      </c>
      <c r="L1424" s="47" t="s">
        <v>30</v>
      </c>
      <c r="M1424" s="47" t="s">
        <v>30</v>
      </c>
      <c r="N1424" s="47" t="s">
        <v>98</v>
      </c>
      <c r="O1424" s="152"/>
      <c r="P1424" s="152"/>
      <c r="Q1424" s="153"/>
    </row>
    <row r="1425">
      <c r="A1425" s="134" t="s">
        <v>18</v>
      </c>
      <c r="B1425" s="134" t="s">
        <v>18</v>
      </c>
      <c r="C1425" s="134" t="s">
        <v>74</v>
      </c>
      <c r="D1425" s="133" t="s">
        <v>575</v>
      </c>
      <c r="E1425" s="167">
        <v>42972.0</v>
      </c>
      <c r="F1425" s="21" t="str">
        <f t="shared" si="132"/>
        <v>Aug-2017</v>
      </c>
      <c r="G1425" s="17" t="s">
        <v>25</v>
      </c>
      <c r="H1425" s="16" t="s">
        <v>35</v>
      </c>
      <c r="I1425" s="48" t="s">
        <v>576</v>
      </c>
      <c r="J1425" s="16" t="s">
        <v>9</v>
      </c>
      <c r="K1425" s="16" t="s">
        <v>9</v>
      </c>
      <c r="L1425" s="16" t="s">
        <v>30</v>
      </c>
      <c r="M1425" s="16"/>
      <c r="N1425" s="16" t="s">
        <v>106</v>
      </c>
      <c r="O1425" s="101"/>
      <c r="P1425" s="101"/>
      <c r="Q1425" s="102"/>
    </row>
    <row r="1426">
      <c r="A1426" s="134" t="s">
        <v>331</v>
      </c>
      <c r="B1426" s="134" t="s">
        <v>18</v>
      </c>
      <c r="C1426" s="134" t="s">
        <v>74</v>
      </c>
      <c r="D1426" s="133" t="s">
        <v>575</v>
      </c>
      <c r="E1426" s="167">
        <v>42972.0</v>
      </c>
      <c r="F1426" s="21" t="str">
        <f t="shared" si="132"/>
        <v>Aug-2017</v>
      </c>
      <c r="G1426" s="119" t="s">
        <v>20</v>
      </c>
      <c r="H1426" s="119" t="s">
        <v>35</v>
      </c>
      <c r="I1426" s="80" t="s">
        <v>47</v>
      </c>
      <c r="J1426" s="25" t="s">
        <v>48</v>
      </c>
      <c r="K1426" s="25" t="s">
        <v>9</v>
      </c>
      <c r="L1426" s="25" t="s">
        <v>24</v>
      </c>
      <c r="M1426" s="25" t="s">
        <v>24</v>
      </c>
      <c r="N1426" s="25" t="s">
        <v>29</v>
      </c>
      <c r="Q1426" s="99"/>
    </row>
    <row r="1427">
      <c r="A1427" s="168">
        <v>42972.0</v>
      </c>
      <c r="B1427" s="134" t="s">
        <v>18</v>
      </c>
      <c r="C1427" s="134" t="s">
        <v>74</v>
      </c>
      <c r="D1427" s="133" t="s">
        <v>575</v>
      </c>
      <c r="E1427" s="167">
        <v>42972.0</v>
      </c>
      <c r="F1427" s="21" t="str">
        <f t="shared" si="132"/>
        <v>Aug-2017</v>
      </c>
      <c r="G1427" s="91" t="s">
        <v>25</v>
      </c>
      <c r="H1427" s="119" t="s">
        <v>35</v>
      </c>
      <c r="I1427" s="80" t="s">
        <v>47</v>
      </c>
      <c r="J1427" s="25" t="s">
        <v>48</v>
      </c>
      <c r="K1427" s="25" t="s">
        <v>9</v>
      </c>
      <c r="L1427" s="25" t="s">
        <v>24</v>
      </c>
      <c r="M1427" s="25"/>
      <c r="N1427" s="25" t="s">
        <v>106</v>
      </c>
      <c r="Q1427" s="99"/>
    </row>
    <row r="1428">
      <c r="A1428" s="176" t="s">
        <v>577</v>
      </c>
      <c r="B1428" s="134" t="s">
        <v>18</v>
      </c>
      <c r="C1428" s="134" t="s">
        <v>74</v>
      </c>
      <c r="D1428" s="133" t="s">
        <v>575</v>
      </c>
      <c r="E1428" s="167">
        <v>42972.0</v>
      </c>
      <c r="F1428" s="21" t="str">
        <f t="shared" si="132"/>
        <v>Aug-2017</v>
      </c>
      <c r="G1428" s="16" t="s">
        <v>20</v>
      </c>
      <c r="H1428" s="16" t="s">
        <v>35</v>
      </c>
      <c r="I1428" s="48" t="s">
        <v>569</v>
      </c>
      <c r="J1428" s="16" t="s">
        <v>44</v>
      </c>
      <c r="K1428" s="16" t="s">
        <v>9</v>
      </c>
      <c r="L1428" s="16" t="s">
        <v>30</v>
      </c>
      <c r="M1428" s="16" t="s">
        <v>30</v>
      </c>
      <c r="N1428" s="16" t="s">
        <v>98</v>
      </c>
      <c r="O1428" s="101"/>
      <c r="P1428" s="101"/>
      <c r="Q1428" s="102"/>
    </row>
    <row r="1429">
      <c r="A1429" s="176" t="s">
        <v>578</v>
      </c>
      <c r="B1429" s="134" t="s">
        <v>18</v>
      </c>
      <c r="C1429" s="134" t="s">
        <v>74</v>
      </c>
      <c r="D1429" s="133" t="s">
        <v>575</v>
      </c>
      <c r="E1429" s="167">
        <v>42972.0</v>
      </c>
      <c r="F1429" s="21" t="str">
        <f t="shared" si="132"/>
        <v>Aug-2017</v>
      </c>
      <c r="G1429" s="17" t="s">
        <v>25</v>
      </c>
      <c r="H1429" s="16" t="s">
        <v>35</v>
      </c>
      <c r="I1429" s="48" t="s">
        <v>569</v>
      </c>
      <c r="J1429" s="16" t="s">
        <v>44</v>
      </c>
      <c r="K1429" s="16" t="s">
        <v>9</v>
      </c>
      <c r="L1429" s="16" t="s">
        <v>30</v>
      </c>
      <c r="M1429" s="16"/>
      <c r="N1429" s="16" t="s">
        <v>98</v>
      </c>
      <c r="O1429" s="101"/>
      <c r="P1429" s="101"/>
      <c r="Q1429" s="102"/>
    </row>
    <row r="1430">
      <c r="A1430" s="134" t="s">
        <v>74</v>
      </c>
      <c r="B1430" s="134" t="s">
        <v>18</v>
      </c>
      <c r="C1430" s="134" t="s">
        <v>74</v>
      </c>
      <c r="D1430" s="133" t="s">
        <v>575</v>
      </c>
      <c r="E1430" s="167">
        <v>42972.0</v>
      </c>
      <c r="F1430" s="21" t="str">
        <f t="shared" si="132"/>
        <v>Aug-2017</v>
      </c>
      <c r="G1430" s="119" t="s">
        <v>20</v>
      </c>
      <c r="H1430" s="119" t="s">
        <v>35</v>
      </c>
      <c r="I1430" s="80" t="s">
        <v>148</v>
      </c>
      <c r="J1430" s="25" t="s">
        <v>9</v>
      </c>
      <c r="K1430" s="25" t="s">
        <v>9</v>
      </c>
      <c r="L1430" s="25" t="s">
        <v>30</v>
      </c>
      <c r="M1430" s="25" t="s">
        <v>30</v>
      </c>
      <c r="N1430" s="25" t="s">
        <v>98</v>
      </c>
      <c r="Q1430" s="99"/>
    </row>
    <row r="1431">
      <c r="A1431" s="140"/>
      <c r="B1431" s="134" t="s">
        <v>18</v>
      </c>
      <c r="C1431" s="134" t="s">
        <v>74</v>
      </c>
      <c r="D1431" s="133" t="s">
        <v>575</v>
      </c>
      <c r="E1431" s="167">
        <v>42972.0</v>
      </c>
      <c r="F1431" s="21" t="str">
        <f t="shared" si="132"/>
        <v>Aug-2017</v>
      </c>
      <c r="G1431" s="91" t="s">
        <v>25</v>
      </c>
      <c r="H1431" s="119" t="s">
        <v>35</v>
      </c>
      <c r="I1431" s="80" t="s">
        <v>148</v>
      </c>
      <c r="J1431" s="25" t="s">
        <v>9</v>
      </c>
      <c r="K1431" s="25" t="s">
        <v>9</v>
      </c>
      <c r="L1431" s="25" t="s">
        <v>30</v>
      </c>
      <c r="M1431" s="25"/>
      <c r="N1431" s="25" t="s">
        <v>98</v>
      </c>
      <c r="Q1431" s="99"/>
    </row>
    <row r="1432">
      <c r="A1432" s="140"/>
      <c r="B1432" s="134" t="s">
        <v>18</v>
      </c>
      <c r="C1432" s="134" t="s">
        <v>74</v>
      </c>
      <c r="D1432" s="133" t="s">
        <v>575</v>
      </c>
      <c r="E1432" s="167">
        <v>42972.0</v>
      </c>
      <c r="F1432" s="21" t="str">
        <f t="shared" si="132"/>
        <v>Aug-2017</v>
      </c>
      <c r="G1432" s="16" t="s">
        <v>20</v>
      </c>
      <c r="H1432" s="16" t="s">
        <v>35</v>
      </c>
      <c r="I1432" s="48" t="s">
        <v>452</v>
      </c>
      <c r="J1432" s="16" t="s">
        <v>27</v>
      </c>
      <c r="K1432" s="16" t="s">
        <v>9</v>
      </c>
      <c r="L1432" s="16" t="s">
        <v>24</v>
      </c>
      <c r="M1432" s="16" t="s">
        <v>24</v>
      </c>
      <c r="N1432" s="16" t="s">
        <v>37</v>
      </c>
      <c r="O1432" s="101"/>
      <c r="P1432" s="101"/>
      <c r="Q1432" s="102"/>
    </row>
    <row r="1433">
      <c r="A1433" s="140"/>
      <c r="B1433" s="134" t="s">
        <v>18</v>
      </c>
      <c r="C1433" s="134" t="s">
        <v>74</v>
      </c>
      <c r="D1433" s="133" t="s">
        <v>575</v>
      </c>
      <c r="E1433" s="167">
        <v>42972.0</v>
      </c>
      <c r="F1433" s="21" t="str">
        <f t="shared" si="132"/>
        <v>Aug-2017</v>
      </c>
      <c r="G1433" s="17" t="s">
        <v>25</v>
      </c>
      <c r="H1433" s="16" t="s">
        <v>35</v>
      </c>
      <c r="I1433" s="48" t="s">
        <v>452</v>
      </c>
      <c r="J1433" s="16" t="s">
        <v>27</v>
      </c>
      <c r="K1433" s="16" t="s">
        <v>9</v>
      </c>
      <c r="L1433" s="16" t="s">
        <v>24</v>
      </c>
      <c r="M1433" s="16"/>
      <c r="N1433" s="16" t="s">
        <v>69</v>
      </c>
      <c r="O1433" s="101"/>
      <c r="P1433" s="101"/>
      <c r="Q1433" s="102"/>
    </row>
    <row r="1434">
      <c r="A1434" s="140"/>
      <c r="B1434" s="134" t="s">
        <v>18</v>
      </c>
      <c r="C1434" s="134" t="s">
        <v>74</v>
      </c>
      <c r="D1434" s="133" t="s">
        <v>575</v>
      </c>
      <c r="E1434" s="167">
        <v>42972.0</v>
      </c>
      <c r="F1434" s="21" t="str">
        <f t="shared" si="132"/>
        <v>Aug-2017</v>
      </c>
      <c r="G1434" s="119" t="s">
        <v>20</v>
      </c>
      <c r="H1434" s="25" t="s">
        <v>278</v>
      </c>
      <c r="I1434" s="80" t="s">
        <v>579</v>
      </c>
      <c r="J1434" s="25" t="s">
        <v>97</v>
      </c>
      <c r="K1434" s="25" t="s">
        <v>9</v>
      </c>
      <c r="L1434" s="25" t="s">
        <v>30</v>
      </c>
      <c r="M1434" s="25" t="s">
        <v>30</v>
      </c>
      <c r="N1434" s="25" t="s">
        <v>29</v>
      </c>
      <c r="Q1434" s="99"/>
    </row>
    <row r="1435">
      <c r="A1435" s="140"/>
      <c r="B1435" s="134" t="s">
        <v>18</v>
      </c>
      <c r="C1435" s="134" t="s">
        <v>74</v>
      </c>
      <c r="D1435" s="133" t="s">
        <v>575</v>
      </c>
      <c r="E1435" s="167">
        <v>42972.0</v>
      </c>
      <c r="F1435" s="21" t="str">
        <f t="shared" si="132"/>
        <v>Aug-2017</v>
      </c>
      <c r="G1435" s="91" t="s">
        <v>25</v>
      </c>
      <c r="H1435" s="25" t="s">
        <v>278</v>
      </c>
      <c r="I1435" s="80" t="s">
        <v>579</v>
      </c>
      <c r="J1435" s="25" t="s">
        <v>97</v>
      </c>
      <c r="K1435" s="25" t="s">
        <v>9</v>
      </c>
      <c r="L1435" s="25" t="s">
        <v>30</v>
      </c>
      <c r="M1435" s="25"/>
      <c r="N1435" s="25" t="s">
        <v>99</v>
      </c>
      <c r="Q1435" s="99"/>
    </row>
    <row r="1436">
      <c r="A1436" s="140"/>
      <c r="B1436" s="134" t="s">
        <v>18</v>
      </c>
      <c r="C1436" s="134" t="s">
        <v>74</v>
      </c>
      <c r="D1436" s="133" t="s">
        <v>575</v>
      </c>
      <c r="E1436" s="167">
        <v>42972.0</v>
      </c>
      <c r="F1436" s="21" t="str">
        <f t="shared" si="132"/>
        <v>Aug-2017</v>
      </c>
      <c r="G1436" s="16" t="s">
        <v>20</v>
      </c>
      <c r="H1436" s="16" t="s">
        <v>278</v>
      </c>
      <c r="I1436" s="48" t="s">
        <v>407</v>
      </c>
      <c r="J1436" s="16" t="s">
        <v>44</v>
      </c>
      <c r="K1436" s="16" t="s">
        <v>9</v>
      </c>
      <c r="L1436" s="16" t="s">
        <v>24</v>
      </c>
      <c r="M1436" s="16" t="s">
        <v>30</v>
      </c>
      <c r="N1436" s="16" t="s">
        <v>98</v>
      </c>
      <c r="O1436" s="101"/>
      <c r="P1436" s="101"/>
      <c r="Q1436" s="102"/>
    </row>
    <row r="1437">
      <c r="A1437" s="140"/>
      <c r="B1437" s="134" t="s">
        <v>18</v>
      </c>
      <c r="C1437" s="134" t="s">
        <v>74</v>
      </c>
      <c r="D1437" s="133" t="s">
        <v>575</v>
      </c>
      <c r="E1437" s="167">
        <v>42972.0</v>
      </c>
      <c r="F1437" s="21" t="str">
        <f t="shared" si="132"/>
        <v>Aug-2017</v>
      </c>
      <c r="G1437" s="17" t="s">
        <v>25</v>
      </c>
      <c r="H1437" s="16" t="s">
        <v>278</v>
      </c>
      <c r="I1437" s="48" t="s">
        <v>407</v>
      </c>
      <c r="J1437" s="16" t="s">
        <v>44</v>
      </c>
      <c r="K1437" s="16" t="s">
        <v>9</v>
      </c>
      <c r="L1437" s="16" t="s">
        <v>30</v>
      </c>
      <c r="M1437" s="16"/>
      <c r="N1437" s="16" t="s">
        <v>106</v>
      </c>
      <c r="O1437" s="101"/>
      <c r="P1437" s="101"/>
      <c r="Q1437" s="102"/>
    </row>
    <row r="1438">
      <c r="A1438" s="140"/>
      <c r="B1438" s="134" t="s">
        <v>18</v>
      </c>
      <c r="C1438" s="134" t="s">
        <v>74</v>
      </c>
      <c r="D1438" s="133" t="s">
        <v>575</v>
      </c>
      <c r="E1438" s="167">
        <v>42972.0</v>
      </c>
      <c r="F1438" s="21" t="str">
        <f t="shared" si="132"/>
        <v>Aug-2017</v>
      </c>
      <c r="G1438" s="16" t="s">
        <v>32</v>
      </c>
      <c r="H1438" s="16" t="s">
        <v>278</v>
      </c>
      <c r="I1438" s="48" t="s">
        <v>407</v>
      </c>
      <c r="J1438" s="16" t="s">
        <v>44</v>
      </c>
      <c r="K1438" s="16" t="s">
        <v>9</v>
      </c>
      <c r="L1438" s="16" t="s">
        <v>30</v>
      </c>
      <c r="M1438" s="16"/>
      <c r="N1438" s="16" t="s">
        <v>69</v>
      </c>
      <c r="O1438" s="101"/>
      <c r="P1438" s="101"/>
      <c r="Q1438" s="102"/>
    </row>
    <row r="1439">
      <c r="A1439" s="140"/>
      <c r="B1439" s="134" t="s">
        <v>18</v>
      </c>
      <c r="C1439" s="134" t="s">
        <v>74</v>
      </c>
      <c r="D1439" s="133" t="s">
        <v>575</v>
      </c>
      <c r="E1439" s="167">
        <v>42972.0</v>
      </c>
      <c r="F1439" s="21" t="str">
        <f t="shared" si="132"/>
        <v>Aug-2017</v>
      </c>
      <c r="G1439" s="119" t="s">
        <v>20</v>
      </c>
      <c r="H1439" s="25" t="s">
        <v>278</v>
      </c>
      <c r="I1439" s="80" t="s">
        <v>500</v>
      </c>
      <c r="J1439" s="25" t="s">
        <v>23</v>
      </c>
      <c r="K1439" s="25" t="s">
        <v>9</v>
      </c>
      <c r="L1439" s="25" t="s">
        <v>30</v>
      </c>
      <c r="M1439" s="25" t="s">
        <v>30</v>
      </c>
      <c r="N1439" s="25" t="s">
        <v>69</v>
      </c>
      <c r="Q1439" s="99"/>
    </row>
    <row r="1440">
      <c r="A1440" s="140"/>
      <c r="B1440" s="134" t="s">
        <v>18</v>
      </c>
      <c r="C1440" s="134" t="s">
        <v>74</v>
      </c>
      <c r="D1440" s="133" t="s">
        <v>575</v>
      </c>
      <c r="E1440" s="167">
        <v>42972.0</v>
      </c>
      <c r="F1440" s="21" t="str">
        <f t="shared" si="132"/>
        <v>Aug-2017</v>
      </c>
      <c r="G1440" s="91" t="s">
        <v>25</v>
      </c>
      <c r="H1440" s="25" t="s">
        <v>278</v>
      </c>
      <c r="I1440" s="80" t="s">
        <v>500</v>
      </c>
      <c r="J1440" s="25" t="s">
        <v>23</v>
      </c>
      <c r="K1440" s="25" t="s">
        <v>9</v>
      </c>
      <c r="L1440" s="25" t="s">
        <v>24</v>
      </c>
      <c r="M1440" s="25"/>
      <c r="N1440" s="25" t="s">
        <v>98</v>
      </c>
      <c r="Q1440" s="99"/>
    </row>
    <row r="1441">
      <c r="A1441" s="140"/>
      <c r="B1441" s="134" t="s">
        <v>18</v>
      </c>
      <c r="C1441" s="134" t="s">
        <v>74</v>
      </c>
      <c r="D1441" s="133" t="s">
        <v>575</v>
      </c>
      <c r="E1441" s="167">
        <v>42972.0</v>
      </c>
      <c r="F1441" s="21" t="str">
        <f t="shared" si="132"/>
        <v>Aug-2017</v>
      </c>
      <c r="G1441" s="119" t="s">
        <v>32</v>
      </c>
      <c r="H1441" s="25" t="s">
        <v>278</v>
      </c>
      <c r="I1441" s="80" t="s">
        <v>500</v>
      </c>
      <c r="J1441" s="25" t="s">
        <v>23</v>
      </c>
      <c r="K1441" s="25" t="s">
        <v>9</v>
      </c>
      <c r="L1441" s="25" t="s">
        <v>30</v>
      </c>
      <c r="M1441" s="25"/>
      <c r="N1441" s="25" t="s">
        <v>106</v>
      </c>
      <c r="Q1441" s="99"/>
    </row>
    <row r="1442">
      <c r="A1442" s="140"/>
      <c r="B1442" s="134" t="s">
        <v>18</v>
      </c>
      <c r="C1442" s="134" t="s">
        <v>74</v>
      </c>
      <c r="D1442" s="133" t="s">
        <v>575</v>
      </c>
      <c r="E1442" s="167">
        <v>42972.0</v>
      </c>
      <c r="F1442" s="21" t="str">
        <f t="shared" si="132"/>
        <v>Aug-2017</v>
      </c>
      <c r="G1442" s="16" t="s">
        <v>20</v>
      </c>
      <c r="H1442" s="16" t="s">
        <v>278</v>
      </c>
      <c r="I1442" s="48" t="s">
        <v>393</v>
      </c>
      <c r="J1442" s="16" t="s">
        <v>102</v>
      </c>
      <c r="K1442" s="16" t="s">
        <v>9</v>
      </c>
      <c r="L1442" s="16" t="s">
        <v>30</v>
      </c>
      <c r="M1442" s="16" t="s">
        <v>30</v>
      </c>
      <c r="N1442" s="16" t="s">
        <v>98</v>
      </c>
      <c r="O1442" s="101"/>
      <c r="P1442" s="101"/>
      <c r="Q1442" s="102"/>
    </row>
    <row r="1443">
      <c r="A1443" s="140"/>
      <c r="B1443" s="134" t="s">
        <v>18</v>
      </c>
      <c r="C1443" s="134" t="s">
        <v>74</v>
      </c>
      <c r="D1443" s="133" t="s">
        <v>575</v>
      </c>
      <c r="E1443" s="167">
        <v>42972.0</v>
      </c>
      <c r="F1443" s="21" t="str">
        <f t="shared" si="132"/>
        <v>Aug-2017</v>
      </c>
      <c r="G1443" s="17" t="s">
        <v>25</v>
      </c>
      <c r="H1443" s="16" t="s">
        <v>278</v>
      </c>
      <c r="I1443" s="48" t="s">
        <v>393</v>
      </c>
      <c r="J1443" s="16" t="s">
        <v>102</v>
      </c>
      <c r="K1443" s="16" t="s">
        <v>9</v>
      </c>
      <c r="L1443" s="16" t="s">
        <v>30</v>
      </c>
      <c r="M1443" s="16"/>
      <c r="N1443" s="16" t="s">
        <v>37</v>
      </c>
      <c r="O1443" s="101"/>
      <c r="P1443" s="101"/>
      <c r="Q1443" s="102"/>
    </row>
    <row r="1444">
      <c r="A1444" s="140"/>
      <c r="B1444" s="134" t="s">
        <v>18</v>
      </c>
      <c r="C1444" s="134" t="s">
        <v>74</v>
      </c>
      <c r="D1444" s="133" t="s">
        <v>575</v>
      </c>
      <c r="E1444" s="167">
        <v>42972.0</v>
      </c>
      <c r="F1444" s="21" t="str">
        <f t="shared" si="132"/>
        <v>Aug-2017</v>
      </c>
      <c r="G1444" s="119" t="s">
        <v>20</v>
      </c>
      <c r="H1444" s="25" t="s">
        <v>278</v>
      </c>
      <c r="I1444" s="80" t="s">
        <v>393</v>
      </c>
      <c r="J1444" s="25" t="s">
        <v>102</v>
      </c>
      <c r="K1444" s="25" t="s">
        <v>9</v>
      </c>
      <c r="L1444" s="25" t="s">
        <v>24</v>
      </c>
      <c r="M1444" s="25" t="s">
        <v>24</v>
      </c>
      <c r="N1444" s="25" t="s">
        <v>98</v>
      </c>
      <c r="Q1444" s="99"/>
    </row>
    <row r="1445">
      <c r="A1445" s="140"/>
      <c r="B1445" s="134" t="s">
        <v>18</v>
      </c>
      <c r="C1445" s="134" t="s">
        <v>74</v>
      </c>
      <c r="D1445" s="133" t="s">
        <v>575</v>
      </c>
      <c r="E1445" s="167">
        <v>42972.0</v>
      </c>
      <c r="F1445" s="21" t="str">
        <f t="shared" si="132"/>
        <v>Aug-2017</v>
      </c>
      <c r="G1445" s="91" t="s">
        <v>25</v>
      </c>
      <c r="H1445" s="25" t="s">
        <v>278</v>
      </c>
      <c r="I1445" s="80" t="s">
        <v>393</v>
      </c>
      <c r="J1445" s="25" t="s">
        <v>102</v>
      </c>
      <c r="K1445" s="25" t="s">
        <v>9</v>
      </c>
      <c r="L1445" s="25" t="s">
        <v>24</v>
      </c>
      <c r="M1445" s="25"/>
      <c r="N1445" s="25" t="s">
        <v>106</v>
      </c>
      <c r="Q1445" s="99"/>
    </row>
    <row r="1446">
      <c r="A1446" s="140"/>
      <c r="B1446" s="134" t="s">
        <v>18</v>
      </c>
      <c r="C1446" s="134" t="s">
        <v>74</v>
      </c>
      <c r="D1446" s="133" t="s">
        <v>575</v>
      </c>
      <c r="E1446" s="167">
        <v>42972.0</v>
      </c>
      <c r="F1446" s="21" t="str">
        <f t="shared" si="132"/>
        <v>Aug-2017</v>
      </c>
      <c r="G1446" s="16" t="s">
        <v>20</v>
      </c>
      <c r="H1446" s="16" t="s">
        <v>278</v>
      </c>
      <c r="I1446" s="48" t="s">
        <v>393</v>
      </c>
      <c r="J1446" s="16" t="s">
        <v>102</v>
      </c>
      <c r="K1446" s="16" t="s">
        <v>9</v>
      </c>
      <c r="L1446" s="16" t="s">
        <v>30</v>
      </c>
      <c r="M1446" s="16" t="s">
        <v>30</v>
      </c>
      <c r="N1446" s="16" t="s">
        <v>98</v>
      </c>
      <c r="O1446" s="101"/>
      <c r="P1446" s="101"/>
      <c r="Q1446" s="102"/>
    </row>
    <row r="1447">
      <c r="A1447" s="141"/>
      <c r="B1447" s="134" t="s">
        <v>18</v>
      </c>
      <c r="C1447" s="134" t="s">
        <v>74</v>
      </c>
      <c r="D1447" s="133" t="s">
        <v>575</v>
      </c>
      <c r="E1447" s="169">
        <v>42972.0</v>
      </c>
      <c r="F1447" s="51" t="str">
        <f t="shared" si="132"/>
        <v>Aug-2017</v>
      </c>
      <c r="G1447" s="93" t="s">
        <v>25</v>
      </c>
      <c r="H1447" s="38" t="s">
        <v>278</v>
      </c>
      <c r="I1447" s="122" t="s">
        <v>393</v>
      </c>
      <c r="J1447" s="38" t="s">
        <v>102</v>
      </c>
      <c r="K1447" s="38" t="s">
        <v>9</v>
      </c>
      <c r="L1447" s="38" t="s">
        <v>30</v>
      </c>
      <c r="M1447" s="38"/>
      <c r="N1447" s="38" t="s">
        <v>98</v>
      </c>
      <c r="O1447" s="105"/>
      <c r="P1447" s="105"/>
      <c r="Q1447" s="106"/>
    </row>
    <row r="1448">
      <c r="A1448" s="107"/>
      <c r="B1448" s="167"/>
      <c r="C1448" s="167"/>
      <c r="D1448" s="167"/>
      <c r="E1448" s="167"/>
      <c r="I1448" s="23"/>
    </row>
    <row r="1449">
      <c r="A1449" s="133" t="s">
        <v>580</v>
      </c>
      <c r="B1449" s="134" t="s">
        <v>527</v>
      </c>
      <c r="C1449" s="134" t="s">
        <v>74</v>
      </c>
      <c r="D1449" s="133" t="s">
        <v>580</v>
      </c>
      <c r="E1449" s="164">
        <v>42976.0</v>
      </c>
      <c r="F1449" s="70" t="str">
        <f t="shared" ref="F1449:F1463" si="133">TEXT(E1443:E1449, "mmm") &amp; "-" &amp; TEXT(E1443:E1449, "yyyy") </f>
        <v>Aug-2017</v>
      </c>
      <c r="G1449" s="218" t="s">
        <v>20</v>
      </c>
      <c r="H1449" s="73" t="s">
        <v>35</v>
      </c>
      <c r="I1449" s="86" t="s">
        <v>167</v>
      </c>
      <c r="J1449" s="73" t="s">
        <v>139</v>
      </c>
      <c r="K1449" s="73" t="s">
        <v>9</v>
      </c>
      <c r="L1449" s="73" t="s">
        <v>30</v>
      </c>
      <c r="M1449" s="73" t="s">
        <v>30</v>
      </c>
      <c r="N1449" s="73" t="s">
        <v>37</v>
      </c>
      <c r="O1449" s="165"/>
      <c r="P1449" s="165"/>
      <c r="Q1449" s="166"/>
    </row>
    <row r="1450">
      <c r="A1450" s="134" t="s">
        <v>527</v>
      </c>
      <c r="B1450" s="134" t="s">
        <v>527</v>
      </c>
      <c r="C1450" s="134" t="s">
        <v>74</v>
      </c>
      <c r="D1450" s="133" t="s">
        <v>580</v>
      </c>
      <c r="E1450" s="167">
        <v>42976.0</v>
      </c>
      <c r="F1450" s="21" t="str">
        <f t="shared" si="133"/>
        <v>Aug-2017</v>
      </c>
      <c r="G1450" s="91" t="s">
        <v>25</v>
      </c>
      <c r="H1450" s="25" t="s">
        <v>35</v>
      </c>
      <c r="I1450" s="80" t="s">
        <v>167</v>
      </c>
      <c r="J1450" s="25" t="s">
        <v>139</v>
      </c>
      <c r="K1450" s="25" t="s">
        <v>9</v>
      </c>
      <c r="L1450" s="25" t="s">
        <v>30</v>
      </c>
      <c r="M1450" s="25"/>
      <c r="N1450" s="25" t="s">
        <v>99</v>
      </c>
      <c r="Q1450" s="99"/>
    </row>
    <row r="1451">
      <c r="A1451" s="134" t="s">
        <v>529</v>
      </c>
      <c r="B1451" s="134" t="s">
        <v>527</v>
      </c>
      <c r="C1451" s="134" t="s">
        <v>74</v>
      </c>
      <c r="D1451" s="133" t="s">
        <v>580</v>
      </c>
      <c r="E1451" s="167">
        <v>42976.0</v>
      </c>
      <c r="F1451" s="21" t="str">
        <f t="shared" si="133"/>
        <v>Aug-2017</v>
      </c>
      <c r="G1451" s="229" t="s">
        <v>20</v>
      </c>
      <c r="H1451" s="229" t="s">
        <v>35</v>
      </c>
      <c r="I1451" s="230" t="s">
        <v>148</v>
      </c>
      <c r="J1451" s="229" t="s">
        <v>27</v>
      </c>
      <c r="K1451" s="229" t="s">
        <v>9</v>
      </c>
      <c r="L1451" s="229" t="s">
        <v>24</v>
      </c>
      <c r="M1451" s="229" t="s">
        <v>24</v>
      </c>
      <c r="N1451" s="229" t="s">
        <v>98</v>
      </c>
      <c r="O1451" s="231"/>
      <c r="P1451" s="231"/>
      <c r="Q1451" s="232"/>
    </row>
    <row r="1452">
      <c r="A1452" s="168">
        <v>42976.0</v>
      </c>
      <c r="B1452" s="134" t="s">
        <v>527</v>
      </c>
      <c r="C1452" s="134" t="s">
        <v>74</v>
      </c>
      <c r="D1452" s="133" t="s">
        <v>580</v>
      </c>
      <c r="E1452" s="167">
        <v>42976.0</v>
      </c>
      <c r="F1452" s="21" t="str">
        <f t="shared" si="133"/>
        <v>Aug-2017</v>
      </c>
      <c r="G1452" s="233" t="s">
        <v>25</v>
      </c>
      <c r="H1452" s="229" t="s">
        <v>35</v>
      </c>
      <c r="I1452" s="230" t="s">
        <v>148</v>
      </c>
      <c r="J1452" s="229" t="s">
        <v>27</v>
      </c>
      <c r="K1452" s="229" t="s">
        <v>9</v>
      </c>
      <c r="L1452" s="229" t="s">
        <v>24</v>
      </c>
      <c r="M1452" s="229"/>
      <c r="N1452" s="229" t="s">
        <v>98</v>
      </c>
      <c r="O1452" s="231"/>
      <c r="P1452" s="231"/>
      <c r="Q1452" s="232"/>
    </row>
    <row r="1453">
      <c r="A1453" s="176" t="s">
        <v>581</v>
      </c>
      <c r="B1453" s="134" t="s">
        <v>527</v>
      </c>
      <c r="C1453" s="134" t="s">
        <v>74</v>
      </c>
      <c r="D1453" s="133" t="s">
        <v>580</v>
      </c>
      <c r="E1453" s="167">
        <v>42976.0</v>
      </c>
      <c r="F1453" s="21" t="str">
        <f t="shared" si="133"/>
        <v>Aug-2017</v>
      </c>
      <c r="G1453" s="119" t="s">
        <v>20</v>
      </c>
      <c r="H1453" s="25" t="s">
        <v>35</v>
      </c>
      <c r="I1453" s="80" t="s">
        <v>401</v>
      </c>
      <c r="J1453" s="25" t="s">
        <v>27</v>
      </c>
      <c r="K1453" s="25" t="s">
        <v>9</v>
      </c>
      <c r="L1453" s="25" t="s">
        <v>30</v>
      </c>
      <c r="M1453" s="25" t="s">
        <v>30</v>
      </c>
      <c r="N1453" s="25" t="s">
        <v>98</v>
      </c>
      <c r="Q1453" s="99"/>
    </row>
    <row r="1454">
      <c r="A1454" s="134" t="s">
        <v>74</v>
      </c>
      <c r="B1454" s="134" t="s">
        <v>527</v>
      </c>
      <c r="C1454" s="134" t="s">
        <v>74</v>
      </c>
      <c r="D1454" s="133" t="s">
        <v>580</v>
      </c>
      <c r="E1454" s="167">
        <v>42976.0</v>
      </c>
      <c r="F1454" s="21" t="str">
        <f t="shared" si="133"/>
        <v>Aug-2017</v>
      </c>
      <c r="G1454" s="91" t="s">
        <v>25</v>
      </c>
      <c r="H1454" s="25" t="s">
        <v>35</v>
      </c>
      <c r="I1454" s="80" t="s">
        <v>401</v>
      </c>
      <c r="J1454" s="25" t="s">
        <v>27</v>
      </c>
      <c r="K1454" s="25" t="s">
        <v>9</v>
      </c>
      <c r="L1454" s="25" t="s">
        <v>30</v>
      </c>
      <c r="M1454" s="25"/>
      <c r="N1454" s="25" t="s">
        <v>106</v>
      </c>
      <c r="Q1454" s="99"/>
    </row>
    <row r="1455">
      <c r="A1455" s="140"/>
      <c r="B1455" s="134" t="s">
        <v>527</v>
      </c>
      <c r="C1455" s="134" t="s">
        <v>74</v>
      </c>
      <c r="D1455" s="133" t="s">
        <v>580</v>
      </c>
      <c r="E1455" s="167">
        <v>42976.0</v>
      </c>
      <c r="F1455" s="21" t="str">
        <f t="shared" si="133"/>
        <v>Aug-2017</v>
      </c>
      <c r="G1455" s="229" t="s">
        <v>20</v>
      </c>
      <c r="H1455" s="229" t="s">
        <v>35</v>
      </c>
      <c r="I1455" s="230" t="s">
        <v>407</v>
      </c>
      <c r="J1455" s="229" t="s">
        <v>44</v>
      </c>
      <c r="K1455" s="229" t="s">
        <v>9</v>
      </c>
      <c r="L1455" s="229" t="s">
        <v>30</v>
      </c>
      <c r="M1455" s="229" t="s">
        <v>30</v>
      </c>
      <c r="N1455" s="229" t="s">
        <v>69</v>
      </c>
      <c r="O1455" s="231"/>
      <c r="P1455" s="231"/>
      <c r="Q1455" s="232"/>
    </row>
    <row r="1456">
      <c r="A1456" s="140"/>
      <c r="B1456" s="134" t="s">
        <v>527</v>
      </c>
      <c r="C1456" s="134" t="s">
        <v>74</v>
      </c>
      <c r="D1456" s="133" t="s">
        <v>580</v>
      </c>
      <c r="E1456" s="167">
        <v>42976.0</v>
      </c>
      <c r="F1456" s="21" t="str">
        <f t="shared" si="133"/>
        <v>Aug-2017</v>
      </c>
      <c r="G1456" s="233" t="s">
        <v>25</v>
      </c>
      <c r="H1456" s="229" t="s">
        <v>35</v>
      </c>
      <c r="I1456" s="230" t="s">
        <v>407</v>
      </c>
      <c r="J1456" s="229" t="s">
        <v>44</v>
      </c>
      <c r="K1456" s="229" t="s">
        <v>9</v>
      </c>
      <c r="L1456" s="229" t="s">
        <v>30</v>
      </c>
      <c r="M1456" s="229"/>
      <c r="N1456" s="229" t="s">
        <v>98</v>
      </c>
      <c r="O1456" s="231"/>
      <c r="P1456" s="231"/>
      <c r="Q1456" s="232"/>
    </row>
    <row r="1457">
      <c r="A1457" s="140"/>
      <c r="B1457" s="134" t="s">
        <v>527</v>
      </c>
      <c r="C1457" s="134" t="s">
        <v>74</v>
      </c>
      <c r="D1457" s="133" t="s">
        <v>580</v>
      </c>
      <c r="E1457" s="167">
        <v>42976.0</v>
      </c>
      <c r="F1457" s="21" t="str">
        <f t="shared" si="133"/>
        <v>Aug-2017</v>
      </c>
      <c r="G1457" s="119" t="s">
        <v>20</v>
      </c>
      <c r="H1457" s="25" t="s">
        <v>35</v>
      </c>
      <c r="I1457" s="80" t="s">
        <v>393</v>
      </c>
      <c r="J1457" s="25" t="s">
        <v>102</v>
      </c>
      <c r="K1457" s="25" t="s">
        <v>9</v>
      </c>
      <c r="L1457" s="25" t="s">
        <v>30</v>
      </c>
      <c r="M1457" s="25" t="s">
        <v>30</v>
      </c>
      <c r="N1457" s="25" t="s">
        <v>98</v>
      </c>
      <c r="Q1457" s="99"/>
    </row>
    <row r="1458">
      <c r="A1458" s="140"/>
      <c r="B1458" s="134" t="s">
        <v>527</v>
      </c>
      <c r="C1458" s="134" t="s">
        <v>74</v>
      </c>
      <c r="D1458" s="133" t="s">
        <v>580</v>
      </c>
      <c r="E1458" s="167">
        <v>42976.0</v>
      </c>
      <c r="F1458" s="21" t="str">
        <f t="shared" si="133"/>
        <v>Aug-2017</v>
      </c>
      <c r="G1458" s="91" t="s">
        <v>25</v>
      </c>
      <c r="H1458" s="25" t="s">
        <v>35</v>
      </c>
      <c r="I1458" s="80" t="s">
        <v>393</v>
      </c>
      <c r="J1458" s="25" t="s">
        <v>102</v>
      </c>
      <c r="K1458" s="25" t="s">
        <v>9</v>
      </c>
      <c r="L1458" s="25" t="s">
        <v>24</v>
      </c>
      <c r="M1458" s="25"/>
      <c r="N1458" s="25" t="s">
        <v>99</v>
      </c>
      <c r="Q1458" s="99"/>
    </row>
    <row r="1459">
      <c r="A1459" s="140"/>
      <c r="B1459" s="134" t="s">
        <v>527</v>
      </c>
      <c r="C1459" s="134" t="s">
        <v>74</v>
      </c>
      <c r="D1459" s="133" t="s">
        <v>580</v>
      </c>
      <c r="E1459" s="167">
        <v>42976.0</v>
      </c>
      <c r="F1459" s="21" t="str">
        <f t="shared" si="133"/>
        <v>Aug-2017</v>
      </c>
      <c r="G1459" s="119" t="s">
        <v>32</v>
      </c>
      <c r="H1459" s="25" t="s">
        <v>35</v>
      </c>
      <c r="I1459" s="80" t="s">
        <v>393</v>
      </c>
      <c r="J1459" s="25" t="s">
        <v>102</v>
      </c>
      <c r="K1459" s="25" t="s">
        <v>9</v>
      </c>
      <c r="L1459" s="25" t="s">
        <v>30</v>
      </c>
      <c r="M1459" s="25"/>
      <c r="N1459" s="25" t="s">
        <v>106</v>
      </c>
      <c r="Q1459" s="99"/>
    </row>
    <row r="1460">
      <c r="A1460" s="140"/>
      <c r="B1460" s="134" t="s">
        <v>527</v>
      </c>
      <c r="C1460" s="134" t="s">
        <v>74</v>
      </c>
      <c r="D1460" s="133" t="s">
        <v>580</v>
      </c>
      <c r="E1460" s="167">
        <v>42976.0</v>
      </c>
      <c r="F1460" s="21" t="str">
        <f t="shared" si="133"/>
        <v>Aug-2017</v>
      </c>
      <c r="G1460" s="229" t="s">
        <v>146</v>
      </c>
      <c r="H1460" s="229" t="s">
        <v>35</v>
      </c>
      <c r="I1460" s="230" t="s">
        <v>360</v>
      </c>
      <c r="J1460" s="229" t="s">
        <v>216</v>
      </c>
      <c r="K1460" s="229" t="s">
        <v>9</v>
      </c>
      <c r="L1460" s="229" t="s">
        <v>30</v>
      </c>
      <c r="M1460" s="229" t="s">
        <v>24</v>
      </c>
      <c r="N1460" s="229" t="s">
        <v>98</v>
      </c>
      <c r="O1460" s="231"/>
      <c r="P1460" s="231"/>
      <c r="Q1460" s="232"/>
    </row>
    <row r="1461">
      <c r="A1461" s="140"/>
      <c r="B1461" s="134" t="s">
        <v>527</v>
      </c>
      <c r="C1461" s="134" t="s">
        <v>74</v>
      </c>
      <c r="D1461" s="133" t="s">
        <v>580</v>
      </c>
      <c r="E1461" s="167">
        <v>42976.0</v>
      </c>
      <c r="F1461" s="21" t="str">
        <f t="shared" si="133"/>
        <v>Aug-2017</v>
      </c>
      <c r="G1461" s="229" t="s">
        <v>149</v>
      </c>
      <c r="H1461" s="229" t="s">
        <v>35</v>
      </c>
      <c r="I1461" s="230" t="s">
        <v>360</v>
      </c>
      <c r="J1461" s="229" t="s">
        <v>216</v>
      </c>
      <c r="K1461" s="229" t="s">
        <v>9</v>
      </c>
      <c r="L1461" s="229" t="s">
        <v>24</v>
      </c>
      <c r="M1461" s="229"/>
      <c r="N1461" s="229" t="s">
        <v>29</v>
      </c>
      <c r="O1461" s="231"/>
      <c r="P1461" s="231"/>
      <c r="Q1461" s="232"/>
    </row>
    <row r="1462">
      <c r="A1462" s="140"/>
      <c r="B1462" s="134" t="s">
        <v>527</v>
      </c>
      <c r="C1462" s="134" t="s">
        <v>74</v>
      </c>
      <c r="D1462" s="133" t="s">
        <v>580</v>
      </c>
      <c r="E1462" s="167">
        <v>42976.0</v>
      </c>
      <c r="F1462" s="21" t="str">
        <f t="shared" si="133"/>
        <v>Aug-2017</v>
      </c>
      <c r="G1462" s="229" t="s">
        <v>222</v>
      </c>
      <c r="H1462" s="229" t="s">
        <v>35</v>
      </c>
      <c r="I1462" s="230" t="s">
        <v>360</v>
      </c>
      <c r="J1462" s="229" t="s">
        <v>216</v>
      </c>
      <c r="K1462" s="229" t="s">
        <v>9</v>
      </c>
      <c r="L1462" s="229" t="s">
        <v>24</v>
      </c>
      <c r="M1462" s="229"/>
      <c r="N1462" s="229" t="s">
        <v>69</v>
      </c>
      <c r="O1462" s="231"/>
      <c r="P1462" s="231"/>
      <c r="Q1462" s="232"/>
    </row>
    <row r="1463">
      <c r="A1463" s="141"/>
      <c r="B1463" s="134" t="s">
        <v>527</v>
      </c>
      <c r="C1463" s="134" t="s">
        <v>74</v>
      </c>
      <c r="D1463" s="133" t="s">
        <v>580</v>
      </c>
      <c r="E1463" s="169">
        <v>42976.0</v>
      </c>
      <c r="F1463" s="51" t="str">
        <f t="shared" si="133"/>
        <v>Aug-2017</v>
      </c>
      <c r="G1463" s="234" t="s">
        <v>467</v>
      </c>
      <c r="H1463" s="234" t="s">
        <v>35</v>
      </c>
      <c r="I1463" s="235" t="s">
        <v>360</v>
      </c>
      <c r="J1463" s="234" t="s">
        <v>216</v>
      </c>
      <c r="K1463" s="234" t="s">
        <v>9</v>
      </c>
      <c r="L1463" s="234" t="s">
        <v>24</v>
      </c>
      <c r="M1463" s="234"/>
      <c r="N1463" s="234" t="s">
        <v>69</v>
      </c>
      <c r="O1463" s="236"/>
      <c r="P1463" s="236"/>
      <c r="Q1463" s="237"/>
    </row>
    <row r="1464">
      <c r="A1464" s="107"/>
      <c r="B1464" s="95"/>
      <c r="C1464" s="95"/>
      <c r="D1464" s="95"/>
      <c r="E1464" s="95"/>
      <c r="I1464" s="23"/>
    </row>
    <row r="1465">
      <c r="A1465" s="133" t="s">
        <v>582</v>
      </c>
      <c r="B1465" s="134" t="s">
        <v>18</v>
      </c>
      <c r="C1465" s="134" t="s">
        <v>74</v>
      </c>
      <c r="D1465" s="133" t="s">
        <v>582</v>
      </c>
      <c r="E1465" s="164">
        <v>42983.0</v>
      </c>
      <c r="F1465" s="70" t="str">
        <f t="shared" ref="F1465:F1473" si="134">TEXT(E1459:E1465, "mmm") &amp; "-" &amp; TEXT(E1459:E1465, "yyyy") </f>
        <v>Sep-2017</v>
      </c>
      <c r="G1465" s="47" t="s">
        <v>20</v>
      </c>
      <c r="H1465" s="47" t="s">
        <v>35</v>
      </c>
      <c r="I1465" s="79" t="s">
        <v>583</v>
      </c>
      <c r="J1465" s="47" t="s">
        <v>23</v>
      </c>
      <c r="K1465" s="47" t="s">
        <v>9</v>
      </c>
      <c r="L1465" s="47" t="s">
        <v>30</v>
      </c>
      <c r="M1465" s="47" t="s">
        <v>30</v>
      </c>
      <c r="N1465" s="47" t="s">
        <v>69</v>
      </c>
      <c r="O1465" s="152"/>
      <c r="P1465" s="152"/>
      <c r="Q1465" s="153"/>
    </row>
    <row r="1466">
      <c r="A1466" s="134" t="s">
        <v>18</v>
      </c>
      <c r="B1466" s="134" t="s">
        <v>18</v>
      </c>
      <c r="C1466" s="134" t="s">
        <v>74</v>
      </c>
      <c r="D1466" s="133" t="s">
        <v>582</v>
      </c>
      <c r="E1466" s="164">
        <v>42983.0</v>
      </c>
      <c r="F1466" s="21" t="str">
        <f t="shared" si="134"/>
        <v>Sep-2017</v>
      </c>
      <c r="G1466" s="17" t="s">
        <v>25</v>
      </c>
      <c r="H1466" s="16" t="s">
        <v>35</v>
      </c>
      <c r="I1466" s="48" t="s">
        <v>583</v>
      </c>
      <c r="J1466" s="16" t="s">
        <v>44</v>
      </c>
      <c r="K1466" s="16" t="s">
        <v>9</v>
      </c>
      <c r="L1466" s="16" t="s">
        <v>30</v>
      </c>
      <c r="M1466" s="16"/>
      <c r="N1466" s="16" t="s">
        <v>37</v>
      </c>
      <c r="O1466" s="101"/>
      <c r="P1466" s="101"/>
      <c r="Q1466" s="102"/>
    </row>
    <row r="1467">
      <c r="A1467" s="134" t="s">
        <v>331</v>
      </c>
      <c r="B1467" s="134" t="s">
        <v>18</v>
      </c>
      <c r="C1467" s="134" t="s">
        <v>74</v>
      </c>
      <c r="D1467" s="133" t="s">
        <v>582</v>
      </c>
      <c r="E1467" s="164">
        <v>42983.0</v>
      </c>
      <c r="F1467" s="21" t="str">
        <f t="shared" si="134"/>
        <v>Sep-2017</v>
      </c>
      <c r="G1467" s="119" t="s">
        <v>20</v>
      </c>
      <c r="H1467" s="119" t="s">
        <v>35</v>
      </c>
      <c r="I1467" s="126" t="s">
        <v>393</v>
      </c>
      <c r="J1467" s="119" t="s">
        <v>102</v>
      </c>
      <c r="K1467" s="119" t="s">
        <v>9</v>
      </c>
      <c r="L1467" s="119" t="s">
        <v>30</v>
      </c>
      <c r="M1467" s="119" t="s">
        <v>30</v>
      </c>
      <c r="N1467" s="119" t="s">
        <v>99</v>
      </c>
      <c r="O1467" s="174"/>
      <c r="P1467" s="174"/>
      <c r="Q1467" s="175"/>
    </row>
    <row r="1468">
      <c r="A1468" s="168">
        <v>42983.0</v>
      </c>
      <c r="B1468" s="134" t="s">
        <v>18</v>
      </c>
      <c r="C1468" s="134" t="s">
        <v>74</v>
      </c>
      <c r="D1468" s="133" t="s">
        <v>582</v>
      </c>
      <c r="E1468" s="164">
        <v>42983.0</v>
      </c>
      <c r="F1468" s="21" t="str">
        <f t="shared" si="134"/>
        <v>Sep-2017</v>
      </c>
      <c r="G1468" s="91" t="s">
        <v>25</v>
      </c>
      <c r="H1468" s="119" t="s">
        <v>35</v>
      </c>
      <c r="I1468" s="126" t="s">
        <v>393</v>
      </c>
      <c r="J1468" s="119" t="s">
        <v>102</v>
      </c>
      <c r="K1468" s="119" t="s">
        <v>9</v>
      </c>
      <c r="L1468" s="119" t="s">
        <v>24</v>
      </c>
      <c r="M1468" s="119"/>
      <c r="N1468" s="119" t="s">
        <v>99</v>
      </c>
      <c r="O1468" s="174"/>
      <c r="P1468" s="174"/>
      <c r="Q1468" s="175"/>
    </row>
    <row r="1469">
      <c r="A1469" s="176" t="s">
        <v>584</v>
      </c>
      <c r="B1469" s="134" t="s">
        <v>18</v>
      </c>
      <c r="C1469" s="134" t="s">
        <v>74</v>
      </c>
      <c r="D1469" s="133" t="s">
        <v>582</v>
      </c>
      <c r="E1469" s="164">
        <v>42983.0</v>
      </c>
      <c r="F1469" s="21" t="str">
        <f t="shared" si="134"/>
        <v>Sep-2017</v>
      </c>
      <c r="G1469" s="119" t="s">
        <v>32</v>
      </c>
      <c r="H1469" s="119" t="s">
        <v>35</v>
      </c>
      <c r="I1469" s="126" t="s">
        <v>393</v>
      </c>
      <c r="J1469" s="119" t="s">
        <v>102</v>
      </c>
      <c r="K1469" s="119" t="s">
        <v>9</v>
      </c>
      <c r="L1469" s="119" t="s">
        <v>30</v>
      </c>
      <c r="M1469" s="119"/>
      <c r="N1469" s="119" t="s">
        <v>106</v>
      </c>
      <c r="O1469" s="174"/>
      <c r="P1469" s="174"/>
      <c r="Q1469" s="175"/>
    </row>
    <row r="1470">
      <c r="A1470" s="134" t="s">
        <v>74</v>
      </c>
      <c r="B1470" s="134" t="s">
        <v>18</v>
      </c>
      <c r="C1470" s="134" t="s">
        <v>74</v>
      </c>
      <c r="D1470" s="133" t="s">
        <v>582</v>
      </c>
      <c r="E1470" s="164">
        <v>42983.0</v>
      </c>
      <c r="F1470" s="21" t="str">
        <f t="shared" si="134"/>
        <v>Sep-2017</v>
      </c>
      <c r="G1470" s="16" t="s">
        <v>20</v>
      </c>
      <c r="H1470" s="16" t="s">
        <v>35</v>
      </c>
      <c r="I1470" s="48" t="s">
        <v>450</v>
      </c>
      <c r="J1470" s="16" t="s">
        <v>9</v>
      </c>
      <c r="K1470" s="16" t="s">
        <v>9</v>
      </c>
      <c r="L1470" s="16" t="s">
        <v>24</v>
      </c>
      <c r="M1470" s="16" t="s">
        <v>24</v>
      </c>
      <c r="N1470" s="16" t="s">
        <v>69</v>
      </c>
      <c r="O1470" s="101"/>
      <c r="P1470" s="101"/>
      <c r="Q1470" s="102"/>
    </row>
    <row r="1471">
      <c r="A1471" s="140"/>
      <c r="B1471" s="134" t="s">
        <v>18</v>
      </c>
      <c r="C1471" s="134" t="s">
        <v>74</v>
      </c>
      <c r="D1471" s="133" t="s">
        <v>582</v>
      </c>
      <c r="E1471" s="164">
        <v>42983.0</v>
      </c>
      <c r="F1471" s="21" t="str">
        <f t="shared" si="134"/>
        <v>Sep-2017</v>
      </c>
      <c r="G1471" s="17" t="s">
        <v>25</v>
      </c>
      <c r="H1471" s="16" t="s">
        <v>35</v>
      </c>
      <c r="I1471" s="48" t="s">
        <v>450</v>
      </c>
      <c r="J1471" s="16" t="s">
        <v>9</v>
      </c>
      <c r="K1471" s="16" t="s">
        <v>9</v>
      </c>
      <c r="L1471" s="16" t="s">
        <v>24</v>
      </c>
      <c r="M1471" s="16"/>
      <c r="N1471" s="16" t="s">
        <v>98</v>
      </c>
      <c r="O1471" s="101"/>
      <c r="P1471" s="101"/>
      <c r="Q1471" s="102"/>
    </row>
    <row r="1472">
      <c r="A1472" s="140"/>
      <c r="B1472" s="134" t="s">
        <v>18</v>
      </c>
      <c r="C1472" s="134" t="s">
        <v>74</v>
      </c>
      <c r="D1472" s="133" t="s">
        <v>582</v>
      </c>
      <c r="E1472" s="164">
        <v>42983.0</v>
      </c>
      <c r="F1472" s="21" t="str">
        <f t="shared" si="134"/>
        <v>Sep-2017</v>
      </c>
      <c r="G1472" s="21" t="s">
        <v>20</v>
      </c>
      <c r="H1472" s="119" t="s">
        <v>35</v>
      </c>
      <c r="I1472" s="126" t="s">
        <v>585</v>
      </c>
      <c r="J1472" s="119" t="s">
        <v>27</v>
      </c>
      <c r="K1472" s="119" t="s">
        <v>9</v>
      </c>
      <c r="L1472" s="119" t="s">
        <v>24</v>
      </c>
      <c r="M1472" s="119" t="s">
        <v>24</v>
      </c>
      <c r="N1472" s="119" t="s">
        <v>69</v>
      </c>
      <c r="O1472" s="174"/>
      <c r="P1472" s="174"/>
      <c r="Q1472" s="175"/>
    </row>
    <row r="1473">
      <c r="A1473" s="141"/>
      <c r="B1473" s="134" t="s">
        <v>18</v>
      </c>
      <c r="C1473" s="134" t="s">
        <v>74</v>
      </c>
      <c r="D1473" s="133" t="s">
        <v>582</v>
      </c>
      <c r="E1473" s="238">
        <v>42983.0</v>
      </c>
      <c r="F1473" s="51" t="str">
        <f t="shared" si="134"/>
        <v>Sep-2017</v>
      </c>
      <c r="G1473" s="51" t="s">
        <v>25</v>
      </c>
      <c r="H1473" s="114" t="s">
        <v>35</v>
      </c>
      <c r="I1473" s="130" t="s">
        <v>585</v>
      </c>
      <c r="J1473" s="114" t="s">
        <v>27</v>
      </c>
      <c r="K1473" s="114" t="s">
        <v>9</v>
      </c>
      <c r="L1473" s="114" t="s">
        <v>24</v>
      </c>
      <c r="M1473" s="114"/>
      <c r="N1473" s="114" t="s">
        <v>98</v>
      </c>
      <c r="O1473" s="202"/>
      <c r="P1473" s="202"/>
      <c r="Q1473" s="203"/>
    </row>
    <row r="1474">
      <c r="A1474" s="107"/>
      <c r="B1474" s="95"/>
      <c r="C1474" s="95"/>
      <c r="D1474" s="95"/>
      <c r="E1474" s="95"/>
      <c r="I1474" s="23"/>
    </row>
    <row r="1475">
      <c r="A1475" s="133" t="s">
        <v>586</v>
      </c>
      <c r="B1475" s="134" t="s">
        <v>151</v>
      </c>
      <c r="C1475" s="134" t="s">
        <v>74</v>
      </c>
      <c r="D1475" s="133" t="s">
        <v>586</v>
      </c>
      <c r="E1475" s="216">
        <v>42986.0</v>
      </c>
      <c r="F1475" s="110" t="str">
        <f t="shared" ref="F1475:F1487" si="135">TEXT(E1469:E1475, "mmm") &amp; "-" &amp; TEXT(E1469:E1475, "yyyy") </f>
        <v>Sep-2017</v>
      </c>
      <c r="G1475" s="47" t="s">
        <v>20</v>
      </c>
      <c r="H1475" s="47" t="s">
        <v>35</v>
      </c>
      <c r="I1475" s="79" t="s">
        <v>425</v>
      </c>
      <c r="J1475" s="47" t="s">
        <v>27</v>
      </c>
      <c r="K1475" s="47" t="s">
        <v>9</v>
      </c>
      <c r="L1475" s="47" t="s">
        <v>24</v>
      </c>
      <c r="M1475" s="47" t="s">
        <v>30</v>
      </c>
      <c r="N1475" s="47" t="s">
        <v>69</v>
      </c>
      <c r="O1475" s="152"/>
      <c r="P1475" s="152"/>
      <c r="Q1475" s="153"/>
    </row>
    <row r="1476">
      <c r="A1476" s="134" t="s">
        <v>151</v>
      </c>
      <c r="B1476" s="134" t="s">
        <v>151</v>
      </c>
      <c r="C1476" s="134" t="s">
        <v>74</v>
      </c>
      <c r="D1476" s="133" t="s">
        <v>586</v>
      </c>
      <c r="E1476" s="215">
        <v>42986.0</v>
      </c>
      <c r="F1476" s="13" t="str">
        <f t="shared" si="135"/>
        <v>Sep-2017</v>
      </c>
      <c r="G1476" s="17" t="s">
        <v>25</v>
      </c>
      <c r="H1476" s="16" t="s">
        <v>35</v>
      </c>
      <c r="I1476" s="48" t="s">
        <v>425</v>
      </c>
      <c r="J1476" s="16" t="s">
        <v>27</v>
      </c>
      <c r="K1476" s="16" t="s">
        <v>9</v>
      </c>
      <c r="L1476" s="16" t="s">
        <v>30</v>
      </c>
      <c r="M1476" s="16"/>
      <c r="N1476" s="16" t="s">
        <v>98</v>
      </c>
      <c r="O1476" s="101"/>
      <c r="P1476" s="101"/>
      <c r="Q1476" s="102"/>
    </row>
    <row r="1477">
      <c r="A1477" s="134" t="s">
        <v>368</v>
      </c>
      <c r="B1477" s="134" t="s">
        <v>151</v>
      </c>
      <c r="C1477" s="134" t="s">
        <v>74</v>
      </c>
      <c r="D1477" s="133" t="s">
        <v>586</v>
      </c>
      <c r="E1477" s="215">
        <v>42986.0</v>
      </c>
      <c r="F1477" s="13" t="str">
        <f t="shared" si="135"/>
        <v>Sep-2017</v>
      </c>
      <c r="G1477" s="16" t="s">
        <v>32</v>
      </c>
      <c r="H1477" s="16" t="s">
        <v>35</v>
      </c>
      <c r="I1477" s="48" t="s">
        <v>425</v>
      </c>
      <c r="J1477" s="16" t="s">
        <v>27</v>
      </c>
      <c r="K1477" s="16" t="s">
        <v>9</v>
      </c>
      <c r="L1477" s="16" t="s">
        <v>30</v>
      </c>
      <c r="M1477" s="16"/>
      <c r="N1477" s="16" t="s">
        <v>37</v>
      </c>
      <c r="O1477" s="101"/>
      <c r="P1477" s="101"/>
      <c r="Q1477" s="102"/>
    </row>
    <row r="1478">
      <c r="A1478" s="168">
        <v>42986.0</v>
      </c>
      <c r="B1478" s="134" t="s">
        <v>151</v>
      </c>
      <c r="C1478" s="134" t="s">
        <v>74</v>
      </c>
      <c r="D1478" s="133" t="s">
        <v>586</v>
      </c>
      <c r="E1478" s="167">
        <v>42986.0</v>
      </c>
      <c r="F1478" s="21" t="str">
        <f t="shared" si="135"/>
        <v>Sep-2017</v>
      </c>
      <c r="G1478" s="119" t="s">
        <v>20</v>
      </c>
      <c r="H1478" s="119" t="s">
        <v>35</v>
      </c>
      <c r="I1478" s="80" t="s">
        <v>450</v>
      </c>
      <c r="J1478" s="25" t="s">
        <v>23</v>
      </c>
      <c r="K1478" s="25" t="s">
        <v>9</v>
      </c>
      <c r="L1478" s="25" t="s">
        <v>24</v>
      </c>
      <c r="M1478" s="25" t="s">
        <v>24</v>
      </c>
      <c r="N1478" s="25" t="s">
        <v>99</v>
      </c>
      <c r="Q1478" s="99"/>
    </row>
    <row r="1479">
      <c r="A1479" s="176" t="s">
        <v>587</v>
      </c>
      <c r="B1479" s="134" t="s">
        <v>151</v>
      </c>
      <c r="C1479" s="134" t="s">
        <v>74</v>
      </c>
      <c r="D1479" s="133" t="s">
        <v>586</v>
      </c>
      <c r="E1479" s="167">
        <v>42986.0</v>
      </c>
      <c r="F1479" s="21" t="str">
        <f t="shared" si="135"/>
        <v>Sep-2017</v>
      </c>
      <c r="G1479" s="91" t="s">
        <v>25</v>
      </c>
      <c r="H1479" s="119" t="s">
        <v>35</v>
      </c>
      <c r="I1479" s="80" t="s">
        <v>450</v>
      </c>
      <c r="J1479" s="25" t="s">
        <v>27</v>
      </c>
      <c r="K1479" s="25" t="s">
        <v>9</v>
      </c>
      <c r="L1479" s="25" t="s">
        <v>24</v>
      </c>
      <c r="M1479" s="25"/>
      <c r="N1479" s="25" t="s">
        <v>106</v>
      </c>
      <c r="Q1479" s="99"/>
    </row>
    <row r="1480">
      <c r="A1480" s="134" t="s">
        <v>74</v>
      </c>
      <c r="B1480" s="134" t="s">
        <v>151</v>
      </c>
      <c r="C1480" s="134" t="s">
        <v>74</v>
      </c>
      <c r="D1480" s="133" t="s">
        <v>586</v>
      </c>
      <c r="E1480" s="215">
        <v>42986.0</v>
      </c>
      <c r="F1480" s="13" t="str">
        <f t="shared" si="135"/>
        <v>Sep-2017</v>
      </c>
      <c r="G1480" s="16" t="s">
        <v>20</v>
      </c>
      <c r="H1480" s="16" t="s">
        <v>35</v>
      </c>
      <c r="I1480" s="48" t="s">
        <v>165</v>
      </c>
      <c r="J1480" s="16" t="s">
        <v>9</v>
      </c>
      <c r="K1480" s="16" t="s">
        <v>9</v>
      </c>
      <c r="L1480" s="16" t="s">
        <v>30</v>
      </c>
      <c r="M1480" s="16" t="s">
        <v>30</v>
      </c>
      <c r="N1480" s="16" t="s">
        <v>69</v>
      </c>
      <c r="O1480" s="101"/>
      <c r="P1480" s="101"/>
      <c r="Q1480" s="102"/>
    </row>
    <row r="1481">
      <c r="A1481" s="140"/>
      <c r="B1481" s="134" t="s">
        <v>151</v>
      </c>
      <c r="C1481" s="134" t="s">
        <v>74</v>
      </c>
      <c r="D1481" s="133" t="s">
        <v>586</v>
      </c>
      <c r="E1481" s="215">
        <v>42986.0</v>
      </c>
      <c r="F1481" s="13" t="str">
        <f t="shared" si="135"/>
        <v>Sep-2017</v>
      </c>
      <c r="G1481" s="17" t="s">
        <v>25</v>
      </c>
      <c r="H1481" s="16" t="s">
        <v>35</v>
      </c>
      <c r="I1481" s="48" t="s">
        <v>165</v>
      </c>
      <c r="J1481" s="16" t="s">
        <v>9</v>
      </c>
      <c r="K1481" s="16" t="s">
        <v>9</v>
      </c>
      <c r="L1481" s="16" t="s">
        <v>30</v>
      </c>
      <c r="M1481" s="16"/>
      <c r="N1481" s="16" t="s">
        <v>69</v>
      </c>
      <c r="O1481" s="101"/>
      <c r="P1481" s="101"/>
      <c r="Q1481" s="102"/>
    </row>
    <row r="1482">
      <c r="A1482" s="140"/>
      <c r="B1482" s="134" t="s">
        <v>151</v>
      </c>
      <c r="C1482" s="134" t="s">
        <v>74</v>
      </c>
      <c r="D1482" s="133" t="s">
        <v>586</v>
      </c>
      <c r="E1482" s="167">
        <v>42986.0</v>
      </c>
      <c r="F1482" s="21" t="str">
        <f t="shared" si="135"/>
        <v>Sep-2017</v>
      </c>
      <c r="G1482" s="119" t="s">
        <v>20</v>
      </c>
      <c r="H1482" s="119" t="s">
        <v>35</v>
      </c>
      <c r="I1482" s="80" t="s">
        <v>111</v>
      </c>
      <c r="J1482" s="25" t="s">
        <v>9</v>
      </c>
      <c r="K1482" s="25" t="s">
        <v>9</v>
      </c>
      <c r="L1482" s="25" t="s">
        <v>30</v>
      </c>
      <c r="M1482" s="25" t="s">
        <v>30</v>
      </c>
      <c r="N1482" s="25" t="s">
        <v>69</v>
      </c>
      <c r="Q1482" s="99"/>
    </row>
    <row r="1483">
      <c r="A1483" s="140"/>
      <c r="B1483" s="134" t="s">
        <v>151</v>
      </c>
      <c r="C1483" s="134" t="s">
        <v>74</v>
      </c>
      <c r="D1483" s="133" t="s">
        <v>586</v>
      </c>
      <c r="E1483" s="167">
        <v>42986.0</v>
      </c>
      <c r="F1483" s="21" t="str">
        <f t="shared" si="135"/>
        <v>Sep-2017</v>
      </c>
      <c r="G1483" s="91" t="s">
        <v>25</v>
      </c>
      <c r="H1483" s="119" t="s">
        <v>35</v>
      </c>
      <c r="I1483" s="80" t="s">
        <v>111</v>
      </c>
      <c r="J1483" s="25" t="s">
        <v>27</v>
      </c>
      <c r="K1483" s="25" t="s">
        <v>9</v>
      </c>
      <c r="L1483" s="25" t="s">
        <v>30</v>
      </c>
      <c r="M1483" s="25"/>
      <c r="N1483" s="25" t="s">
        <v>106</v>
      </c>
      <c r="Q1483" s="99"/>
    </row>
    <row r="1484">
      <c r="A1484" s="140"/>
      <c r="B1484" s="134" t="s">
        <v>151</v>
      </c>
      <c r="C1484" s="134" t="s">
        <v>74</v>
      </c>
      <c r="D1484" s="133" t="s">
        <v>586</v>
      </c>
      <c r="E1484" s="215">
        <v>42986.0</v>
      </c>
      <c r="F1484" s="13" t="str">
        <f t="shared" si="135"/>
        <v>Sep-2017</v>
      </c>
      <c r="G1484" s="16" t="s">
        <v>146</v>
      </c>
      <c r="H1484" s="16" t="s">
        <v>35</v>
      </c>
      <c r="I1484" s="48" t="s">
        <v>47</v>
      </c>
      <c r="J1484" s="16" t="s">
        <v>48</v>
      </c>
      <c r="K1484" s="16" t="s">
        <v>9</v>
      </c>
      <c r="L1484" s="16" t="s">
        <v>30</v>
      </c>
      <c r="M1484" s="16" t="s">
        <v>24</v>
      </c>
      <c r="N1484" s="16" t="s">
        <v>99</v>
      </c>
      <c r="O1484" s="101"/>
      <c r="P1484" s="101"/>
      <c r="Q1484" s="102"/>
    </row>
    <row r="1485">
      <c r="A1485" s="140"/>
      <c r="B1485" s="134" t="s">
        <v>151</v>
      </c>
      <c r="C1485" s="134" t="s">
        <v>74</v>
      </c>
      <c r="D1485" s="133" t="s">
        <v>586</v>
      </c>
      <c r="E1485" s="215">
        <v>42986.0</v>
      </c>
      <c r="F1485" s="13" t="str">
        <f t="shared" si="135"/>
        <v>Sep-2017</v>
      </c>
      <c r="G1485" s="16" t="s">
        <v>149</v>
      </c>
      <c r="H1485" s="16" t="s">
        <v>35</v>
      </c>
      <c r="I1485" s="48" t="s">
        <v>47</v>
      </c>
      <c r="J1485" s="16" t="s">
        <v>48</v>
      </c>
      <c r="K1485" s="16" t="s">
        <v>9</v>
      </c>
      <c r="L1485" s="16" t="s">
        <v>24</v>
      </c>
      <c r="M1485" s="16"/>
      <c r="N1485" s="16" t="s">
        <v>37</v>
      </c>
      <c r="O1485" s="101"/>
      <c r="P1485" s="101"/>
      <c r="Q1485" s="102"/>
    </row>
    <row r="1486">
      <c r="A1486" s="140"/>
      <c r="B1486" s="134" t="s">
        <v>151</v>
      </c>
      <c r="C1486" s="134" t="s">
        <v>74</v>
      </c>
      <c r="D1486" s="133" t="s">
        <v>586</v>
      </c>
      <c r="E1486" s="215">
        <v>42986.0</v>
      </c>
      <c r="F1486" s="13" t="str">
        <f t="shared" si="135"/>
        <v>Sep-2017</v>
      </c>
      <c r="G1486" s="16" t="s">
        <v>222</v>
      </c>
      <c r="H1486" s="16" t="s">
        <v>35</v>
      </c>
      <c r="I1486" s="48" t="s">
        <v>47</v>
      </c>
      <c r="J1486" s="16" t="s">
        <v>48</v>
      </c>
      <c r="K1486" s="16" t="s">
        <v>9</v>
      </c>
      <c r="L1486" s="16" t="s">
        <v>24</v>
      </c>
      <c r="M1486" s="16"/>
      <c r="N1486" s="16" t="s">
        <v>69</v>
      </c>
      <c r="O1486" s="101"/>
      <c r="P1486" s="101"/>
      <c r="Q1486" s="102"/>
    </row>
    <row r="1487">
      <c r="A1487" s="141"/>
      <c r="B1487" s="134" t="s">
        <v>151</v>
      </c>
      <c r="C1487" s="134" t="s">
        <v>74</v>
      </c>
      <c r="D1487" s="133" t="s">
        <v>586</v>
      </c>
      <c r="E1487" s="217">
        <v>42986.0</v>
      </c>
      <c r="F1487" s="35" t="str">
        <f t="shared" si="135"/>
        <v>Sep-2017</v>
      </c>
      <c r="G1487" s="38" t="s">
        <v>467</v>
      </c>
      <c r="H1487" s="38" t="s">
        <v>35</v>
      </c>
      <c r="I1487" s="122" t="s">
        <v>47</v>
      </c>
      <c r="J1487" s="38" t="s">
        <v>48</v>
      </c>
      <c r="K1487" s="38" t="s">
        <v>9</v>
      </c>
      <c r="L1487" s="38" t="s">
        <v>24</v>
      </c>
      <c r="M1487" s="38"/>
      <c r="N1487" s="38" t="s">
        <v>69</v>
      </c>
      <c r="O1487" s="105"/>
      <c r="P1487" s="105"/>
      <c r="Q1487" s="106"/>
    </row>
    <row r="1488">
      <c r="A1488" s="107"/>
      <c r="B1488" s="95"/>
      <c r="C1488" s="95"/>
      <c r="D1488" s="95"/>
      <c r="E1488" s="95"/>
      <c r="I1488" s="23"/>
    </row>
    <row r="1489">
      <c r="A1489" s="133" t="s">
        <v>588</v>
      </c>
      <c r="B1489" s="134" t="s">
        <v>151</v>
      </c>
      <c r="C1489" s="134" t="s">
        <v>74</v>
      </c>
      <c r="D1489" s="133" t="s">
        <v>588</v>
      </c>
      <c r="E1489" s="168">
        <v>42993.0</v>
      </c>
      <c r="F1489" s="110" t="str">
        <f t="shared" ref="F1489:F1500" si="136">TEXT(E1483:E1489, "mmm") &amp; "-" &amp; TEXT(E1483:E1489, "yyyy") </f>
        <v>Sep-2017</v>
      </c>
      <c r="G1489" s="47" t="s">
        <v>20</v>
      </c>
      <c r="H1489" s="47" t="s">
        <v>589</v>
      </c>
      <c r="I1489" s="79" t="s">
        <v>219</v>
      </c>
      <c r="J1489" s="47" t="s">
        <v>97</v>
      </c>
      <c r="K1489" s="47" t="s">
        <v>9</v>
      </c>
      <c r="L1489" s="47" t="s">
        <v>24</v>
      </c>
      <c r="M1489" s="47" t="s">
        <v>24</v>
      </c>
      <c r="N1489" s="47" t="s">
        <v>99</v>
      </c>
      <c r="O1489" s="152"/>
      <c r="P1489" s="152"/>
      <c r="Q1489" s="153"/>
    </row>
    <row r="1490">
      <c r="A1490" s="134" t="s">
        <v>151</v>
      </c>
      <c r="B1490" s="134" t="s">
        <v>151</v>
      </c>
      <c r="C1490" s="134" t="s">
        <v>74</v>
      </c>
      <c r="D1490" s="133" t="s">
        <v>588</v>
      </c>
      <c r="E1490" s="168">
        <v>42993.0</v>
      </c>
      <c r="F1490" s="13" t="str">
        <f t="shared" si="136"/>
        <v>Sep-2017</v>
      </c>
      <c r="G1490" s="17" t="s">
        <v>25</v>
      </c>
      <c r="H1490" s="16" t="s">
        <v>589</v>
      </c>
      <c r="I1490" s="48" t="s">
        <v>219</v>
      </c>
      <c r="J1490" s="16" t="s">
        <v>97</v>
      </c>
      <c r="K1490" s="16" t="s">
        <v>9</v>
      </c>
      <c r="L1490" s="16" t="s">
        <v>24</v>
      </c>
      <c r="M1490" s="16"/>
      <c r="N1490" s="16" t="s">
        <v>106</v>
      </c>
      <c r="O1490" s="101"/>
      <c r="P1490" s="101"/>
      <c r="Q1490" s="102"/>
    </row>
    <row r="1491">
      <c r="A1491" s="134" t="s">
        <v>368</v>
      </c>
      <c r="B1491" s="134" t="s">
        <v>151</v>
      </c>
      <c r="C1491" s="134" t="s">
        <v>74</v>
      </c>
      <c r="D1491" s="133" t="s">
        <v>588</v>
      </c>
      <c r="E1491" s="168">
        <v>42993.0</v>
      </c>
      <c r="F1491" s="21" t="str">
        <f t="shared" si="136"/>
        <v>Sep-2017</v>
      </c>
      <c r="G1491" s="21" t="s">
        <v>20</v>
      </c>
      <c r="H1491" s="119" t="s">
        <v>589</v>
      </c>
      <c r="I1491" s="126" t="s">
        <v>590</v>
      </c>
      <c r="J1491" s="119" t="s">
        <v>479</v>
      </c>
      <c r="K1491" s="119" t="s">
        <v>9</v>
      </c>
      <c r="L1491" s="119" t="s">
        <v>30</v>
      </c>
      <c r="M1491" s="119" t="s">
        <v>30</v>
      </c>
      <c r="N1491" s="119" t="s">
        <v>98</v>
      </c>
      <c r="O1491" s="174"/>
      <c r="P1491" s="174"/>
      <c r="Q1491" s="175"/>
    </row>
    <row r="1492">
      <c r="A1492" s="168">
        <v>42993.0</v>
      </c>
      <c r="B1492" s="134" t="s">
        <v>151</v>
      </c>
      <c r="C1492" s="134" t="s">
        <v>74</v>
      </c>
      <c r="D1492" s="133" t="s">
        <v>588</v>
      </c>
      <c r="E1492" s="168">
        <v>42993.0</v>
      </c>
      <c r="F1492" s="21" t="str">
        <f t="shared" si="136"/>
        <v>Sep-2017</v>
      </c>
      <c r="G1492" s="21" t="s">
        <v>25</v>
      </c>
      <c r="H1492" s="119" t="s">
        <v>589</v>
      </c>
      <c r="I1492" s="126" t="s">
        <v>590</v>
      </c>
      <c r="J1492" s="119" t="s">
        <v>140</v>
      </c>
      <c r="K1492" s="119" t="s">
        <v>9</v>
      </c>
      <c r="L1492" s="119" t="s">
        <v>30</v>
      </c>
      <c r="M1492" s="119"/>
      <c r="N1492" s="119" t="s">
        <v>29</v>
      </c>
      <c r="O1492" s="174"/>
      <c r="P1492" s="174"/>
      <c r="Q1492" s="175"/>
    </row>
    <row r="1493">
      <c r="A1493" s="176" t="s">
        <v>591</v>
      </c>
      <c r="B1493" s="134" t="s">
        <v>151</v>
      </c>
      <c r="C1493" s="134" t="s">
        <v>74</v>
      </c>
      <c r="D1493" s="133" t="s">
        <v>588</v>
      </c>
      <c r="E1493" s="168">
        <v>42993.0</v>
      </c>
      <c r="F1493" s="13" t="str">
        <f t="shared" si="136"/>
        <v>Sep-2017</v>
      </c>
      <c r="G1493" s="16" t="s">
        <v>20</v>
      </c>
      <c r="H1493" s="16" t="s">
        <v>589</v>
      </c>
      <c r="I1493" s="48" t="s">
        <v>47</v>
      </c>
      <c r="J1493" s="16" t="s">
        <v>48</v>
      </c>
      <c r="K1493" s="16" t="s">
        <v>9</v>
      </c>
      <c r="L1493" s="16" t="s">
        <v>24</v>
      </c>
      <c r="M1493" s="16" t="s">
        <v>24</v>
      </c>
      <c r="N1493" s="16" t="s">
        <v>99</v>
      </c>
      <c r="O1493" s="101"/>
      <c r="P1493" s="101"/>
      <c r="Q1493" s="102"/>
    </row>
    <row r="1494">
      <c r="A1494" s="134" t="s">
        <v>74</v>
      </c>
      <c r="B1494" s="134" t="s">
        <v>151</v>
      </c>
      <c r="C1494" s="134" t="s">
        <v>74</v>
      </c>
      <c r="D1494" s="133" t="s">
        <v>588</v>
      </c>
      <c r="E1494" s="168">
        <v>42993.0</v>
      </c>
      <c r="F1494" s="13" t="str">
        <f t="shared" si="136"/>
        <v>Sep-2017</v>
      </c>
      <c r="G1494" s="17" t="s">
        <v>25</v>
      </c>
      <c r="H1494" s="16" t="s">
        <v>589</v>
      </c>
      <c r="I1494" s="48" t="s">
        <v>47</v>
      </c>
      <c r="J1494" s="16" t="s">
        <v>48</v>
      </c>
      <c r="K1494" s="16" t="s">
        <v>9</v>
      </c>
      <c r="L1494" s="16" t="s">
        <v>30</v>
      </c>
      <c r="M1494" s="16"/>
      <c r="N1494" s="16" t="s">
        <v>106</v>
      </c>
      <c r="O1494" s="101"/>
      <c r="P1494" s="101"/>
      <c r="Q1494" s="102"/>
    </row>
    <row r="1495">
      <c r="A1495" s="140"/>
      <c r="B1495" s="134" t="s">
        <v>151</v>
      </c>
      <c r="C1495" s="134" t="s">
        <v>74</v>
      </c>
      <c r="D1495" s="133" t="s">
        <v>588</v>
      </c>
      <c r="E1495" s="168">
        <v>42993.0</v>
      </c>
      <c r="F1495" s="13" t="str">
        <f t="shared" si="136"/>
        <v>Sep-2017</v>
      </c>
      <c r="G1495" s="16" t="s">
        <v>32</v>
      </c>
      <c r="H1495" s="16" t="s">
        <v>589</v>
      </c>
      <c r="I1495" s="48" t="s">
        <v>47</v>
      </c>
      <c r="J1495" s="16" t="s">
        <v>48</v>
      </c>
      <c r="K1495" s="16" t="s">
        <v>9</v>
      </c>
      <c r="L1495" s="16" t="s">
        <v>24</v>
      </c>
      <c r="M1495" s="16"/>
      <c r="N1495" s="16" t="s">
        <v>29</v>
      </c>
      <c r="O1495" s="101"/>
      <c r="P1495" s="101"/>
      <c r="Q1495" s="102"/>
    </row>
    <row r="1496">
      <c r="A1496" s="140"/>
      <c r="B1496" s="134" t="s">
        <v>151</v>
      </c>
      <c r="C1496" s="134" t="s">
        <v>74</v>
      </c>
      <c r="D1496" s="133" t="s">
        <v>588</v>
      </c>
      <c r="E1496" s="168">
        <v>42993.0</v>
      </c>
      <c r="F1496" s="21" t="str">
        <f t="shared" si="136"/>
        <v>Sep-2017</v>
      </c>
      <c r="G1496" s="21" t="s">
        <v>20</v>
      </c>
      <c r="H1496" s="119" t="s">
        <v>589</v>
      </c>
      <c r="I1496" s="126" t="s">
        <v>592</v>
      </c>
      <c r="J1496" s="119" t="s">
        <v>27</v>
      </c>
      <c r="K1496" s="119" t="s">
        <v>9</v>
      </c>
      <c r="L1496" s="119" t="s">
        <v>24</v>
      </c>
      <c r="M1496" s="119" t="s">
        <v>30</v>
      </c>
      <c r="N1496" s="119" t="s">
        <v>98</v>
      </c>
      <c r="O1496" s="174"/>
      <c r="P1496" s="174"/>
      <c r="Q1496" s="175"/>
    </row>
    <row r="1497">
      <c r="A1497" s="140"/>
      <c r="B1497" s="134" t="s">
        <v>151</v>
      </c>
      <c r="C1497" s="134" t="s">
        <v>74</v>
      </c>
      <c r="D1497" s="133" t="s">
        <v>588</v>
      </c>
      <c r="E1497" s="168">
        <v>42993.0</v>
      </c>
      <c r="F1497" s="21" t="str">
        <f t="shared" si="136"/>
        <v>Sep-2017</v>
      </c>
      <c r="G1497" s="21" t="s">
        <v>25</v>
      </c>
      <c r="H1497" s="119" t="s">
        <v>589</v>
      </c>
      <c r="I1497" s="126" t="s">
        <v>592</v>
      </c>
      <c r="J1497" s="119" t="s">
        <v>27</v>
      </c>
      <c r="K1497" s="119" t="s">
        <v>9</v>
      </c>
      <c r="L1497" s="119" t="s">
        <v>30</v>
      </c>
      <c r="M1497" s="119"/>
      <c r="N1497" s="119" t="s">
        <v>106</v>
      </c>
      <c r="O1497" s="174"/>
      <c r="P1497" s="174"/>
      <c r="Q1497" s="175"/>
    </row>
    <row r="1498">
      <c r="A1498" s="140"/>
      <c r="B1498" s="134" t="s">
        <v>151</v>
      </c>
      <c r="C1498" s="134" t="s">
        <v>74</v>
      </c>
      <c r="D1498" s="133" t="s">
        <v>588</v>
      </c>
      <c r="E1498" s="168">
        <v>42993.0</v>
      </c>
      <c r="F1498" s="21" t="str">
        <f t="shared" si="136"/>
        <v>Sep-2017</v>
      </c>
      <c r="G1498" s="119" t="s">
        <v>32</v>
      </c>
      <c r="H1498" s="119" t="s">
        <v>589</v>
      </c>
      <c r="I1498" s="126" t="s">
        <v>592</v>
      </c>
      <c r="J1498" s="119" t="s">
        <v>27</v>
      </c>
      <c r="K1498" s="119" t="s">
        <v>9</v>
      </c>
      <c r="L1498" s="119" t="s">
        <v>30</v>
      </c>
      <c r="M1498" s="119"/>
      <c r="N1498" s="119" t="s">
        <v>37</v>
      </c>
      <c r="O1498" s="174"/>
      <c r="P1498" s="174"/>
      <c r="Q1498" s="175"/>
    </row>
    <row r="1499">
      <c r="A1499" s="140"/>
      <c r="B1499" s="134" t="s">
        <v>151</v>
      </c>
      <c r="C1499" s="134" t="s">
        <v>74</v>
      </c>
      <c r="D1499" s="133" t="s">
        <v>588</v>
      </c>
      <c r="E1499" s="168">
        <v>42993.0</v>
      </c>
      <c r="F1499" s="13" t="str">
        <f t="shared" si="136"/>
        <v>Sep-2017</v>
      </c>
      <c r="G1499" s="13" t="s">
        <v>20</v>
      </c>
      <c r="H1499" s="16" t="s">
        <v>589</v>
      </c>
      <c r="I1499" s="48" t="s">
        <v>36</v>
      </c>
      <c r="J1499" s="16" t="s">
        <v>27</v>
      </c>
      <c r="K1499" s="16" t="s">
        <v>9</v>
      </c>
      <c r="L1499" s="16" t="s">
        <v>30</v>
      </c>
      <c r="M1499" s="16" t="s">
        <v>30</v>
      </c>
      <c r="N1499" s="16" t="s">
        <v>37</v>
      </c>
      <c r="O1499" s="101"/>
      <c r="P1499" s="101"/>
      <c r="Q1499" s="102"/>
    </row>
    <row r="1500">
      <c r="A1500" s="141"/>
      <c r="B1500" s="134" t="s">
        <v>151</v>
      </c>
      <c r="C1500" s="134" t="s">
        <v>74</v>
      </c>
      <c r="D1500" s="133" t="s">
        <v>588</v>
      </c>
      <c r="E1500" s="170">
        <v>42993.0</v>
      </c>
      <c r="F1500" s="35" t="str">
        <f t="shared" si="136"/>
        <v>Sep-2017</v>
      </c>
      <c r="G1500" s="35" t="s">
        <v>25</v>
      </c>
      <c r="H1500" s="38" t="s">
        <v>589</v>
      </c>
      <c r="I1500" s="122" t="s">
        <v>36</v>
      </c>
      <c r="J1500" s="38" t="s">
        <v>27</v>
      </c>
      <c r="K1500" s="38" t="s">
        <v>9</v>
      </c>
      <c r="L1500" s="38" t="s">
        <v>30</v>
      </c>
      <c r="M1500" s="38"/>
      <c r="N1500" s="38" t="s">
        <v>37</v>
      </c>
      <c r="O1500" s="105"/>
      <c r="P1500" s="105"/>
      <c r="Q1500" s="106"/>
    </row>
    <row r="1501">
      <c r="A1501" s="107"/>
      <c r="B1501" s="95"/>
      <c r="C1501" s="95"/>
      <c r="D1501" s="95"/>
      <c r="E1501" s="95"/>
      <c r="I1501" s="23"/>
    </row>
    <row r="1502">
      <c r="A1502" s="133" t="s">
        <v>593</v>
      </c>
      <c r="B1502" s="134" t="s">
        <v>18</v>
      </c>
      <c r="C1502" s="134" t="s">
        <v>74</v>
      </c>
      <c r="D1502" s="133" t="s">
        <v>593</v>
      </c>
      <c r="E1502" s="216">
        <v>42995.0</v>
      </c>
      <c r="F1502" s="110" t="str">
        <f t="shared" ref="F1502:F1513" si="137">TEXT(E1496:E1502, "mmm") &amp; "-" &amp; TEXT(E1496:E1502, "yyyy") </f>
        <v>Sep-2017</v>
      </c>
      <c r="G1502" s="110" t="s">
        <v>20</v>
      </c>
      <c r="H1502" s="47" t="s">
        <v>35</v>
      </c>
      <c r="I1502" s="79" t="s">
        <v>594</v>
      </c>
      <c r="J1502" s="47" t="s">
        <v>86</v>
      </c>
      <c r="K1502" s="47" t="s">
        <v>9</v>
      </c>
      <c r="L1502" s="47" t="s">
        <v>30</v>
      </c>
      <c r="M1502" s="47" t="s">
        <v>30</v>
      </c>
      <c r="N1502" s="47" t="s">
        <v>69</v>
      </c>
      <c r="O1502" s="152"/>
      <c r="P1502" s="152"/>
      <c r="Q1502" s="153"/>
    </row>
    <row r="1503">
      <c r="A1503" s="134" t="s">
        <v>18</v>
      </c>
      <c r="B1503" s="134" t="s">
        <v>18</v>
      </c>
      <c r="C1503" s="134" t="s">
        <v>74</v>
      </c>
      <c r="D1503" s="133" t="s">
        <v>593</v>
      </c>
      <c r="E1503" s="215">
        <v>42995.0</v>
      </c>
      <c r="F1503" s="13" t="str">
        <f t="shared" si="137"/>
        <v>Sep-2017</v>
      </c>
      <c r="G1503" s="13" t="s">
        <v>25</v>
      </c>
      <c r="H1503" s="16" t="s">
        <v>35</v>
      </c>
      <c r="I1503" s="48" t="s">
        <v>594</v>
      </c>
      <c r="J1503" s="16" t="s">
        <v>86</v>
      </c>
      <c r="K1503" s="16" t="s">
        <v>9</v>
      </c>
      <c r="L1503" s="16" t="s">
        <v>30</v>
      </c>
      <c r="M1503" s="16"/>
      <c r="N1503" s="16" t="s">
        <v>29</v>
      </c>
      <c r="O1503" s="101"/>
      <c r="P1503" s="101"/>
      <c r="Q1503" s="102"/>
    </row>
    <row r="1504">
      <c r="A1504" s="134" t="s">
        <v>595</v>
      </c>
      <c r="B1504" s="134" t="s">
        <v>18</v>
      </c>
      <c r="C1504" s="134" t="s">
        <v>74</v>
      </c>
      <c r="D1504" s="133" t="s">
        <v>593</v>
      </c>
      <c r="E1504" s="167">
        <v>42995.0</v>
      </c>
      <c r="F1504" s="21" t="str">
        <f t="shared" si="137"/>
        <v>Sep-2017</v>
      </c>
      <c r="G1504" s="21" t="s">
        <v>20</v>
      </c>
      <c r="H1504" s="25" t="s">
        <v>35</v>
      </c>
      <c r="I1504" s="80" t="s">
        <v>92</v>
      </c>
      <c r="J1504" s="25" t="s">
        <v>27</v>
      </c>
      <c r="K1504" s="25" t="s">
        <v>9</v>
      </c>
      <c r="L1504" s="25" t="s">
        <v>24</v>
      </c>
      <c r="M1504" s="25" t="s">
        <v>30</v>
      </c>
      <c r="N1504" s="25" t="s">
        <v>69</v>
      </c>
      <c r="O1504" s="25">
        <v>13.0</v>
      </c>
      <c r="P1504" s="25" t="s">
        <v>596</v>
      </c>
      <c r="Q1504" s="99"/>
    </row>
    <row r="1505">
      <c r="A1505" s="168">
        <v>42995.0</v>
      </c>
      <c r="B1505" s="134" t="s">
        <v>18</v>
      </c>
      <c r="C1505" s="134" t="s">
        <v>74</v>
      </c>
      <c r="D1505" s="133" t="s">
        <v>593</v>
      </c>
      <c r="E1505" s="167">
        <v>42995.0</v>
      </c>
      <c r="F1505" s="21" t="str">
        <f t="shared" si="137"/>
        <v>Sep-2017</v>
      </c>
      <c r="G1505" s="21" t="s">
        <v>25</v>
      </c>
      <c r="H1505" s="25" t="s">
        <v>35</v>
      </c>
      <c r="I1505" s="80" t="s">
        <v>92</v>
      </c>
      <c r="J1505" s="25" t="s">
        <v>27</v>
      </c>
      <c r="K1505" s="25" t="s">
        <v>9</v>
      </c>
      <c r="L1505" s="25" t="s">
        <v>30</v>
      </c>
      <c r="M1505" s="25"/>
      <c r="N1505" s="25" t="s">
        <v>106</v>
      </c>
      <c r="O1505" s="25">
        <v>13.0</v>
      </c>
      <c r="P1505" s="25" t="s">
        <v>596</v>
      </c>
      <c r="Q1505" s="99"/>
    </row>
    <row r="1506">
      <c r="A1506" s="176" t="s">
        <v>597</v>
      </c>
      <c r="B1506" s="134" t="s">
        <v>18</v>
      </c>
      <c r="C1506" s="134" t="s">
        <v>74</v>
      </c>
      <c r="D1506" s="133" t="s">
        <v>593</v>
      </c>
      <c r="E1506" s="167">
        <v>42995.0</v>
      </c>
      <c r="F1506" s="21" t="str">
        <f t="shared" si="137"/>
        <v>Sep-2017</v>
      </c>
      <c r="G1506" s="119" t="s">
        <v>32</v>
      </c>
      <c r="H1506" s="25" t="s">
        <v>35</v>
      </c>
      <c r="I1506" s="80" t="s">
        <v>92</v>
      </c>
      <c r="J1506" s="25" t="s">
        <v>27</v>
      </c>
      <c r="K1506" s="25" t="s">
        <v>9</v>
      </c>
      <c r="L1506" s="25" t="s">
        <v>30</v>
      </c>
      <c r="M1506" s="25"/>
      <c r="N1506" s="25" t="s">
        <v>37</v>
      </c>
      <c r="O1506" s="25">
        <v>13.0</v>
      </c>
      <c r="P1506" s="25" t="s">
        <v>596</v>
      </c>
      <c r="Q1506" s="99"/>
    </row>
    <row r="1507">
      <c r="A1507" s="134" t="s">
        <v>74</v>
      </c>
      <c r="B1507" s="134" t="s">
        <v>18</v>
      </c>
      <c r="C1507" s="134" t="s">
        <v>74</v>
      </c>
      <c r="D1507" s="133" t="s">
        <v>593</v>
      </c>
      <c r="E1507" s="215">
        <v>42995.0</v>
      </c>
      <c r="F1507" s="13" t="str">
        <f t="shared" si="137"/>
        <v>Sep-2017</v>
      </c>
      <c r="G1507" s="13" t="s">
        <v>20</v>
      </c>
      <c r="H1507" s="16" t="s">
        <v>35</v>
      </c>
      <c r="I1507" s="48" t="s">
        <v>135</v>
      </c>
      <c r="J1507" s="16" t="s">
        <v>86</v>
      </c>
      <c r="K1507" s="16" t="s">
        <v>9</v>
      </c>
      <c r="L1507" s="16" t="s">
        <v>30</v>
      </c>
      <c r="M1507" s="16" t="s">
        <v>30</v>
      </c>
      <c r="N1507" s="16" t="s">
        <v>99</v>
      </c>
      <c r="O1507" s="101"/>
      <c r="P1507" s="101"/>
      <c r="Q1507" s="102"/>
    </row>
    <row r="1508">
      <c r="A1508" s="140"/>
      <c r="B1508" s="134" t="s">
        <v>18</v>
      </c>
      <c r="C1508" s="134" t="s">
        <v>74</v>
      </c>
      <c r="D1508" s="133" t="s">
        <v>593</v>
      </c>
      <c r="E1508" s="215">
        <v>42995.0</v>
      </c>
      <c r="F1508" s="13" t="str">
        <f t="shared" si="137"/>
        <v>Sep-2017</v>
      </c>
      <c r="G1508" s="13" t="s">
        <v>25</v>
      </c>
      <c r="H1508" s="16" t="s">
        <v>35</v>
      </c>
      <c r="I1508" s="48" t="s">
        <v>135</v>
      </c>
      <c r="J1508" s="16" t="s">
        <v>86</v>
      </c>
      <c r="K1508" s="16" t="s">
        <v>9</v>
      </c>
      <c r="L1508" s="16" t="s">
        <v>24</v>
      </c>
      <c r="M1508" s="16"/>
      <c r="N1508" s="16" t="s">
        <v>98</v>
      </c>
      <c r="O1508" s="101"/>
      <c r="P1508" s="101"/>
      <c r="Q1508" s="102"/>
    </row>
    <row r="1509">
      <c r="A1509" s="140"/>
      <c r="B1509" s="134" t="s">
        <v>18</v>
      </c>
      <c r="C1509" s="134" t="s">
        <v>74</v>
      </c>
      <c r="D1509" s="133" t="s">
        <v>593</v>
      </c>
      <c r="E1509" s="215">
        <v>42995.0</v>
      </c>
      <c r="F1509" s="13" t="str">
        <f t="shared" si="137"/>
        <v>Sep-2017</v>
      </c>
      <c r="G1509" s="16" t="s">
        <v>32</v>
      </c>
      <c r="H1509" s="16" t="s">
        <v>35</v>
      </c>
      <c r="I1509" s="48" t="s">
        <v>135</v>
      </c>
      <c r="J1509" s="16" t="s">
        <v>86</v>
      </c>
      <c r="K1509" s="16" t="s">
        <v>9</v>
      </c>
      <c r="L1509" s="16" t="s">
        <v>30</v>
      </c>
      <c r="M1509" s="16"/>
      <c r="N1509" s="16" t="s">
        <v>69</v>
      </c>
      <c r="O1509" s="101"/>
      <c r="P1509" s="101"/>
      <c r="Q1509" s="102"/>
    </row>
    <row r="1510">
      <c r="A1510" s="140"/>
      <c r="B1510" s="134" t="s">
        <v>18</v>
      </c>
      <c r="C1510" s="134" t="s">
        <v>74</v>
      </c>
      <c r="D1510" s="133" t="s">
        <v>593</v>
      </c>
      <c r="E1510" s="167">
        <v>42995.0</v>
      </c>
      <c r="F1510" s="21" t="str">
        <f t="shared" si="137"/>
        <v>Sep-2017</v>
      </c>
      <c r="G1510" s="21" t="s">
        <v>20</v>
      </c>
      <c r="H1510" s="25" t="s">
        <v>35</v>
      </c>
      <c r="I1510" s="80" t="s">
        <v>239</v>
      </c>
      <c r="J1510" s="25" t="s">
        <v>27</v>
      </c>
      <c r="K1510" s="25" t="s">
        <v>9</v>
      </c>
      <c r="L1510" s="25" t="s">
        <v>24</v>
      </c>
      <c r="M1510" s="25" t="s">
        <v>24</v>
      </c>
      <c r="N1510" s="25" t="s">
        <v>69</v>
      </c>
      <c r="Q1510" s="99"/>
    </row>
    <row r="1511">
      <c r="A1511" s="140"/>
      <c r="B1511" s="134" t="s">
        <v>18</v>
      </c>
      <c r="C1511" s="134" t="s">
        <v>74</v>
      </c>
      <c r="D1511" s="133" t="s">
        <v>593</v>
      </c>
      <c r="E1511" s="167">
        <v>42995.0</v>
      </c>
      <c r="F1511" s="21" t="str">
        <f t="shared" si="137"/>
        <v>Sep-2017</v>
      </c>
      <c r="G1511" s="21" t="s">
        <v>25</v>
      </c>
      <c r="H1511" s="25" t="s">
        <v>35</v>
      </c>
      <c r="I1511" s="80" t="s">
        <v>239</v>
      </c>
      <c r="J1511" s="25" t="s">
        <v>27</v>
      </c>
      <c r="K1511" s="25" t="s">
        <v>9</v>
      </c>
      <c r="L1511" s="25" t="s">
        <v>24</v>
      </c>
      <c r="M1511" s="25"/>
      <c r="N1511" s="25" t="s">
        <v>106</v>
      </c>
      <c r="Q1511" s="99"/>
    </row>
    <row r="1512">
      <c r="A1512" s="140"/>
      <c r="B1512" s="134" t="s">
        <v>18</v>
      </c>
      <c r="C1512" s="134" t="s">
        <v>74</v>
      </c>
      <c r="D1512" s="133" t="s">
        <v>593</v>
      </c>
      <c r="E1512" s="215">
        <v>42995.0</v>
      </c>
      <c r="F1512" s="13" t="str">
        <f t="shared" si="137"/>
        <v>Sep-2017</v>
      </c>
      <c r="G1512" s="13" t="s">
        <v>20</v>
      </c>
      <c r="H1512" s="16" t="s">
        <v>35</v>
      </c>
      <c r="I1512" s="48" t="s">
        <v>598</v>
      </c>
      <c r="J1512" s="16" t="s">
        <v>44</v>
      </c>
      <c r="K1512" s="16" t="s">
        <v>9</v>
      </c>
      <c r="L1512" s="16" t="s">
        <v>24</v>
      </c>
      <c r="M1512" s="16" t="s">
        <v>24</v>
      </c>
      <c r="N1512" s="16" t="s">
        <v>98</v>
      </c>
      <c r="O1512" s="101"/>
      <c r="P1512" s="101"/>
      <c r="Q1512" s="102"/>
    </row>
    <row r="1513">
      <c r="A1513" s="141"/>
      <c r="B1513" s="134" t="s">
        <v>18</v>
      </c>
      <c r="C1513" s="134" t="s">
        <v>74</v>
      </c>
      <c r="D1513" s="133" t="s">
        <v>593</v>
      </c>
      <c r="E1513" s="217">
        <v>42995.0</v>
      </c>
      <c r="F1513" s="35" t="str">
        <f t="shared" si="137"/>
        <v>Sep-2017</v>
      </c>
      <c r="G1513" s="35" t="s">
        <v>25</v>
      </c>
      <c r="H1513" s="38" t="s">
        <v>35</v>
      </c>
      <c r="I1513" s="122" t="s">
        <v>598</v>
      </c>
      <c r="J1513" s="38" t="s">
        <v>44</v>
      </c>
      <c r="K1513" s="38" t="s">
        <v>9</v>
      </c>
      <c r="L1513" s="38" t="s">
        <v>24</v>
      </c>
      <c r="M1513" s="38"/>
      <c r="N1513" s="38" t="s">
        <v>106</v>
      </c>
      <c r="O1513" s="105"/>
      <c r="P1513" s="105"/>
      <c r="Q1513" s="106"/>
    </row>
    <row r="1514">
      <c r="A1514" s="107"/>
      <c r="B1514" s="95"/>
      <c r="C1514" s="95"/>
      <c r="D1514" s="95"/>
      <c r="E1514" s="95"/>
      <c r="I1514" s="23"/>
    </row>
    <row r="1515">
      <c r="A1515" s="133" t="s">
        <v>599</v>
      </c>
      <c r="B1515" s="134" t="s">
        <v>151</v>
      </c>
      <c r="C1515" s="134" t="s">
        <v>74</v>
      </c>
      <c r="D1515" s="133" t="s">
        <v>599</v>
      </c>
      <c r="E1515" s="168">
        <v>43000.0</v>
      </c>
      <c r="F1515" s="21" t="str">
        <f t="shared" ref="F1515:F1522" si="138">TEXT(E1509:E1515, "mmm") &amp; "-" &amp; TEXT(E1509:E1515, "yyyy") </f>
        <v>Sep-2017</v>
      </c>
      <c r="G1515" s="70" t="s">
        <v>20</v>
      </c>
      <c r="H1515" s="73" t="s">
        <v>35</v>
      </c>
      <c r="I1515" s="86" t="s">
        <v>184</v>
      </c>
      <c r="J1515" s="73" t="s">
        <v>44</v>
      </c>
      <c r="K1515" s="73" t="s">
        <v>9</v>
      </c>
      <c r="L1515" s="73" t="s">
        <v>24</v>
      </c>
      <c r="M1515" s="73" t="s">
        <v>24</v>
      </c>
      <c r="N1515" s="73" t="s">
        <v>98</v>
      </c>
      <c r="O1515" s="165"/>
      <c r="P1515" s="165"/>
      <c r="Q1515" s="166"/>
    </row>
    <row r="1516">
      <c r="A1516" s="134" t="s">
        <v>151</v>
      </c>
      <c r="B1516" s="134" t="s">
        <v>151</v>
      </c>
      <c r="C1516" s="134" t="s">
        <v>74</v>
      </c>
      <c r="D1516" s="133" t="s">
        <v>599</v>
      </c>
      <c r="E1516" s="168">
        <v>43000.0</v>
      </c>
      <c r="F1516" s="21" t="str">
        <f t="shared" si="138"/>
        <v>Sep-2017</v>
      </c>
      <c r="G1516" s="21" t="s">
        <v>25</v>
      </c>
      <c r="H1516" s="25" t="s">
        <v>35</v>
      </c>
      <c r="I1516" s="80" t="s">
        <v>184</v>
      </c>
      <c r="J1516" s="25" t="s">
        <v>44</v>
      </c>
      <c r="K1516" s="25" t="s">
        <v>9</v>
      </c>
      <c r="L1516" s="25" t="s">
        <v>24</v>
      </c>
      <c r="M1516" s="25"/>
      <c r="N1516" s="25" t="s">
        <v>37</v>
      </c>
      <c r="Q1516" s="99"/>
    </row>
    <row r="1517">
      <c r="A1517" s="134" t="s">
        <v>368</v>
      </c>
      <c r="B1517" s="134" t="s">
        <v>151</v>
      </c>
      <c r="C1517" s="134" t="s">
        <v>74</v>
      </c>
      <c r="D1517" s="133" t="s">
        <v>599</v>
      </c>
      <c r="E1517" s="168">
        <v>43000.0</v>
      </c>
      <c r="F1517" s="21" t="str">
        <f t="shared" si="138"/>
        <v>Sep-2017</v>
      </c>
      <c r="G1517" s="13" t="s">
        <v>20</v>
      </c>
      <c r="H1517" s="16" t="s">
        <v>35</v>
      </c>
      <c r="I1517" s="48" t="s">
        <v>600</v>
      </c>
      <c r="J1517" s="16" t="s">
        <v>86</v>
      </c>
      <c r="K1517" s="16" t="s">
        <v>9</v>
      </c>
      <c r="L1517" s="16" t="s">
        <v>30</v>
      </c>
      <c r="M1517" s="16" t="s">
        <v>30</v>
      </c>
      <c r="N1517" s="16" t="s">
        <v>29</v>
      </c>
      <c r="O1517" s="101"/>
      <c r="P1517" s="101"/>
      <c r="Q1517" s="102"/>
    </row>
    <row r="1518">
      <c r="A1518" s="168">
        <v>43000.0</v>
      </c>
      <c r="B1518" s="134" t="s">
        <v>151</v>
      </c>
      <c r="C1518" s="134" t="s">
        <v>74</v>
      </c>
      <c r="D1518" s="133" t="s">
        <v>599</v>
      </c>
      <c r="E1518" s="168">
        <v>43000.0</v>
      </c>
      <c r="F1518" s="21" t="str">
        <f t="shared" si="138"/>
        <v>Sep-2017</v>
      </c>
      <c r="G1518" s="13" t="s">
        <v>25</v>
      </c>
      <c r="H1518" s="16" t="s">
        <v>35</v>
      </c>
      <c r="I1518" s="48" t="s">
        <v>600</v>
      </c>
      <c r="J1518" s="16" t="s">
        <v>86</v>
      </c>
      <c r="K1518" s="16" t="s">
        <v>9</v>
      </c>
      <c r="L1518" s="16" t="s">
        <v>30</v>
      </c>
      <c r="M1518" s="16"/>
      <c r="N1518" s="16" t="s">
        <v>106</v>
      </c>
      <c r="O1518" s="101"/>
      <c r="P1518" s="101"/>
      <c r="Q1518" s="102"/>
    </row>
    <row r="1519">
      <c r="A1519" s="176" t="s">
        <v>601</v>
      </c>
      <c r="B1519" s="134" t="s">
        <v>151</v>
      </c>
      <c r="C1519" s="134" t="s">
        <v>74</v>
      </c>
      <c r="D1519" s="133" t="s">
        <v>599</v>
      </c>
      <c r="E1519" s="168">
        <v>43000.0</v>
      </c>
      <c r="F1519" s="21" t="str">
        <f t="shared" si="138"/>
        <v>Sep-2017</v>
      </c>
      <c r="G1519" s="21" t="s">
        <v>20</v>
      </c>
      <c r="H1519" s="25" t="s">
        <v>35</v>
      </c>
      <c r="I1519" s="80" t="s">
        <v>602</v>
      </c>
      <c r="J1519" s="25" t="s">
        <v>23</v>
      </c>
      <c r="K1519" s="25" t="s">
        <v>9</v>
      </c>
      <c r="L1519" s="25" t="s">
        <v>30</v>
      </c>
      <c r="M1519" s="25" t="s">
        <v>30</v>
      </c>
      <c r="N1519" s="25" t="s">
        <v>37</v>
      </c>
      <c r="Q1519" s="99"/>
    </row>
    <row r="1520">
      <c r="A1520" s="134" t="s">
        <v>74</v>
      </c>
      <c r="B1520" s="134" t="s">
        <v>151</v>
      </c>
      <c r="C1520" s="134" t="s">
        <v>74</v>
      </c>
      <c r="D1520" s="133" t="s">
        <v>599</v>
      </c>
      <c r="E1520" s="168">
        <v>43000.0</v>
      </c>
      <c r="F1520" s="21" t="str">
        <f t="shared" si="138"/>
        <v>Sep-2017</v>
      </c>
      <c r="G1520" s="21" t="s">
        <v>25</v>
      </c>
      <c r="H1520" s="25" t="s">
        <v>35</v>
      </c>
      <c r="I1520" s="80" t="s">
        <v>602</v>
      </c>
      <c r="J1520" s="25" t="s">
        <v>23</v>
      </c>
      <c r="K1520" s="25" t="s">
        <v>9</v>
      </c>
      <c r="L1520" s="25" t="s">
        <v>30</v>
      </c>
      <c r="M1520" s="25"/>
      <c r="N1520" s="25" t="s">
        <v>37</v>
      </c>
      <c r="Q1520" s="99"/>
    </row>
    <row r="1521">
      <c r="A1521" s="140"/>
      <c r="B1521" s="134" t="s">
        <v>151</v>
      </c>
      <c r="C1521" s="134" t="s">
        <v>74</v>
      </c>
      <c r="D1521" s="133" t="s">
        <v>599</v>
      </c>
      <c r="E1521" s="168">
        <v>43000.0</v>
      </c>
      <c r="F1521" s="21" t="str">
        <f t="shared" si="138"/>
        <v>Sep-2017</v>
      </c>
      <c r="G1521" s="13" t="s">
        <v>20</v>
      </c>
      <c r="H1521" s="16" t="s">
        <v>35</v>
      </c>
      <c r="I1521" s="48" t="s">
        <v>111</v>
      </c>
      <c r="J1521" s="16" t="s">
        <v>216</v>
      </c>
      <c r="K1521" s="16" t="s">
        <v>9</v>
      </c>
      <c r="L1521" s="16" t="s">
        <v>24</v>
      </c>
      <c r="M1521" s="16" t="s">
        <v>24</v>
      </c>
      <c r="N1521" s="16" t="s">
        <v>98</v>
      </c>
      <c r="O1521" s="101"/>
      <c r="P1521" s="101"/>
      <c r="Q1521" s="102"/>
    </row>
    <row r="1522">
      <c r="A1522" s="141"/>
      <c r="B1522" s="134" t="s">
        <v>151</v>
      </c>
      <c r="C1522" s="134" t="s">
        <v>74</v>
      </c>
      <c r="D1522" s="133" t="s">
        <v>599</v>
      </c>
      <c r="E1522" s="168">
        <v>43000.0</v>
      </c>
      <c r="F1522" s="21" t="str">
        <f t="shared" si="138"/>
        <v>Sep-2017</v>
      </c>
      <c r="G1522" s="35" t="s">
        <v>25</v>
      </c>
      <c r="H1522" s="38" t="s">
        <v>35</v>
      </c>
      <c r="I1522" s="122" t="s">
        <v>111</v>
      </c>
      <c r="J1522" s="38" t="s">
        <v>216</v>
      </c>
      <c r="K1522" s="38" t="s">
        <v>9</v>
      </c>
      <c r="L1522" s="38" t="s">
        <v>24</v>
      </c>
      <c r="M1522" s="38"/>
      <c r="N1522" s="38" t="s">
        <v>106</v>
      </c>
      <c r="O1522" s="105"/>
      <c r="P1522" s="105"/>
      <c r="Q1522" s="106"/>
    </row>
    <row r="1523">
      <c r="A1523" s="107"/>
      <c r="B1523" s="95"/>
      <c r="C1523" s="95"/>
      <c r="D1523" s="95"/>
      <c r="E1523" s="95"/>
      <c r="I1523" s="23"/>
    </row>
    <row r="1524">
      <c r="A1524" s="133" t="s">
        <v>603</v>
      </c>
      <c r="B1524" s="134" t="s">
        <v>18</v>
      </c>
      <c r="C1524" s="134" t="s">
        <v>74</v>
      </c>
      <c r="D1524" s="133" t="s">
        <v>603</v>
      </c>
      <c r="E1524" s="168">
        <v>43005.0</v>
      </c>
      <c r="F1524" s="110" t="str">
        <f t="shared" ref="F1524:F1527" si="139">TEXT(E1518:E1524, "mmm") &amp; "-" &amp; TEXT(E1518:E1524, "yyyy") </f>
        <v>Sep-2017</v>
      </c>
      <c r="G1524" s="110" t="s">
        <v>20</v>
      </c>
      <c r="H1524" s="47" t="s">
        <v>35</v>
      </c>
      <c r="I1524" s="79" t="s">
        <v>604</v>
      </c>
      <c r="J1524" s="47" t="s">
        <v>71</v>
      </c>
      <c r="K1524" s="47" t="s">
        <v>9</v>
      </c>
      <c r="L1524" s="47" t="s">
        <v>30</v>
      </c>
      <c r="M1524" s="47" t="s">
        <v>30</v>
      </c>
      <c r="N1524" s="47" t="s">
        <v>99</v>
      </c>
      <c r="O1524" s="152"/>
      <c r="P1524" s="152"/>
      <c r="Q1524" s="153"/>
    </row>
    <row r="1525">
      <c r="A1525" s="134" t="s">
        <v>18</v>
      </c>
      <c r="B1525" s="134" t="s">
        <v>18</v>
      </c>
      <c r="C1525" s="134" t="s">
        <v>74</v>
      </c>
      <c r="D1525" s="133" t="s">
        <v>603</v>
      </c>
      <c r="E1525" s="168">
        <v>43005.0</v>
      </c>
      <c r="F1525" s="13" t="str">
        <f t="shared" si="139"/>
        <v>Sep-2017</v>
      </c>
      <c r="G1525" s="13" t="s">
        <v>25</v>
      </c>
      <c r="H1525" s="16" t="s">
        <v>35</v>
      </c>
      <c r="I1525" s="48" t="s">
        <v>604</v>
      </c>
      <c r="J1525" s="16" t="s">
        <v>71</v>
      </c>
      <c r="K1525" s="16" t="s">
        <v>9</v>
      </c>
      <c r="L1525" s="16" t="s">
        <v>30</v>
      </c>
      <c r="M1525" s="16"/>
      <c r="N1525" s="16" t="s">
        <v>37</v>
      </c>
      <c r="O1525" s="101"/>
      <c r="P1525" s="101"/>
      <c r="Q1525" s="102"/>
    </row>
    <row r="1526">
      <c r="A1526" s="134" t="s">
        <v>595</v>
      </c>
      <c r="B1526" s="134" t="s">
        <v>18</v>
      </c>
      <c r="C1526" s="134" t="s">
        <v>74</v>
      </c>
      <c r="D1526" s="133" t="s">
        <v>603</v>
      </c>
      <c r="E1526" s="168">
        <v>43005.0</v>
      </c>
      <c r="F1526" s="21" t="str">
        <f t="shared" si="139"/>
        <v>Sep-2017</v>
      </c>
      <c r="G1526" s="21" t="s">
        <v>20</v>
      </c>
      <c r="H1526" s="25" t="s">
        <v>35</v>
      </c>
      <c r="I1526" s="80" t="s">
        <v>218</v>
      </c>
      <c r="J1526" s="25" t="s">
        <v>86</v>
      </c>
      <c r="K1526" s="25" t="s">
        <v>9</v>
      </c>
      <c r="L1526" s="25" t="s">
        <v>24</v>
      </c>
      <c r="M1526" s="25" t="s">
        <v>24</v>
      </c>
      <c r="N1526" s="25" t="s">
        <v>69</v>
      </c>
      <c r="Q1526" s="99"/>
    </row>
    <row r="1527">
      <c r="A1527" s="168">
        <v>43005.0</v>
      </c>
      <c r="B1527" s="134" t="s">
        <v>18</v>
      </c>
      <c r="C1527" s="134" t="s">
        <v>74</v>
      </c>
      <c r="D1527" s="133" t="s">
        <v>603</v>
      </c>
      <c r="E1527" s="168">
        <v>43005.0</v>
      </c>
      <c r="F1527" s="21" t="str">
        <f t="shared" si="139"/>
        <v>Sep-2017</v>
      </c>
      <c r="G1527" s="21" t="s">
        <v>25</v>
      </c>
      <c r="H1527" s="25" t="s">
        <v>35</v>
      </c>
      <c r="I1527" s="80" t="s">
        <v>218</v>
      </c>
      <c r="J1527" s="25" t="s">
        <v>86</v>
      </c>
      <c r="K1527" s="25" t="s">
        <v>9</v>
      </c>
      <c r="L1527" s="25" t="s">
        <v>24</v>
      </c>
      <c r="M1527" s="25"/>
      <c r="N1527" s="25" t="s">
        <v>99</v>
      </c>
      <c r="Q1527" s="99"/>
    </row>
    <row r="1528">
      <c r="A1528" s="176" t="s">
        <v>605</v>
      </c>
      <c r="B1528" s="134" t="s">
        <v>18</v>
      </c>
      <c r="C1528" s="134" t="s">
        <v>74</v>
      </c>
      <c r="D1528" s="133" t="s">
        <v>603</v>
      </c>
      <c r="E1528" s="168">
        <v>43005.0</v>
      </c>
      <c r="F1528" s="13" t="str">
        <f t="shared" ref="F1528:F1532" si="140">TEXT(E1523:E1528, "mmm") &amp; "-" &amp; TEXT(E1523:E1528, "yyyy") </f>
        <v>Sep-2017</v>
      </c>
      <c r="G1528" s="13" t="s">
        <v>20</v>
      </c>
      <c r="H1528" s="16" t="s">
        <v>35</v>
      </c>
      <c r="I1528" s="48" t="s">
        <v>606</v>
      </c>
      <c r="J1528" s="16" t="s">
        <v>97</v>
      </c>
      <c r="K1528" s="16" t="s">
        <v>9</v>
      </c>
      <c r="L1528" s="16" t="s">
        <v>30</v>
      </c>
      <c r="M1528" s="16" t="s">
        <v>30</v>
      </c>
      <c r="N1528" s="16" t="s">
        <v>98</v>
      </c>
      <c r="O1528" s="101"/>
      <c r="P1528" s="101"/>
      <c r="Q1528" s="102"/>
    </row>
    <row r="1529">
      <c r="A1529" s="134" t="s">
        <v>74</v>
      </c>
      <c r="B1529" s="134" t="s">
        <v>18</v>
      </c>
      <c r="C1529" s="134" t="s">
        <v>74</v>
      </c>
      <c r="D1529" s="133" t="s">
        <v>603</v>
      </c>
      <c r="E1529" s="168">
        <v>43005.0</v>
      </c>
      <c r="F1529" s="13" t="str">
        <f t="shared" si="140"/>
        <v>Sep-2017</v>
      </c>
      <c r="G1529" s="13" t="s">
        <v>25</v>
      </c>
      <c r="H1529" s="16" t="s">
        <v>35</v>
      </c>
      <c r="I1529" s="48" t="s">
        <v>606</v>
      </c>
      <c r="J1529" s="16" t="s">
        <v>97</v>
      </c>
      <c r="K1529" s="16" t="s">
        <v>9</v>
      </c>
      <c r="L1529" s="16" t="s">
        <v>30</v>
      </c>
      <c r="M1529" s="16"/>
      <c r="N1529" s="16" t="s">
        <v>98</v>
      </c>
      <c r="O1529" s="101"/>
      <c r="P1529" s="101"/>
      <c r="Q1529" s="102"/>
    </row>
    <row r="1530">
      <c r="A1530" s="140"/>
      <c r="B1530" s="134" t="s">
        <v>18</v>
      </c>
      <c r="C1530" s="134" t="s">
        <v>74</v>
      </c>
      <c r="D1530" s="133" t="s">
        <v>603</v>
      </c>
      <c r="E1530" s="168">
        <v>43005.0</v>
      </c>
      <c r="F1530" s="21" t="str">
        <f t="shared" si="140"/>
        <v>Sep-2017</v>
      </c>
      <c r="G1530" s="21" t="s">
        <v>20</v>
      </c>
      <c r="H1530" s="119" t="s">
        <v>35</v>
      </c>
      <c r="I1530" s="126" t="s">
        <v>607</v>
      </c>
      <c r="J1530" s="119" t="s">
        <v>44</v>
      </c>
      <c r="K1530" s="119" t="s">
        <v>9</v>
      </c>
      <c r="L1530" s="119" t="s">
        <v>24</v>
      </c>
      <c r="M1530" s="119" t="s">
        <v>24</v>
      </c>
      <c r="N1530" s="119" t="s">
        <v>98</v>
      </c>
      <c r="O1530" s="174"/>
      <c r="P1530" s="174"/>
      <c r="Q1530" s="175"/>
    </row>
    <row r="1531">
      <c r="A1531" s="140"/>
      <c r="B1531" s="134" t="s">
        <v>18</v>
      </c>
      <c r="C1531" s="134" t="s">
        <v>74</v>
      </c>
      <c r="D1531" s="133" t="s">
        <v>603</v>
      </c>
      <c r="E1531" s="168">
        <v>43005.0</v>
      </c>
      <c r="F1531" s="21" t="str">
        <f t="shared" si="140"/>
        <v>Sep-2017</v>
      </c>
      <c r="G1531" s="21" t="s">
        <v>25</v>
      </c>
      <c r="H1531" s="119" t="s">
        <v>35</v>
      </c>
      <c r="I1531" s="126" t="s">
        <v>607</v>
      </c>
      <c r="J1531" s="119" t="s">
        <v>44</v>
      </c>
      <c r="K1531" s="119" t="s">
        <v>9</v>
      </c>
      <c r="L1531" s="119" t="s">
        <v>30</v>
      </c>
      <c r="M1531" s="119"/>
      <c r="N1531" s="119" t="s">
        <v>106</v>
      </c>
      <c r="O1531" s="174"/>
      <c r="P1531" s="174"/>
      <c r="Q1531" s="175"/>
    </row>
    <row r="1532">
      <c r="A1532" s="141"/>
      <c r="B1532" s="134" t="s">
        <v>18</v>
      </c>
      <c r="C1532" s="134" t="s">
        <v>74</v>
      </c>
      <c r="D1532" s="133" t="s">
        <v>603</v>
      </c>
      <c r="E1532" s="170">
        <v>43005.0</v>
      </c>
      <c r="F1532" s="51" t="str">
        <f t="shared" si="140"/>
        <v>Sep-2017</v>
      </c>
      <c r="G1532" s="114" t="s">
        <v>32</v>
      </c>
      <c r="H1532" s="114" t="s">
        <v>35</v>
      </c>
      <c r="I1532" s="130" t="s">
        <v>607</v>
      </c>
      <c r="J1532" s="114" t="s">
        <v>44</v>
      </c>
      <c r="K1532" s="114" t="s">
        <v>9</v>
      </c>
      <c r="L1532" s="114" t="s">
        <v>24</v>
      </c>
      <c r="M1532" s="114"/>
      <c r="N1532" s="114" t="s">
        <v>99</v>
      </c>
      <c r="O1532" s="202"/>
      <c r="P1532" s="202"/>
      <c r="Q1532" s="203"/>
    </row>
    <row r="1533">
      <c r="A1533" s="107"/>
      <c r="B1533" s="95"/>
      <c r="C1533" s="95"/>
      <c r="D1533" s="95"/>
      <c r="E1533" s="95"/>
      <c r="I1533" s="23"/>
    </row>
    <row r="1534">
      <c r="A1534" s="133" t="s">
        <v>608</v>
      </c>
      <c r="B1534" s="134" t="s">
        <v>609</v>
      </c>
      <c r="C1534" s="134" t="s">
        <v>84</v>
      </c>
      <c r="D1534" s="133" t="s">
        <v>608</v>
      </c>
      <c r="E1534" s="239">
        <v>43008.0</v>
      </c>
      <c r="F1534" s="110" t="str">
        <f t="shared" ref="F1534:F1546" si="141">TEXT(E1529:E1534, "mmm") &amp; "-" &amp; TEXT(E1529:E1534, "yyyy") </f>
        <v>Sep-2017</v>
      </c>
      <c r="G1534" s="110" t="s">
        <v>20</v>
      </c>
      <c r="H1534" s="47" t="s">
        <v>287</v>
      </c>
      <c r="I1534" s="79" t="s">
        <v>245</v>
      </c>
      <c r="J1534" s="47" t="s">
        <v>27</v>
      </c>
      <c r="K1534" s="47" t="s">
        <v>9</v>
      </c>
      <c r="L1534" s="47" t="s">
        <v>30</v>
      </c>
      <c r="M1534" s="47" t="s">
        <v>30</v>
      </c>
      <c r="N1534" s="47" t="s">
        <v>37</v>
      </c>
      <c r="O1534" s="152"/>
      <c r="P1534" s="152"/>
      <c r="Q1534" s="153"/>
    </row>
    <row r="1535">
      <c r="A1535" s="134" t="s">
        <v>609</v>
      </c>
      <c r="B1535" s="134" t="s">
        <v>609</v>
      </c>
      <c r="C1535" s="134" t="s">
        <v>84</v>
      </c>
      <c r="D1535" s="133" t="s">
        <v>608</v>
      </c>
      <c r="E1535" s="240">
        <v>43008.0</v>
      </c>
      <c r="F1535" s="13" t="str">
        <f t="shared" si="141"/>
        <v>Sep-2017</v>
      </c>
      <c r="G1535" s="13" t="s">
        <v>25</v>
      </c>
      <c r="H1535" s="16" t="s">
        <v>287</v>
      </c>
      <c r="I1535" s="48" t="s">
        <v>245</v>
      </c>
      <c r="J1535" s="16" t="s">
        <v>27</v>
      </c>
      <c r="K1535" s="16" t="s">
        <v>9</v>
      </c>
      <c r="L1535" s="16" t="s">
        <v>30</v>
      </c>
      <c r="M1535" s="16"/>
      <c r="N1535" s="16" t="s">
        <v>99</v>
      </c>
      <c r="O1535" s="101"/>
      <c r="P1535" s="101"/>
      <c r="Q1535" s="102"/>
    </row>
    <row r="1536">
      <c r="A1536" s="134" t="s">
        <v>496</v>
      </c>
      <c r="B1536" s="134" t="s">
        <v>609</v>
      </c>
      <c r="C1536" s="134" t="s">
        <v>84</v>
      </c>
      <c r="D1536" s="133" t="s">
        <v>608</v>
      </c>
      <c r="E1536" s="240">
        <v>43008.0</v>
      </c>
      <c r="F1536" s="21" t="str">
        <f t="shared" si="141"/>
        <v>Sep-2017</v>
      </c>
      <c r="G1536" s="21" t="s">
        <v>20</v>
      </c>
      <c r="H1536" s="25" t="s">
        <v>287</v>
      </c>
      <c r="I1536" s="80" t="s">
        <v>190</v>
      </c>
      <c r="J1536" s="25" t="s">
        <v>9</v>
      </c>
      <c r="K1536" s="25" t="s">
        <v>9</v>
      </c>
      <c r="L1536" s="25" t="s">
        <v>24</v>
      </c>
      <c r="M1536" s="25" t="s">
        <v>24</v>
      </c>
      <c r="N1536" s="25" t="s">
        <v>98</v>
      </c>
      <c r="Q1536" s="99"/>
    </row>
    <row r="1537">
      <c r="A1537" s="168">
        <v>43008.0</v>
      </c>
      <c r="B1537" s="134" t="s">
        <v>609</v>
      </c>
      <c r="C1537" s="134" t="s">
        <v>84</v>
      </c>
      <c r="D1537" s="133" t="s">
        <v>608</v>
      </c>
      <c r="E1537" s="240">
        <v>43008.0</v>
      </c>
      <c r="F1537" s="21" t="str">
        <f t="shared" si="141"/>
        <v>Sep-2017</v>
      </c>
      <c r="G1537" s="21" t="s">
        <v>25</v>
      </c>
      <c r="H1537" s="25" t="s">
        <v>287</v>
      </c>
      <c r="I1537" s="80" t="s">
        <v>190</v>
      </c>
      <c r="J1537" s="25" t="s">
        <v>9</v>
      </c>
      <c r="K1537" s="25" t="s">
        <v>9</v>
      </c>
      <c r="L1537" s="25" t="s">
        <v>30</v>
      </c>
      <c r="M1537" s="25"/>
      <c r="N1537" s="25" t="s">
        <v>106</v>
      </c>
      <c r="Q1537" s="99"/>
    </row>
    <row r="1538">
      <c r="A1538" s="176" t="s">
        <v>610</v>
      </c>
      <c r="B1538" s="134" t="s">
        <v>609</v>
      </c>
      <c r="C1538" s="134" t="s">
        <v>84</v>
      </c>
      <c r="D1538" s="133" t="s">
        <v>608</v>
      </c>
      <c r="E1538" s="240">
        <v>43008.0</v>
      </c>
      <c r="F1538" s="21" t="str">
        <f t="shared" si="141"/>
        <v>Sep-2017</v>
      </c>
      <c r="G1538" s="119" t="s">
        <v>32</v>
      </c>
      <c r="H1538" s="25" t="s">
        <v>287</v>
      </c>
      <c r="I1538" s="80" t="s">
        <v>190</v>
      </c>
      <c r="J1538" s="25" t="s">
        <v>9</v>
      </c>
      <c r="K1538" s="25" t="s">
        <v>9</v>
      </c>
      <c r="L1538" s="25" t="s">
        <v>24</v>
      </c>
      <c r="M1538" s="25"/>
      <c r="N1538" s="25" t="s">
        <v>99</v>
      </c>
      <c r="Q1538" s="99"/>
    </row>
    <row r="1539">
      <c r="A1539" s="134" t="s">
        <v>84</v>
      </c>
      <c r="B1539" s="134" t="s">
        <v>609</v>
      </c>
      <c r="C1539" s="134" t="s">
        <v>84</v>
      </c>
      <c r="D1539" s="133" t="s">
        <v>608</v>
      </c>
      <c r="E1539" s="240">
        <v>43008.0</v>
      </c>
      <c r="F1539" s="13" t="str">
        <f t="shared" si="141"/>
        <v>Sep-2017</v>
      </c>
      <c r="G1539" s="13" t="s">
        <v>20</v>
      </c>
      <c r="H1539" s="16" t="s">
        <v>287</v>
      </c>
      <c r="I1539" s="48" t="s">
        <v>194</v>
      </c>
      <c r="J1539" s="16" t="s">
        <v>23</v>
      </c>
      <c r="K1539" s="16" t="s">
        <v>9</v>
      </c>
      <c r="L1539" s="16" t="s">
        <v>24</v>
      </c>
      <c r="M1539" s="16" t="s">
        <v>24</v>
      </c>
      <c r="N1539" s="16" t="s">
        <v>37</v>
      </c>
      <c r="O1539" s="101"/>
      <c r="P1539" s="101"/>
      <c r="Q1539" s="102"/>
    </row>
    <row r="1540">
      <c r="A1540" s="140"/>
      <c r="B1540" s="134" t="s">
        <v>609</v>
      </c>
      <c r="C1540" s="134" t="s">
        <v>84</v>
      </c>
      <c r="D1540" s="133" t="s">
        <v>608</v>
      </c>
      <c r="E1540" s="240">
        <v>43008.0</v>
      </c>
      <c r="F1540" s="13" t="str">
        <f t="shared" si="141"/>
        <v>Sep-2017</v>
      </c>
      <c r="G1540" s="13" t="s">
        <v>25</v>
      </c>
      <c r="H1540" s="16" t="s">
        <v>287</v>
      </c>
      <c r="I1540" s="48" t="s">
        <v>194</v>
      </c>
      <c r="J1540" s="16" t="s">
        <v>23</v>
      </c>
      <c r="K1540" s="16" t="s">
        <v>9</v>
      </c>
      <c r="L1540" s="16" t="s">
        <v>24</v>
      </c>
      <c r="M1540" s="16"/>
      <c r="N1540" s="16" t="s">
        <v>106</v>
      </c>
      <c r="O1540" s="101"/>
      <c r="P1540" s="101"/>
      <c r="Q1540" s="102"/>
    </row>
    <row r="1541">
      <c r="A1541" s="140"/>
      <c r="B1541" s="134" t="s">
        <v>609</v>
      </c>
      <c r="C1541" s="134" t="s">
        <v>84</v>
      </c>
      <c r="D1541" s="133" t="s">
        <v>608</v>
      </c>
      <c r="E1541" s="240">
        <v>43008.0</v>
      </c>
      <c r="F1541" s="21" t="str">
        <f t="shared" si="141"/>
        <v>Sep-2017</v>
      </c>
      <c r="G1541" s="21" t="s">
        <v>20</v>
      </c>
      <c r="H1541" s="119" t="s">
        <v>35</v>
      </c>
      <c r="I1541" s="80" t="s">
        <v>22</v>
      </c>
      <c r="J1541" s="25" t="s">
        <v>23</v>
      </c>
      <c r="K1541" s="25" t="s">
        <v>9</v>
      </c>
      <c r="L1541" s="25" t="s">
        <v>24</v>
      </c>
      <c r="M1541" s="25" t="s">
        <v>24</v>
      </c>
      <c r="N1541" s="25" t="s">
        <v>69</v>
      </c>
      <c r="Q1541" s="99"/>
    </row>
    <row r="1542">
      <c r="A1542" s="140"/>
      <c r="B1542" s="134" t="s">
        <v>609</v>
      </c>
      <c r="C1542" s="134" t="s">
        <v>84</v>
      </c>
      <c r="D1542" s="133" t="s">
        <v>608</v>
      </c>
      <c r="E1542" s="240">
        <v>43008.0</v>
      </c>
      <c r="F1542" s="21" t="str">
        <f t="shared" si="141"/>
        <v>Sep-2017</v>
      </c>
      <c r="G1542" s="21" t="s">
        <v>25</v>
      </c>
      <c r="H1542" s="119" t="s">
        <v>35</v>
      </c>
      <c r="I1542" s="80" t="s">
        <v>22</v>
      </c>
      <c r="J1542" s="25" t="s">
        <v>23</v>
      </c>
      <c r="K1542" s="25" t="s">
        <v>9</v>
      </c>
      <c r="L1542" s="25" t="s">
        <v>24</v>
      </c>
      <c r="M1542" s="25"/>
      <c r="N1542" s="25" t="s">
        <v>106</v>
      </c>
      <c r="Q1542" s="99"/>
    </row>
    <row r="1543">
      <c r="A1543" s="140"/>
      <c r="B1543" s="134" t="s">
        <v>609</v>
      </c>
      <c r="C1543" s="134" t="s">
        <v>84</v>
      </c>
      <c r="D1543" s="133" t="s">
        <v>608</v>
      </c>
      <c r="E1543" s="240">
        <v>43008.0</v>
      </c>
      <c r="F1543" s="13" t="str">
        <f t="shared" si="141"/>
        <v>Sep-2017</v>
      </c>
      <c r="G1543" s="13" t="s">
        <v>20</v>
      </c>
      <c r="H1543" s="16" t="s">
        <v>35</v>
      </c>
      <c r="I1543" s="48" t="s">
        <v>302</v>
      </c>
      <c r="J1543" s="16" t="s">
        <v>27</v>
      </c>
      <c r="K1543" s="16" t="s">
        <v>9</v>
      </c>
      <c r="L1543" s="16" t="s">
        <v>30</v>
      </c>
      <c r="M1543" s="16" t="s">
        <v>30</v>
      </c>
      <c r="N1543" s="16" t="s">
        <v>37</v>
      </c>
      <c r="O1543" s="101"/>
      <c r="P1543" s="101"/>
      <c r="Q1543" s="102"/>
    </row>
    <row r="1544">
      <c r="A1544" s="140"/>
      <c r="B1544" s="134" t="s">
        <v>609</v>
      </c>
      <c r="C1544" s="134" t="s">
        <v>84</v>
      </c>
      <c r="D1544" s="133" t="s">
        <v>608</v>
      </c>
      <c r="E1544" s="240">
        <v>43008.0</v>
      </c>
      <c r="F1544" s="13" t="str">
        <f t="shared" si="141"/>
        <v>Sep-2017</v>
      </c>
      <c r="G1544" s="13" t="s">
        <v>25</v>
      </c>
      <c r="H1544" s="16" t="s">
        <v>35</v>
      </c>
      <c r="I1544" s="48" t="s">
        <v>302</v>
      </c>
      <c r="J1544" s="16" t="s">
        <v>27</v>
      </c>
      <c r="K1544" s="16" t="s">
        <v>9</v>
      </c>
      <c r="L1544" s="16" t="s">
        <v>30</v>
      </c>
      <c r="M1544" s="16"/>
      <c r="N1544" s="16" t="s">
        <v>99</v>
      </c>
      <c r="O1544" s="101"/>
      <c r="P1544" s="101"/>
      <c r="Q1544" s="102"/>
    </row>
    <row r="1545">
      <c r="A1545" s="140"/>
      <c r="B1545" s="134" t="s">
        <v>609</v>
      </c>
      <c r="C1545" s="134" t="s">
        <v>84</v>
      </c>
      <c r="D1545" s="133" t="s">
        <v>608</v>
      </c>
      <c r="E1545" s="240">
        <v>43008.0</v>
      </c>
      <c r="F1545" s="21" t="str">
        <f t="shared" si="141"/>
        <v>Sep-2017</v>
      </c>
      <c r="G1545" s="21" t="s">
        <v>20</v>
      </c>
      <c r="H1545" s="119" t="s">
        <v>35</v>
      </c>
      <c r="I1545" s="80" t="s">
        <v>346</v>
      </c>
      <c r="J1545" s="25" t="s">
        <v>44</v>
      </c>
      <c r="K1545" s="25" t="s">
        <v>9</v>
      </c>
      <c r="L1545" s="25" t="s">
        <v>24</v>
      </c>
      <c r="M1545" s="25" t="s">
        <v>24</v>
      </c>
      <c r="N1545" s="25" t="s">
        <v>69</v>
      </c>
      <c r="Q1545" s="99"/>
    </row>
    <row r="1546">
      <c r="A1546" s="141"/>
      <c r="B1546" s="134" t="s">
        <v>609</v>
      </c>
      <c r="C1546" s="134" t="s">
        <v>84</v>
      </c>
      <c r="D1546" s="133" t="s">
        <v>608</v>
      </c>
      <c r="E1546" s="241">
        <v>43008.0</v>
      </c>
      <c r="F1546" s="51" t="str">
        <f t="shared" si="141"/>
        <v>Sep-2017</v>
      </c>
      <c r="G1546" s="51" t="s">
        <v>25</v>
      </c>
      <c r="H1546" s="114" t="s">
        <v>35</v>
      </c>
      <c r="I1546" s="113" t="s">
        <v>346</v>
      </c>
      <c r="J1546" s="55" t="s">
        <v>44</v>
      </c>
      <c r="K1546" s="55" t="s">
        <v>9</v>
      </c>
      <c r="L1546" s="55" t="s">
        <v>24</v>
      </c>
      <c r="M1546" s="55"/>
      <c r="N1546" s="55" t="s">
        <v>106</v>
      </c>
      <c r="O1546" s="143"/>
      <c r="P1546" s="143"/>
      <c r="Q1546" s="144"/>
    </row>
    <row r="1547">
      <c r="A1547" s="107"/>
      <c r="B1547" s="95"/>
      <c r="C1547" s="95"/>
      <c r="D1547" s="95"/>
      <c r="E1547" s="95"/>
      <c r="I1547" s="23"/>
    </row>
    <row r="1548">
      <c r="A1548" s="182" t="s">
        <v>611</v>
      </c>
      <c r="B1548" s="183" t="s">
        <v>34</v>
      </c>
      <c r="C1548" s="183" t="s">
        <v>308</v>
      </c>
      <c r="D1548" s="182" t="s">
        <v>611</v>
      </c>
      <c r="E1548" s="135">
        <v>43014.0</v>
      </c>
      <c r="F1548" s="70" t="str">
        <f t="shared" ref="F1548:F1560" si="142">TEXT(E1543:E1548, "mmm") &amp; "-" &amp; TEXT(E1543:E1548, "yyyy") </f>
        <v>Oct-2017</v>
      </c>
      <c r="G1548" s="110" t="s">
        <v>20</v>
      </c>
      <c r="H1548" s="47" t="s">
        <v>612</v>
      </c>
      <c r="I1548" s="79" t="s">
        <v>613</v>
      </c>
      <c r="J1548" s="47" t="s">
        <v>44</v>
      </c>
      <c r="K1548" s="47" t="s">
        <v>9</v>
      </c>
      <c r="L1548" s="47" t="s">
        <v>24</v>
      </c>
      <c r="M1548" s="47" t="s">
        <v>30</v>
      </c>
      <c r="N1548" s="47" t="s">
        <v>98</v>
      </c>
      <c r="O1548" s="152"/>
      <c r="P1548" s="152"/>
      <c r="Q1548" s="136" t="s">
        <v>614</v>
      </c>
    </row>
    <row r="1549">
      <c r="A1549" s="183" t="s">
        <v>34</v>
      </c>
      <c r="B1549" s="183" t="s">
        <v>34</v>
      </c>
      <c r="C1549" s="183" t="s">
        <v>308</v>
      </c>
      <c r="D1549" s="182" t="s">
        <v>611</v>
      </c>
      <c r="E1549" s="137">
        <v>43014.0</v>
      </c>
      <c r="F1549" s="21" t="str">
        <f t="shared" si="142"/>
        <v>Oct-2017</v>
      </c>
      <c r="G1549" s="13" t="s">
        <v>25</v>
      </c>
      <c r="H1549" s="16" t="s">
        <v>612</v>
      </c>
      <c r="I1549" s="48" t="s">
        <v>613</v>
      </c>
      <c r="J1549" s="16" t="s">
        <v>44</v>
      </c>
      <c r="K1549" s="16" t="s">
        <v>9</v>
      </c>
      <c r="L1549" s="16" t="s">
        <v>30</v>
      </c>
      <c r="M1549" s="16"/>
      <c r="N1549" s="16" t="s">
        <v>106</v>
      </c>
      <c r="O1549" s="101"/>
      <c r="P1549" s="101"/>
      <c r="Q1549" s="138" t="s">
        <v>614</v>
      </c>
    </row>
    <row r="1550">
      <c r="A1550" s="183" t="s">
        <v>615</v>
      </c>
      <c r="B1550" s="183" t="s">
        <v>34</v>
      </c>
      <c r="C1550" s="183" t="s">
        <v>308</v>
      </c>
      <c r="D1550" s="182" t="s">
        <v>611</v>
      </c>
      <c r="E1550" s="137">
        <v>43014.0</v>
      </c>
      <c r="F1550" s="21" t="str">
        <f t="shared" si="142"/>
        <v>Oct-2017</v>
      </c>
      <c r="G1550" s="16" t="s">
        <v>32</v>
      </c>
      <c r="H1550" s="16" t="s">
        <v>612</v>
      </c>
      <c r="I1550" s="48" t="s">
        <v>613</v>
      </c>
      <c r="J1550" s="16" t="s">
        <v>44</v>
      </c>
      <c r="K1550" s="16" t="s">
        <v>9</v>
      </c>
      <c r="L1550" s="16" t="s">
        <v>30</v>
      </c>
      <c r="M1550" s="16"/>
      <c r="N1550" s="16" t="s">
        <v>99</v>
      </c>
      <c r="O1550" s="101"/>
      <c r="P1550" s="101"/>
      <c r="Q1550" s="138" t="s">
        <v>614</v>
      </c>
    </row>
    <row r="1551">
      <c r="A1551" s="183" t="s">
        <v>616</v>
      </c>
      <c r="B1551" s="183" t="s">
        <v>34</v>
      </c>
      <c r="C1551" s="183" t="s">
        <v>308</v>
      </c>
      <c r="D1551" s="182" t="s">
        <v>611</v>
      </c>
      <c r="E1551" s="137">
        <v>43014.0</v>
      </c>
      <c r="F1551" s="21" t="str">
        <f t="shared" si="142"/>
        <v>Oct-2017</v>
      </c>
      <c r="G1551" s="21" t="s">
        <v>20</v>
      </c>
      <c r="H1551" s="25" t="s">
        <v>612</v>
      </c>
      <c r="I1551" s="80" t="s">
        <v>617</v>
      </c>
      <c r="J1551" s="25" t="s">
        <v>71</v>
      </c>
      <c r="K1551" s="25" t="s">
        <v>9</v>
      </c>
      <c r="L1551" s="25" t="s">
        <v>24</v>
      </c>
      <c r="M1551" s="25" t="s">
        <v>24</v>
      </c>
      <c r="N1551" s="25" t="s">
        <v>99</v>
      </c>
      <c r="O1551" s="25">
        <v>9.0</v>
      </c>
      <c r="Q1551" s="184" t="s">
        <v>618</v>
      </c>
    </row>
    <row r="1552">
      <c r="A1552" s="183" t="s">
        <v>308</v>
      </c>
      <c r="B1552" s="183" t="s">
        <v>34</v>
      </c>
      <c r="C1552" s="183" t="s">
        <v>308</v>
      </c>
      <c r="D1552" s="182" t="s">
        <v>611</v>
      </c>
      <c r="E1552" s="137">
        <v>43014.0</v>
      </c>
      <c r="F1552" s="21" t="str">
        <f t="shared" si="142"/>
        <v>Oct-2017</v>
      </c>
      <c r="G1552" s="21" t="s">
        <v>25</v>
      </c>
      <c r="H1552" s="25" t="s">
        <v>612</v>
      </c>
      <c r="I1552" s="80" t="s">
        <v>617</v>
      </c>
      <c r="J1552" s="25" t="s">
        <v>71</v>
      </c>
      <c r="K1552" s="25" t="s">
        <v>9</v>
      </c>
      <c r="L1552" s="25" t="s">
        <v>30</v>
      </c>
      <c r="M1552" s="25"/>
      <c r="N1552" s="25" t="s">
        <v>106</v>
      </c>
      <c r="O1552" s="25">
        <v>9.0</v>
      </c>
      <c r="Q1552" s="184" t="s">
        <v>618</v>
      </c>
    </row>
    <row r="1553">
      <c r="A1553" s="242" t="s">
        <v>619</v>
      </c>
      <c r="B1553" s="183" t="s">
        <v>34</v>
      </c>
      <c r="C1553" s="183" t="s">
        <v>308</v>
      </c>
      <c r="D1553" s="182" t="s">
        <v>611</v>
      </c>
      <c r="E1553" s="137">
        <v>43014.0</v>
      </c>
      <c r="F1553" s="21" t="str">
        <f t="shared" si="142"/>
        <v>Oct-2017</v>
      </c>
      <c r="G1553" s="119" t="s">
        <v>32</v>
      </c>
      <c r="H1553" s="25" t="s">
        <v>612</v>
      </c>
      <c r="I1553" s="80" t="s">
        <v>617</v>
      </c>
      <c r="J1553" s="25" t="s">
        <v>71</v>
      </c>
      <c r="K1553" s="25" t="s">
        <v>9</v>
      </c>
      <c r="L1553" s="25" t="s">
        <v>24</v>
      </c>
      <c r="M1553" s="25"/>
      <c r="N1553" s="25" t="s">
        <v>37</v>
      </c>
      <c r="O1553" s="25">
        <v>9.0</v>
      </c>
      <c r="Q1553" s="184" t="s">
        <v>618</v>
      </c>
    </row>
    <row r="1554">
      <c r="A1554" s="185"/>
      <c r="B1554" s="183" t="s">
        <v>34</v>
      </c>
      <c r="C1554" s="183" t="s">
        <v>308</v>
      </c>
      <c r="D1554" s="182" t="s">
        <v>611</v>
      </c>
      <c r="E1554" s="137">
        <v>43014.0</v>
      </c>
      <c r="F1554" s="21" t="str">
        <f t="shared" si="142"/>
        <v>Oct-2017</v>
      </c>
      <c r="G1554" s="13" t="s">
        <v>20</v>
      </c>
      <c r="H1554" s="16" t="s">
        <v>612</v>
      </c>
      <c r="I1554" s="48" t="s">
        <v>620</v>
      </c>
      <c r="J1554" s="16" t="s">
        <v>44</v>
      </c>
      <c r="K1554" s="16" t="s">
        <v>9</v>
      </c>
      <c r="L1554" s="16" t="s">
        <v>30</v>
      </c>
      <c r="M1554" s="16" t="s">
        <v>30</v>
      </c>
      <c r="N1554" s="16" t="s">
        <v>69</v>
      </c>
      <c r="O1554" s="101"/>
      <c r="P1554" s="101"/>
      <c r="Q1554" s="138" t="s">
        <v>596</v>
      </c>
    </row>
    <row r="1555">
      <c r="A1555" s="185"/>
      <c r="B1555" s="183" t="s">
        <v>34</v>
      </c>
      <c r="C1555" s="183" t="s">
        <v>308</v>
      </c>
      <c r="D1555" s="182" t="s">
        <v>611</v>
      </c>
      <c r="E1555" s="137">
        <v>43014.0</v>
      </c>
      <c r="F1555" s="21" t="str">
        <f t="shared" si="142"/>
        <v>Oct-2017</v>
      </c>
      <c r="G1555" s="13" t="s">
        <v>25</v>
      </c>
      <c r="H1555" s="16" t="s">
        <v>612</v>
      </c>
      <c r="I1555" s="48" t="s">
        <v>620</v>
      </c>
      <c r="J1555" s="16" t="s">
        <v>44</v>
      </c>
      <c r="K1555" s="16" t="s">
        <v>9</v>
      </c>
      <c r="L1555" s="16" t="s">
        <v>30</v>
      </c>
      <c r="M1555" s="16"/>
      <c r="N1555" s="16" t="s">
        <v>99</v>
      </c>
      <c r="O1555" s="101"/>
      <c r="P1555" s="101"/>
      <c r="Q1555" s="138" t="s">
        <v>596</v>
      </c>
    </row>
    <row r="1556">
      <c r="A1556" s="185"/>
      <c r="B1556" s="183" t="s">
        <v>34</v>
      </c>
      <c r="C1556" s="183" t="s">
        <v>308</v>
      </c>
      <c r="D1556" s="182" t="s">
        <v>611</v>
      </c>
      <c r="E1556" s="137">
        <v>43014.0</v>
      </c>
      <c r="F1556" s="21" t="str">
        <f t="shared" si="142"/>
        <v>Oct-2017</v>
      </c>
      <c r="G1556" s="21" t="s">
        <v>20</v>
      </c>
      <c r="H1556" s="25" t="s">
        <v>612</v>
      </c>
      <c r="I1556" s="80" t="s">
        <v>621</v>
      </c>
      <c r="J1556" s="25" t="s">
        <v>44</v>
      </c>
      <c r="K1556" s="25" t="s">
        <v>9</v>
      </c>
      <c r="L1556" s="25" t="s">
        <v>24</v>
      </c>
      <c r="M1556" s="25" t="s">
        <v>30</v>
      </c>
      <c r="N1556" s="25" t="s">
        <v>98</v>
      </c>
      <c r="Q1556" s="184" t="s">
        <v>319</v>
      </c>
    </row>
    <row r="1557">
      <c r="A1557" s="185"/>
      <c r="B1557" s="183" t="s">
        <v>34</v>
      </c>
      <c r="C1557" s="183" t="s">
        <v>308</v>
      </c>
      <c r="D1557" s="182" t="s">
        <v>611</v>
      </c>
      <c r="E1557" s="137">
        <v>43014.0</v>
      </c>
      <c r="F1557" s="21" t="str">
        <f t="shared" si="142"/>
        <v>Oct-2017</v>
      </c>
      <c r="G1557" s="21" t="s">
        <v>25</v>
      </c>
      <c r="H1557" s="25" t="s">
        <v>612</v>
      </c>
      <c r="I1557" s="80" t="s">
        <v>621</v>
      </c>
      <c r="J1557" s="25" t="s">
        <v>44</v>
      </c>
      <c r="K1557" s="25" t="s">
        <v>9</v>
      </c>
      <c r="L1557" s="25" t="s">
        <v>30</v>
      </c>
      <c r="M1557" s="25"/>
      <c r="N1557" s="25" t="s">
        <v>106</v>
      </c>
      <c r="Q1557" s="184" t="s">
        <v>319</v>
      </c>
    </row>
    <row r="1558">
      <c r="A1558" s="185"/>
      <c r="B1558" s="183" t="s">
        <v>34</v>
      </c>
      <c r="C1558" s="183" t="s">
        <v>308</v>
      </c>
      <c r="D1558" s="182" t="s">
        <v>611</v>
      </c>
      <c r="E1558" s="137">
        <v>43014.0</v>
      </c>
      <c r="F1558" s="21" t="str">
        <f t="shared" si="142"/>
        <v>Oct-2017</v>
      </c>
      <c r="G1558" s="119" t="s">
        <v>32</v>
      </c>
      <c r="H1558" s="25" t="s">
        <v>612</v>
      </c>
      <c r="I1558" s="80" t="s">
        <v>621</v>
      </c>
      <c r="J1558" s="25" t="s">
        <v>44</v>
      </c>
      <c r="K1558" s="25" t="s">
        <v>9</v>
      </c>
      <c r="L1558" s="25" t="s">
        <v>30</v>
      </c>
      <c r="M1558" s="25"/>
      <c r="N1558" s="25" t="s">
        <v>69</v>
      </c>
      <c r="Q1558" s="184" t="s">
        <v>319</v>
      </c>
    </row>
    <row r="1559">
      <c r="A1559" s="185"/>
      <c r="B1559" s="183" t="s">
        <v>34</v>
      </c>
      <c r="C1559" s="183" t="s">
        <v>308</v>
      </c>
      <c r="D1559" s="182" t="s">
        <v>611</v>
      </c>
      <c r="E1559" s="137">
        <v>43015.0</v>
      </c>
      <c r="F1559" s="21" t="str">
        <f t="shared" si="142"/>
        <v>Oct-2017</v>
      </c>
      <c r="G1559" s="13" t="s">
        <v>20</v>
      </c>
      <c r="H1559" s="16" t="s">
        <v>622</v>
      </c>
      <c r="I1559" s="48" t="s">
        <v>623</v>
      </c>
      <c r="J1559" s="16" t="s">
        <v>71</v>
      </c>
      <c r="K1559" s="16" t="s">
        <v>9</v>
      </c>
      <c r="L1559" s="16" t="s">
        <v>24</v>
      </c>
      <c r="M1559" s="16" t="s">
        <v>24</v>
      </c>
      <c r="N1559" s="16" t="s">
        <v>99</v>
      </c>
      <c r="O1559" s="16">
        <v>5.0</v>
      </c>
      <c r="P1559" s="16"/>
      <c r="Q1559" s="138" t="s">
        <v>624</v>
      </c>
    </row>
    <row r="1560">
      <c r="A1560" s="186"/>
      <c r="B1560" s="183" t="s">
        <v>34</v>
      </c>
      <c r="C1560" s="183" t="s">
        <v>308</v>
      </c>
      <c r="D1560" s="182" t="s">
        <v>611</v>
      </c>
      <c r="E1560" s="142">
        <v>43015.0</v>
      </c>
      <c r="F1560" s="51" t="str">
        <f t="shared" si="142"/>
        <v>Oct-2017</v>
      </c>
      <c r="G1560" s="35" t="s">
        <v>25</v>
      </c>
      <c r="H1560" s="38" t="s">
        <v>622</v>
      </c>
      <c r="I1560" s="122" t="s">
        <v>623</v>
      </c>
      <c r="J1560" s="38" t="s">
        <v>71</v>
      </c>
      <c r="K1560" s="38" t="s">
        <v>9</v>
      </c>
      <c r="L1560" s="38" t="s">
        <v>24</v>
      </c>
      <c r="M1560" s="38"/>
      <c r="N1560" s="38" t="s">
        <v>106</v>
      </c>
      <c r="O1560" s="38">
        <v>5.0</v>
      </c>
      <c r="P1560" s="38"/>
      <c r="Q1560" s="177" t="s">
        <v>624</v>
      </c>
    </row>
    <row r="1561">
      <c r="A1561" s="107"/>
      <c r="B1561" s="95"/>
      <c r="C1561" s="95"/>
      <c r="D1561" s="95"/>
      <c r="E1561" s="95"/>
      <c r="I1561" s="23"/>
    </row>
    <row r="1562">
      <c r="A1562" s="133" t="s">
        <v>625</v>
      </c>
      <c r="B1562" s="134" t="s">
        <v>18</v>
      </c>
      <c r="C1562" s="134" t="s">
        <v>74</v>
      </c>
      <c r="D1562" s="133" t="s">
        <v>625</v>
      </c>
      <c r="E1562" s="168">
        <v>43021.0</v>
      </c>
      <c r="F1562" s="110" t="str">
        <f t="shared" ref="F1562:F1571" si="143">TEXT(E1556:E1562, "mmm") &amp; "-" &amp; TEXT(E1556:E1562, "yyyy") </f>
        <v>Oct-2017</v>
      </c>
      <c r="G1562" s="110" t="s">
        <v>20</v>
      </c>
      <c r="H1562" s="47" t="s">
        <v>35</v>
      </c>
      <c r="I1562" s="79" t="s">
        <v>626</v>
      </c>
      <c r="J1562" s="47" t="s">
        <v>27</v>
      </c>
      <c r="K1562" s="47" t="s">
        <v>9</v>
      </c>
      <c r="L1562" s="47" t="s">
        <v>30</v>
      </c>
      <c r="M1562" s="47" t="s">
        <v>30</v>
      </c>
      <c r="N1562" s="47" t="s">
        <v>98</v>
      </c>
      <c r="O1562" s="152"/>
      <c r="P1562" s="152"/>
      <c r="Q1562" s="153"/>
    </row>
    <row r="1563">
      <c r="A1563" s="134" t="s">
        <v>18</v>
      </c>
      <c r="B1563" s="134" t="s">
        <v>18</v>
      </c>
      <c r="C1563" s="134" t="s">
        <v>74</v>
      </c>
      <c r="D1563" s="133" t="s">
        <v>625</v>
      </c>
      <c r="E1563" s="168">
        <v>43021.0</v>
      </c>
      <c r="F1563" s="13" t="str">
        <f t="shared" si="143"/>
        <v>Oct-2017</v>
      </c>
      <c r="G1563" s="13" t="s">
        <v>25</v>
      </c>
      <c r="H1563" s="16" t="s">
        <v>35</v>
      </c>
      <c r="I1563" s="48" t="s">
        <v>626</v>
      </c>
      <c r="J1563" s="16" t="s">
        <v>27</v>
      </c>
      <c r="K1563" s="16" t="s">
        <v>9</v>
      </c>
      <c r="L1563" s="16" t="s">
        <v>30</v>
      </c>
      <c r="M1563" s="16"/>
      <c r="N1563" s="16" t="s">
        <v>98</v>
      </c>
      <c r="O1563" s="101"/>
      <c r="P1563" s="101"/>
      <c r="Q1563" s="102"/>
    </row>
    <row r="1564">
      <c r="A1564" s="134" t="s">
        <v>331</v>
      </c>
      <c r="B1564" s="134" t="s">
        <v>18</v>
      </c>
      <c r="C1564" s="134" t="s">
        <v>74</v>
      </c>
      <c r="D1564" s="133" t="s">
        <v>625</v>
      </c>
      <c r="E1564" s="168">
        <v>43021.0</v>
      </c>
      <c r="F1564" s="21" t="str">
        <f t="shared" si="143"/>
        <v>Oct-2017</v>
      </c>
      <c r="G1564" s="21" t="s">
        <v>20</v>
      </c>
      <c r="H1564" s="25" t="s">
        <v>35</v>
      </c>
      <c r="I1564" s="80" t="s">
        <v>93</v>
      </c>
      <c r="J1564" s="25" t="s">
        <v>23</v>
      </c>
      <c r="K1564" s="25" t="s">
        <v>9</v>
      </c>
      <c r="L1564" s="25" t="s">
        <v>30</v>
      </c>
      <c r="M1564" s="25" t="s">
        <v>30</v>
      </c>
      <c r="N1564" s="25" t="s">
        <v>99</v>
      </c>
      <c r="Q1564" s="99"/>
    </row>
    <row r="1565">
      <c r="A1565" s="168">
        <v>43021.0</v>
      </c>
      <c r="B1565" s="134" t="s">
        <v>18</v>
      </c>
      <c r="C1565" s="134" t="s">
        <v>74</v>
      </c>
      <c r="D1565" s="133" t="s">
        <v>625</v>
      </c>
      <c r="E1565" s="168">
        <v>43021.0</v>
      </c>
      <c r="F1565" s="21" t="str">
        <f t="shared" si="143"/>
        <v>Oct-2017</v>
      </c>
      <c r="G1565" s="21" t="s">
        <v>25</v>
      </c>
      <c r="H1565" s="25" t="s">
        <v>35</v>
      </c>
      <c r="I1565" s="80" t="s">
        <v>93</v>
      </c>
      <c r="J1565" s="25" t="s">
        <v>23</v>
      </c>
      <c r="K1565" s="25" t="s">
        <v>9</v>
      </c>
      <c r="L1565" s="25" t="s">
        <v>24</v>
      </c>
      <c r="M1565" s="25"/>
      <c r="N1565" s="25" t="s">
        <v>37</v>
      </c>
      <c r="Q1565" s="99"/>
    </row>
    <row r="1566">
      <c r="A1566" s="134"/>
      <c r="B1566" s="134" t="s">
        <v>18</v>
      </c>
      <c r="C1566" s="134" t="s">
        <v>74</v>
      </c>
      <c r="D1566" s="133" t="s">
        <v>625</v>
      </c>
      <c r="E1566" s="168">
        <v>43021.0</v>
      </c>
      <c r="F1566" s="21" t="str">
        <f t="shared" si="143"/>
        <v>Oct-2017</v>
      </c>
      <c r="G1566" s="119" t="s">
        <v>32</v>
      </c>
      <c r="H1566" s="25" t="s">
        <v>35</v>
      </c>
      <c r="I1566" s="80" t="s">
        <v>93</v>
      </c>
      <c r="J1566" s="25" t="s">
        <v>23</v>
      </c>
      <c r="K1566" s="25" t="s">
        <v>9</v>
      </c>
      <c r="L1566" s="25" t="s">
        <v>30</v>
      </c>
      <c r="M1566" s="25"/>
      <c r="N1566" s="25" t="s">
        <v>69</v>
      </c>
      <c r="Q1566" s="99"/>
    </row>
    <row r="1567">
      <c r="A1567" s="176" t="s">
        <v>627</v>
      </c>
      <c r="B1567" s="134" t="s">
        <v>18</v>
      </c>
      <c r="C1567" s="134" t="s">
        <v>74</v>
      </c>
      <c r="D1567" s="133" t="s">
        <v>625</v>
      </c>
      <c r="E1567" s="168">
        <v>43021.0</v>
      </c>
      <c r="F1567" s="21" t="str">
        <f t="shared" si="143"/>
        <v>Oct-2017</v>
      </c>
      <c r="G1567" s="13" t="s">
        <v>20</v>
      </c>
      <c r="H1567" s="16" t="s">
        <v>35</v>
      </c>
      <c r="I1567" s="48" t="s">
        <v>239</v>
      </c>
      <c r="J1567" s="16" t="s">
        <v>27</v>
      </c>
      <c r="K1567" s="16" t="s">
        <v>9</v>
      </c>
      <c r="L1567" s="16" t="s">
        <v>24</v>
      </c>
      <c r="M1567" s="16" t="s">
        <v>24</v>
      </c>
      <c r="N1567" s="16" t="s">
        <v>69</v>
      </c>
      <c r="O1567" s="101"/>
      <c r="P1567" s="101"/>
      <c r="Q1567" s="102"/>
    </row>
    <row r="1568">
      <c r="A1568" s="134" t="s">
        <v>74</v>
      </c>
      <c r="B1568" s="134" t="s">
        <v>18</v>
      </c>
      <c r="C1568" s="134" t="s">
        <v>74</v>
      </c>
      <c r="D1568" s="133" t="s">
        <v>625</v>
      </c>
      <c r="E1568" s="168">
        <v>43021.0</v>
      </c>
      <c r="F1568" s="21" t="str">
        <f t="shared" si="143"/>
        <v>Oct-2017</v>
      </c>
      <c r="G1568" s="13" t="s">
        <v>25</v>
      </c>
      <c r="H1568" s="16" t="s">
        <v>35</v>
      </c>
      <c r="I1568" s="48" t="s">
        <v>239</v>
      </c>
      <c r="J1568" s="16" t="s">
        <v>27</v>
      </c>
      <c r="K1568" s="16" t="s">
        <v>9</v>
      </c>
      <c r="L1568" s="16" t="s">
        <v>24</v>
      </c>
      <c r="M1568" s="16"/>
      <c r="N1568" s="16" t="s">
        <v>98</v>
      </c>
      <c r="O1568" s="101"/>
      <c r="P1568" s="101"/>
      <c r="Q1568" s="102"/>
    </row>
    <row r="1569">
      <c r="A1569" s="140"/>
      <c r="B1569" s="134" t="s">
        <v>18</v>
      </c>
      <c r="C1569" s="134" t="s">
        <v>74</v>
      </c>
      <c r="D1569" s="133" t="s">
        <v>625</v>
      </c>
      <c r="E1569" s="168">
        <v>43021.0</v>
      </c>
      <c r="F1569" s="21" t="str">
        <f t="shared" si="143"/>
        <v>Oct-2017</v>
      </c>
      <c r="G1569" s="21" t="s">
        <v>20</v>
      </c>
      <c r="H1569" s="25" t="s">
        <v>35</v>
      </c>
      <c r="I1569" s="126" t="s">
        <v>238</v>
      </c>
      <c r="J1569" s="119" t="s">
        <v>216</v>
      </c>
      <c r="K1569" s="119" t="s">
        <v>9</v>
      </c>
      <c r="L1569" s="119" t="s">
        <v>30</v>
      </c>
      <c r="M1569" s="119" t="s">
        <v>30</v>
      </c>
      <c r="N1569" s="119" t="s">
        <v>37</v>
      </c>
      <c r="O1569" s="174"/>
      <c r="P1569" s="174"/>
      <c r="Q1569" s="175"/>
    </row>
    <row r="1570">
      <c r="A1570" s="140"/>
      <c r="B1570" s="134" t="s">
        <v>18</v>
      </c>
      <c r="C1570" s="134" t="s">
        <v>74</v>
      </c>
      <c r="D1570" s="133" t="s">
        <v>625</v>
      </c>
      <c r="E1570" s="168">
        <v>43021.0</v>
      </c>
      <c r="F1570" s="21" t="str">
        <f t="shared" si="143"/>
        <v>Oct-2017</v>
      </c>
      <c r="G1570" s="21" t="s">
        <v>25</v>
      </c>
      <c r="H1570" s="25" t="s">
        <v>35</v>
      </c>
      <c r="I1570" s="126" t="s">
        <v>238</v>
      </c>
      <c r="J1570" s="119" t="s">
        <v>216</v>
      </c>
      <c r="K1570" s="119" t="s">
        <v>9</v>
      </c>
      <c r="L1570" s="119" t="s">
        <v>30</v>
      </c>
      <c r="M1570" s="119"/>
      <c r="N1570" s="119" t="s">
        <v>99</v>
      </c>
      <c r="O1570" s="174"/>
      <c r="P1570" s="174"/>
      <c r="Q1570" s="175"/>
    </row>
    <row r="1571">
      <c r="A1571" s="140"/>
      <c r="B1571" s="134" t="s">
        <v>18</v>
      </c>
      <c r="C1571" s="134" t="s">
        <v>74</v>
      </c>
      <c r="D1571" s="133" t="s">
        <v>625</v>
      </c>
      <c r="E1571" s="168">
        <v>43021.0</v>
      </c>
      <c r="F1571" s="21" t="str">
        <f t="shared" si="143"/>
        <v>Oct-2017</v>
      </c>
      <c r="G1571" s="13" t="s">
        <v>20</v>
      </c>
      <c r="H1571" s="16" t="s">
        <v>35</v>
      </c>
      <c r="I1571" s="48" t="s">
        <v>497</v>
      </c>
      <c r="J1571" s="16" t="s">
        <v>9</v>
      </c>
      <c r="K1571" s="16" t="s">
        <v>9</v>
      </c>
      <c r="L1571" s="16" t="s">
        <v>24</v>
      </c>
      <c r="M1571" s="16" t="s">
        <v>24</v>
      </c>
      <c r="N1571" s="16" t="s">
        <v>69</v>
      </c>
      <c r="O1571" s="101"/>
      <c r="P1571" s="101"/>
      <c r="Q1571" s="102"/>
    </row>
    <row r="1572">
      <c r="A1572" s="141"/>
      <c r="B1572" s="134" t="s">
        <v>18</v>
      </c>
      <c r="C1572" s="134" t="s">
        <v>74</v>
      </c>
      <c r="D1572" s="133" t="s">
        <v>625</v>
      </c>
      <c r="E1572" s="168">
        <v>43021.0</v>
      </c>
      <c r="F1572" s="51" t="str">
        <f>TEXT(E1564:E1572, "mmm") &amp; "-" &amp; TEXT(E1564:E1572, "yyyy") </f>
        <v>Oct-2017</v>
      </c>
      <c r="G1572" s="35" t="s">
        <v>25</v>
      </c>
      <c r="H1572" s="38" t="s">
        <v>35</v>
      </c>
      <c r="I1572" s="122" t="s">
        <v>497</v>
      </c>
      <c r="J1572" s="38" t="s">
        <v>9</v>
      </c>
      <c r="K1572" s="38" t="s">
        <v>9</v>
      </c>
      <c r="L1572" s="38" t="s">
        <v>24</v>
      </c>
      <c r="M1572" s="38"/>
      <c r="N1572" s="38" t="s">
        <v>106</v>
      </c>
      <c r="O1572" s="105"/>
      <c r="P1572" s="105"/>
      <c r="Q1572" s="106"/>
    </row>
    <row r="1573">
      <c r="A1573" s="107"/>
      <c r="B1573" s="95"/>
      <c r="C1573" s="95"/>
      <c r="D1573" s="95"/>
      <c r="E1573" s="95"/>
      <c r="I1573" s="23"/>
    </row>
    <row r="1574">
      <c r="A1574" s="133" t="s">
        <v>628</v>
      </c>
      <c r="B1574" s="134" t="s">
        <v>18</v>
      </c>
      <c r="C1574" s="134" t="s">
        <v>74</v>
      </c>
      <c r="D1574" s="133" t="s">
        <v>628</v>
      </c>
      <c r="E1574" s="168">
        <v>43025.0</v>
      </c>
      <c r="F1574" s="110" t="str">
        <f t="shared" ref="F1574:F1576" si="144">TEXT(E1568:E1574, "mmm") &amp; "-" &amp; TEXT(E1568:E1574, "yyyy") </f>
        <v>Oct-2017</v>
      </c>
      <c r="G1574" s="110" t="s">
        <v>20</v>
      </c>
      <c r="H1574" s="47" t="s">
        <v>35</v>
      </c>
      <c r="I1574" s="79" t="s">
        <v>592</v>
      </c>
      <c r="J1574" s="47" t="s">
        <v>27</v>
      </c>
      <c r="K1574" s="47" t="s">
        <v>9</v>
      </c>
      <c r="L1574" s="47" t="s">
        <v>30</v>
      </c>
      <c r="M1574" s="47" t="s">
        <v>30</v>
      </c>
      <c r="N1574" s="47" t="s">
        <v>98</v>
      </c>
      <c r="O1574" s="152"/>
      <c r="P1574" s="152"/>
      <c r="Q1574" s="153"/>
    </row>
    <row r="1575">
      <c r="A1575" s="134" t="s">
        <v>18</v>
      </c>
      <c r="B1575" s="134" t="s">
        <v>18</v>
      </c>
      <c r="C1575" s="134" t="s">
        <v>74</v>
      </c>
      <c r="D1575" s="133" t="s">
        <v>628</v>
      </c>
      <c r="E1575" s="168">
        <v>43025.0</v>
      </c>
      <c r="F1575" s="13" t="str">
        <f t="shared" si="144"/>
        <v>Oct-2017</v>
      </c>
      <c r="G1575" s="13" t="s">
        <v>25</v>
      </c>
      <c r="H1575" s="16" t="s">
        <v>35</v>
      </c>
      <c r="I1575" s="48" t="s">
        <v>592</v>
      </c>
      <c r="J1575" s="16" t="s">
        <v>27</v>
      </c>
      <c r="K1575" s="16" t="s">
        <v>9</v>
      </c>
      <c r="L1575" s="16" t="s">
        <v>24</v>
      </c>
      <c r="M1575" s="16"/>
      <c r="N1575" s="16" t="s">
        <v>106</v>
      </c>
      <c r="O1575" s="101"/>
      <c r="P1575" s="101"/>
      <c r="Q1575" s="102"/>
    </row>
    <row r="1576">
      <c r="A1576" s="134" t="s">
        <v>331</v>
      </c>
      <c r="B1576" s="134" t="s">
        <v>18</v>
      </c>
      <c r="C1576" s="134" t="s">
        <v>74</v>
      </c>
      <c r="D1576" s="133" t="s">
        <v>628</v>
      </c>
      <c r="E1576" s="168">
        <v>43025.0</v>
      </c>
      <c r="F1576" s="13" t="str">
        <f t="shared" si="144"/>
        <v>Oct-2017</v>
      </c>
      <c r="G1576" s="16" t="s">
        <v>32</v>
      </c>
      <c r="H1576" s="16" t="s">
        <v>35</v>
      </c>
      <c r="I1576" s="48" t="s">
        <v>592</v>
      </c>
      <c r="J1576" s="16" t="s">
        <v>27</v>
      </c>
      <c r="K1576" s="16" t="s">
        <v>9</v>
      </c>
      <c r="L1576" s="16" t="s">
        <v>30</v>
      </c>
      <c r="M1576" s="16"/>
      <c r="N1576" s="16" t="s">
        <v>37</v>
      </c>
      <c r="O1576" s="101"/>
      <c r="P1576" s="101"/>
      <c r="Q1576" s="102"/>
    </row>
    <row r="1577">
      <c r="A1577" s="168">
        <v>43025.0</v>
      </c>
      <c r="B1577" s="134" t="s">
        <v>18</v>
      </c>
      <c r="C1577" s="134" t="s">
        <v>74</v>
      </c>
      <c r="D1577" s="133" t="s">
        <v>628</v>
      </c>
      <c r="E1577" s="168">
        <v>43025.0</v>
      </c>
      <c r="F1577" s="13" t="str">
        <f t="shared" ref="F1577:F1578" si="145">TEXT(E1570:E1577, "mmm") &amp; "-" &amp; TEXT(E1570:E1577, "yyyy") </f>
        <v>Oct-2017</v>
      </c>
      <c r="G1577" s="21" t="s">
        <v>20</v>
      </c>
      <c r="H1577" s="25" t="s">
        <v>35</v>
      </c>
      <c r="I1577" s="80" t="s">
        <v>194</v>
      </c>
      <c r="J1577" s="25" t="s">
        <v>23</v>
      </c>
      <c r="K1577" s="25" t="s">
        <v>9</v>
      </c>
      <c r="L1577" s="25" t="s">
        <v>24</v>
      </c>
      <c r="M1577" s="25" t="s">
        <v>24</v>
      </c>
      <c r="N1577" s="25" t="s">
        <v>99</v>
      </c>
      <c r="Q1577" s="99"/>
    </row>
    <row r="1578">
      <c r="A1578" s="176" t="s">
        <v>629</v>
      </c>
      <c r="B1578" s="134" t="s">
        <v>18</v>
      </c>
      <c r="C1578" s="134" t="s">
        <v>74</v>
      </c>
      <c r="D1578" s="133" t="s">
        <v>628</v>
      </c>
      <c r="E1578" s="168">
        <v>43025.0</v>
      </c>
      <c r="F1578" s="13" t="str">
        <f t="shared" si="145"/>
        <v>Oct-2017</v>
      </c>
      <c r="G1578" s="21" t="s">
        <v>25</v>
      </c>
      <c r="H1578" s="25" t="s">
        <v>35</v>
      </c>
      <c r="I1578" s="80" t="s">
        <v>194</v>
      </c>
      <c r="J1578" s="25" t="s">
        <v>23</v>
      </c>
      <c r="K1578" s="25" t="s">
        <v>9</v>
      </c>
      <c r="L1578" s="25" t="s">
        <v>24</v>
      </c>
      <c r="M1578" s="25"/>
      <c r="N1578" s="25" t="s">
        <v>106</v>
      </c>
      <c r="Q1578" s="99"/>
    </row>
    <row r="1579">
      <c r="A1579" s="134" t="s">
        <v>74</v>
      </c>
      <c r="B1579" s="134" t="s">
        <v>18</v>
      </c>
      <c r="C1579" s="134" t="s">
        <v>74</v>
      </c>
      <c r="D1579" s="133" t="s">
        <v>628</v>
      </c>
      <c r="E1579" s="168">
        <v>43025.0</v>
      </c>
      <c r="F1579" s="13" t="str">
        <f t="shared" ref="F1579:F1581" si="146">TEXT(E1573:E1579, "mmm") &amp; "-" &amp; TEXT(E1573:E1579, "yyyy") </f>
        <v>Oct-2017</v>
      </c>
      <c r="G1579" s="13" t="s">
        <v>20</v>
      </c>
      <c r="H1579" s="16" t="s">
        <v>35</v>
      </c>
      <c r="I1579" s="48" t="s">
        <v>157</v>
      </c>
      <c r="J1579" s="16" t="s">
        <v>23</v>
      </c>
      <c r="K1579" s="16" t="s">
        <v>9</v>
      </c>
      <c r="L1579" s="16" t="s">
        <v>30</v>
      </c>
      <c r="M1579" s="16" t="s">
        <v>30</v>
      </c>
      <c r="N1579" s="16" t="s">
        <v>69</v>
      </c>
      <c r="O1579" s="101"/>
      <c r="P1579" s="101"/>
      <c r="Q1579" s="102"/>
    </row>
    <row r="1580">
      <c r="A1580" s="134" t="s">
        <v>630</v>
      </c>
      <c r="B1580" s="134" t="s">
        <v>18</v>
      </c>
      <c r="C1580" s="134" t="s">
        <v>74</v>
      </c>
      <c r="D1580" s="133" t="s">
        <v>628</v>
      </c>
      <c r="E1580" s="168">
        <v>43025.0</v>
      </c>
      <c r="F1580" s="13" t="str">
        <f t="shared" si="146"/>
        <v>Oct-2017</v>
      </c>
      <c r="G1580" s="13" t="s">
        <v>25</v>
      </c>
      <c r="H1580" s="16" t="s">
        <v>35</v>
      </c>
      <c r="I1580" s="48" t="s">
        <v>157</v>
      </c>
      <c r="J1580" s="16" t="s">
        <v>23</v>
      </c>
      <c r="K1580" s="16" t="s">
        <v>9</v>
      </c>
      <c r="L1580" s="16" t="s">
        <v>30</v>
      </c>
      <c r="M1580" s="16"/>
      <c r="N1580" s="16" t="s">
        <v>69</v>
      </c>
      <c r="O1580" s="101"/>
      <c r="P1580" s="101"/>
      <c r="Q1580" s="102"/>
    </row>
    <row r="1581">
      <c r="A1581" s="176" t="s">
        <v>631</v>
      </c>
      <c r="B1581" s="134" t="s">
        <v>18</v>
      </c>
      <c r="C1581" s="134" t="s">
        <v>74</v>
      </c>
      <c r="D1581" s="133" t="s">
        <v>628</v>
      </c>
      <c r="E1581" s="168">
        <v>43025.0</v>
      </c>
      <c r="F1581" s="13" t="str">
        <f t="shared" si="146"/>
        <v>Oct-2017</v>
      </c>
      <c r="G1581" s="21" t="s">
        <v>20</v>
      </c>
      <c r="H1581" s="25" t="s">
        <v>35</v>
      </c>
      <c r="I1581" s="126" t="s">
        <v>148</v>
      </c>
      <c r="J1581" s="119" t="s">
        <v>9</v>
      </c>
      <c r="K1581" s="119" t="s">
        <v>9</v>
      </c>
      <c r="L1581" s="119" t="s">
        <v>30</v>
      </c>
      <c r="M1581" s="119" t="s">
        <v>24</v>
      </c>
      <c r="N1581" s="119" t="s">
        <v>98</v>
      </c>
      <c r="O1581" s="174"/>
      <c r="P1581" s="174"/>
      <c r="Q1581" s="175"/>
    </row>
    <row r="1582">
      <c r="A1582" s="140"/>
      <c r="B1582" s="134" t="s">
        <v>18</v>
      </c>
      <c r="C1582" s="134" t="s">
        <v>74</v>
      </c>
      <c r="D1582" s="133" t="s">
        <v>628</v>
      </c>
      <c r="E1582" s="168">
        <v>43025.0</v>
      </c>
      <c r="F1582" s="13" t="str">
        <f>TEXT(E1577:E1582, "mmm") &amp; "-" &amp; TEXT(E1577:E1582, "yyyy") </f>
        <v>Oct-2017</v>
      </c>
      <c r="G1582" s="21" t="s">
        <v>25</v>
      </c>
      <c r="H1582" s="25" t="s">
        <v>35</v>
      </c>
      <c r="I1582" s="126" t="s">
        <v>148</v>
      </c>
      <c r="J1582" s="119" t="s">
        <v>9</v>
      </c>
      <c r="K1582" s="119" t="s">
        <v>9</v>
      </c>
      <c r="L1582" s="119" t="s">
        <v>24</v>
      </c>
      <c r="M1582" s="119"/>
      <c r="N1582" s="119" t="s">
        <v>98</v>
      </c>
      <c r="O1582" s="174"/>
      <c r="P1582" s="174"/>
      <c r="Q1582" s="175"/>
    </row>
    <row r="1583">
      <c r="A1583" s="141"/>
      <c r="B1583" s="134" t="s">
        <v>18</v>
      </c>
      <c r="C1583" s="134" t="s">
        <v>74</v>
      </c>
      <c r="D1583" s="133" t="s">
        <v>628</v>
      </c>
      <c r="E1583" s="168">
        <v>43025.0</v>
      </c>
      <c r="F1583" s="51" t="str">
        <f>TEXT(E1577:E1583, "mmm") &amp; "-" &amp; TEXT(E1577:E1583, "yyyy") </f>
        <v>Oct-2017</v>
      </c>
      <c r="G1583" s="129" t="s">
        <v>32</v>
      </c>
      <c r="H1583" s="114" t="s">
        <v>35</v>
      </c>
      <c r="I1583" s="130" t="s">
        <v>148</v>
      </c>
      <c r="J1583" s="114" t="s">
        <v>9</v>
      </c>
      <c r="K1583" s="114" t="s">
        <v>9</v>
      </c>
      <c r="L1583" s="114" t="s">
        <v>24</v>
      </c>
      <c r="M1583" s="114"/>
      <c r="N1583" s="114" t="s">
        <v>106</v>
      </c>
      <c r="O1583" s="202"/>
      <c r="P1583" s="202"/>
      <c r="Q1583" s="203"/>
    </row>
    <row r="1584">
      <c r="A1584" s="107"/>
      <c r="B1584" s="95"/>
      <c r="C1584" s="95"/>
      <c r="D1584" s="95"/>
      <c r="E1584" s="95"/>
      <c r="I1584" s="23"/>
    </row>
    <row r="1585">
      <c r="A1585" s="133" t="s">
        <v>632</v>
      </c>
      <c r="B1585" s="134" t="s">
        <v>18</v>
      </c>
      <c r="C1585" s="134" t="s">
        <v>74</v>
      </c>
      <c r="D1585" s="133" t="s">
        <v>632</v>
      </c>
      <c r="E1585" s="168">
        <v>43039.0</v>
      </c>
      <c r="F1585" s="110" t="str">
        <f t="shared" ref="F1585:F1587" si="147">TEXT(E1579:E1585, "mmm") &amp; "-" &amp; TEXT(E1579:E1585, "yyyy") </f>
        <v>Oct-2017</v>
      </c>
      <c r="G1585" s="110" t="s">
        <v>20</v>
      </c>
      <c r="H1585" s="47" t="s">
        <v>35</v>
      </c>
      <c r="I1585" s="79" t="s">
        <v>633</v>
      </c>
      <c r="J1585" s="47" t="s">
        <v>27</v>
      </c>
      <c r="K1585" s="47" t="s">
        <v>9</v>
      </c>
      <c r="L1585" s="47" t="s">
        <v>24</v>
      </c>
      <c r="M1585" s="47" t="s">
        <v>24</v>
      </c>
      <c r="N1585" s="47" t="s">
        <v>69</v>
      </c>
      <c r="O1585" s="152"/>
      <c r="P1585" s="152"/>
      <c r="Q1585" s="153"/>
    </row>
    <row r="1586">
      <c r="A1586" s="134" t="s">
        <v>18</v>
      </c>
      <c r="B1586" s="134" t="s">
        <v>18</v>
      </c>
      <c r="C1586" s="134" t="s">
        <v>74</v>
      </c>
      <c r="D1586" s="133" t="s">
        <v>632</v>
      </c>
      <c r="E1586" s="168">
        <v>43039.0</v>
      </c>
      <c r="F1586" s="13" t="str">
        <f t="shared" si="147"/>
        <v>Oct-2017</v>
      </c>
      <c r="G1586" s="13" t="s">
        <v>25</v>
      </c>
      <c r="H1586" s="16" t="s">
        <v>35</v>
      </c>
      <c r="I1586" s="48" t="s">
        <v>633</v>
      </c>
      <c r="J1586" s="16" t="s">
        <v>27</v>
      </c>
      <c r="K1586" s="16" t="s">
        <v>9</v>
      </c>
      <c r="L1586" s="16" t="s">
        <v>30</v>
      </c>
      <c r="M1586" s="16"/>
      <c r="N1586" s="16" t="s">
        <v>106</v>
      </c>
      <c r="O1586" s="101"/>
      <c r="P1586" s="101"/>
      <c r="Q1586" s="102"/>
    </row>
    <row r="1587">
      <c r="A1587" s="134" t="s">
        <v>331</v>
      </c>
      <c r="B1587" s="134" t="s">
        <v>18</v>
      </c>
      <c r="C1587" s="134" t="s">
        <v>74</v>
      </c>
      <c r="D1587" s="133" t="s">
        <v>632</v>
      </c>
      <c r="E1587" s="168">
        <v>43039.0</v>
      </c>
      <c r="F1587" s="13" t="str">
        <f t="shared" si="147"/>
        <v>Oct-2017</v>
      </c>
      <c r="G1587" s="16" t="s">
        <v>32</v>
      </c>
      <c r="H1587" s="16" t="s">
        <v>35</v>
      </c>
      <c r="I1587" s="48" t="s">
        <v>633</v>
      </c>
      <c r="J1587" s="16" t="s">
        <v>27</v>
      </c>
      <c r="K1587" s="16" t="s">
        <v>9</v>
      </c>
      <c r="L1587" s="16" t="s">
        <v>24</v>
      </c>
      <c r="M1587" s="16"/>
      <c r="N1587" s="16" t="s">
        <v>99</v>
      </c>
      <c r="O1587" s="101"/>
      <c r="P1587" s="101"/>
      <c r="Q1587" s="102"/>
    </row>
    <row r="1588">
      <c r="A1588" s="168">
        <v>43039.0</v>
      </c>
      <c r="B1588" s="134" t="s">
        <v>18</v>
      </c>
      <c r="C1588" s="134" t="s">
        <v>74</v>
      </c>
      <c r="D1588" s="133" t="s">
        <v>632</v>
      </c>
      <c r="E1588" s="168">
        <v>43039.0</v>
      </c>
      <c r="F1588" s="13" t="str">
        <f t="shared" ref="F1588:F1589" si="148">TEXT(E1581:E1588, "mmm") &amp; "-" &amp; TEXT(E1581:E1588, "yyyy") </f>
        <v>Oct-2017</v>
      </c>
      <c r="G1588" s="21" t="s">
        <v>20</v>
      </c>
      <c r="H1588" s="25" t="s">
        <v>35</v>
      </c>
      <c r="I1588" s="80" t="s">
        <v>634</v>
      </c>
      <c r="J1588" s="25" t="s">
        <v>27</v>
      </c>
      <c r="K1588" s="25" t="s">
        <v>9</v>
      </c>
      <c r="L1588" s="25" t="s">
        <v>30</v>
      </c>
      <c r="M1588" s="25" t="s">
        <v>30</v>
      </c>
      <c r="N1588" s="25" t="s">
        <v>98</v>
      </c>
      <c r="Q1588" s="99"/>
    </row>
    <row r="1589">
      <c r="A1589" s="176" t="s">
        <v>635</v>
      </c>
      <c r="B1589" s="134" t="s">
        <v>18</v>
      </c>
      <c r="C1589" s="134" t="s">
        <v>74</v>
      </c>
      <c r="D1589" s="133" t="s">
        <v>632</v>
      </c>
      <c r="E1589" s="168">
        <v>43039.0</v>
      </c>
      <c r="F1589" s="13" t="str">
        <f t="shared" si="148"/>
        <v>Oct-2017</v>
      </c>
      <c r="G1589" s="21" t="s">
        <v>25</v>
      </c>
      <c r="H1589" s="25" t="s">
        <v>35</v>
      </c>
      <c r="I1589" s="80" t="s">
        <v>634</v>
      </c>
      <c r="J1589" s="25" t="s">
        <v>97</v>
      </c>
      <c r="K1589" s="25" t="s">
        <v>9</v>
      </c>
      <c r="L1589" s="25" t="s">
        <v>30</v>
      </c>
      <c r="M1589" s="25"/>
      <c r="N1589" s="25" t="s">
        <v>106</v>
      </c>
      <c r="Q1589" s="99"/>
    </row>
    <row r="1590">
      <c r="A1590" s="134" t="s">
        <v>74</v>
      </c>
      <c r="B1590" s="134" t="s">
        <v>18</v>
      </c>
      <c r="C1590" s="134" t="s">
        <v>74</v>
      </c>
      <c r="D1590" s="133" t="s">
        <v>632</v>
      </c>
      <c r="E1590" s="168">
        <v>43039.0</v>
      </c>
      <c r="F1590" s="13" t="str">
        <f t="shared" ref="F1590:F1591" si="149">TEXT(E1584:E1590, "mmm") &amp; "-" &amp; TEXT(E1584:E1590, "yyyy") </f>
        <v>Oct-2017</v>
      </c>
      <c r="G1590" s="13" t="s">
        <v>20</v>
      </c>
      <c r="H1590" s="16" t="s">
        <v>35</v>
      </c>
      <c r="I1590" s="48" t="s">
        <v>127</v>
      </c>
      <c r="J1590" s="16" t="s">
        <v>44</v>
      </c>
      <c r="K1590" s="16" t="s">
        <v>9</v>
      </c>
      <c r="L1590" s="16" t="s">
        <v>30</v>
      </c>
      <c r="M1590" s="16" t="s">
        <v>24</v>
      </c>
      <c r="N1590" s="16" t="s">
        <v>98</v>
      </c>
      <c r="O1590" s="101"/>
      <c r="P1590" s="101"/>
      <c r="Q1590" s="102"/>
    </row>
    <row r="1591">
      <c r="A1591" s="134"/>
      <c r="B1591" s="134" t="s">
        <v>18</v>
      </c>
      <c r="C1591" s="134" t="s">
        <v>74</v>
      </c>
      <c r="D1591" s="133" t="s">
        <v>632</v>
      </c>
      <c r="E1591" s="168">
        <v>43039.0</v>
      </c>
      <c r="F1591" s="13" t="str">
        <f t="shared" si="149"/>
        <v>Oct-2017</v>
      </c>
      <c r="G1591" s="13" t="s">
        <v>25</v>
      </c>
      <c r="H1591" s="16" t="s">
        <v>35</v>
      </c>
      <c r="I1591" s="48" t="s">
        <v>127</v>
      </c>
      <c r="J1591" s="16" t="s">
        <v>44</v>
      </c>
      <c r="K1591" s="16" t="s">
        <v>9</v>
      </c>
      <c r="L1591" s="16" t="s">
        <v>24</v>
      </c>
      <c r="M1591" s="16"/>
      <c r="N1591" s="16" t="s">
        <v>98</v>
      </c>
      <c r="O1591" s="101"/>
      <c r="P1591" s="101"/>
      <c r="Q1591" s="102"/>
    </row>
    <row r="1592">
      <c r="A1592" s="141"/>
      <c r="B1592" s="134" t="s">
        <v>18</v>
      </c>
      <c r="C1592" s="134" t="s">
        <v>74</v>
      </c>
      <c r="D1592" s="133" t="s">
        <v>632</v>
      </c>
      <c r="E1592" s="168">
        <v>43039.0</v>
      </c>
      <c r="F1592" s="51" t="str">
        <f>TEXT(E1588:E1592, "mmm") &amp; "-" &amp; TEXT(E1588:E1592, "yyyy") </f>
        <v>Oct-2017</v>
      </c>
      <c r="G1592" s="93" t="s">
        <v>32</v>
      </c>
      <c r="H1592" s="38" t="s">
        <v>35</v>
      </c>
      <c r="I1592" s="122" t="s">
        <v>127</v>
      </c>
      <c r="J1592" s="38" t="s">
        <v>44</v>
      </c>
      <c r="K1592" s="38" t="s">
        <v>9</v>
      </c>
      <c r="L1592" s="38" t="s">
        <v>24</v>
      </c>
      <c r="M1592" s="38"/>
      <c r="N1592" s="38" t="s">
        <v>106</v>
      </c>
      <c r="O1592" s="105"/>
      <c r="P1592" s="105"/>
      <c r="Q1592" s="106"/>
    </row>
    <row r="1593">
      <c r="A1593" s="107"/>
      <c r="B1593" s="95"/>
      <c r="C1593" s="95"/>
      <c r="D1593" s="95"/>
      <c r="E1593" s="95"/>
      <c r="I1593" s="23"/>
    </row>
    <row r="1594">
      <c r="A1594" s="133" t="s">
        <v>636</v>
      </c>
      <c r="B1594" s="134" t="s">
        <v>18</v>
      </c>
      <c r="C1594" s="134" t="s">
        <v>74</v>
      </c>
      <c r="D1594" s="133" t="s">
        <v>636</v>
      </c>
      <c r="E1594" s="168">
        <v>43042.0</v>
      </c>
      <c r="F1594" s="110" t="str">
        <f t="shared" ref="F1594:F1596" si="150">TEXT(E1588:E1594, "mmm") &amp; "-" &amp; TEXT(E1588:E1594, "yyyy") </f>
        <v>Nov-2017</v>
      </c>
      <c r="G1594" s="110" t="s">
        <v>20</v>
      </c>
      <c r="H1594" s="47" t="s">
        <v>35</v>
      </c>
      <c r="I1594" s="79" t="s">
        <v>637</v>
      </c>
      <c r="J1594" s="47" t="s">
        <v>86</v>
      </c>
      <c r="K1594" s="47" t="s">
        <v>9</v>
      </c>
      <c r="L1594" s="47" t="s">
        <v>30</v>
      </c>
      <c r="M1594" s="47" t="s">
        <v>30</v>
      </c>
      <c r="N1594" s="47" t="s">
        <v>29</v>
      </c>
      <c r="O1594" s="152"/>
      <c r="P1594" s="152"/>
      <c r="Q1594" s="153"/>
    </row>
    <row r="1595">
      <c r="A1595" s="134" t="s">
        <v>18</v>
      </c>
      <c r="B1595" s="134" t="s">
        <v>18</v>
      </c>
      <c r="C1595" s="134" t="s">
        <v>74</v>
      </c>
      <c r="D1595" s="133" t="s">
        <v>636</v>
      </c>
      <c r="E1595" s="168">
        <v>43042.0</v>
      </c>
      <c r="F1595" s="13" t="str">
        <f t="shared" si="150"/>
        <v>Nov-2017</v>
      </c>
      <c r="G1595" s="13" t="s">
        <v>25</v>
      </c>
      <c r="H1595" s="16" t="s">
        <v>35</v>
      </c>
      <c r="I1595" s="48" t="s">
        <v>637</v>
      </c>
      <c r="J1595" s="16" t="s">
        <v>86</v>
      </c>
      <c r="K1595" s="16" t="s">
        <v>9</v>
      </c>
      <c r="L1595" s="16" t="s">
        <v>30</v>
      </c>
      <c r="M1595" s="16"/>
      <c r="N1595" s="16" t="s">
        <v>106</v>
      </c>
      <c r="O1595" s="101"/>
      <c r="P1595" s="101"/>
      <c r="Q1595" s="102"/>
    </row>
    <row r="1596">
      <c r="A1596" s="134" t="s">
        <v>638</v>
      </c>
      <c r="B1596" s="134" t="s">
        <v>18</v>
      </c>
      <c r="C1596" s="134" t="s">
        <v>74</v>
      </c>
      <c r="D1596" s="133" t="s">
        <v>636</v>
      </c>
      <c r="E1596" s="168">
        <v>43042.0</v>
      </c>
      <c r="F1596" s="13" t="str">
        <f t="shared" si="150"/>
        <v>Nov-2017</v>
      </c>
      <c r="G1596" s="21" t="s">
        <v>20</v>
      </c>
      <c r="H1596" s="119" t="s">
        <v>35</v>
      </c>
      <c r="I1596" s="126" t="s">
        <v>148</v>
      </c>
      <c r="J1596" s="119" t="s">
        <v>27</v>
      </c>
      <c r="K1596" s="119" t="s">
        <v>9</v>
      </c>
      <c r="L1596" s="119" t="s">
        <v>24</v>
      </c>
      <c r="M1596" s="119" t="s">
        <v>24</v>
      </c>
      <c r="N1596" s="119" t="s">
        <v>37</v>
      </c>
      <c r="O1596" s="174"/>
      <c r="P1596" s="174"/>
      <c r="Q1596" s="175"/>
    </row>
    <row r="1597">
      <c r="A1597" s="168">
        <v>43042.0</v>
      </c>
      <c r="B1597" s="134" t="s">
        <v>18</v>
      </c>
      <c r="C1597" s="134" t="s">
        <v>74</v>
      </c>
      <c r="D1597" s="133" t="s">
        <v>636</v>
      </c>
      <c r="E1597" s="168">
        <v>43042.0</v>
      </c>
      <c r="F1597" s="13" t="str">
        <f t="shared" ref="F1597:F1598" si="151">TEXT(E1590:E1597, "mmm") &amp; "-" &amp; TEXT(E1590:E1597, "yyyy") </f>
        <v>Nov-2017</v>
      </c>
      <c r="G1597" s="21" t="s">
        <v>25</v>
      </c>
      <c r="H1597" s="119" t="s">
        <v>35</v>
      </c>
      <c r="I1597" s="126" t="s">
        <v>148</v>
      </c>
      <c r="J1597" s="119" t="s">
        <v>27</v>
      </c>
      <c r="K1597" s="119" t="s">
        <v>9</v>
      </c>
      <c r="L1597" s="119" t="s">
        <v>30</v>
      </c>
      <c r="M1597" s="119"/>
      <c r="N1597" s="119" t="s">
        <v>106</v>
      </c>
      <c r="O1597" s="174"/>
      <c r="P1597" s="174"/>
      <c r="Q1597" s="175"/>
    </row>
    <row r="1598">
      <c r="A1598" s="176" t="s">
        <v>639</v>
      </c>
      <c r="B1598" s="134" t="s">
        <v>18</v>
      </c>
      <c r="C1598" s="134" t="s">
        <v>74</v>
      </c>
      <c r="D1598" s="133" t="s">
        <v>636</v>
      </c>
      <c r="E1598" s="168">
        <v>43042.0</v>
      </c>
      <c r="F1598" s="13" t="str">
        <f t="shared" si="151"/>
        <v>Nov-2017</v>
      </c>
      <c r="G1598" s="119" t="s">
        <v>32</v>
      </c>
      <c r="H1598" s="119" t="s">
        <v>35</v>
      </c>
      <c r="I1598" s="126" t="s">
        <v>148</v>
      </c>
      <c r="J1598" s="119" t="s">
        <v>27</v>
      </c>
      <c r="K1598" s="119" t="s">
        <v>9</v>
      </c>
      <c r="L1598" s="119" t="s">
        <v>24</v>
      </c>
      <c r="M1598" s="119"/>
      <c r="N1598" s="119" t="s">
        <v>106</v>
      </c>
      <c r="O1598" s="174"/>
      <c r="P1598" s="174"/>
      <c r="Q1598" s="175"/>
    </row>
    <row r="1599">
      <c r="A1599" s="134" t="s">
        <v>74</v>
      </c>
      <c r="B1599" s="134" t="s">
        <v>18</v>
      </c>
      <c r="C1599" s="134" t="s">
        <v>74</v>
      </c>
      <c r="D1599" s="133" t="s">
        <v>636</v>
      </c>
      <c r="E1599" s="168">
        <v>43042.0</v>
      </c>
      <c r="F1599" s="13" t="str">
        <f t="shared" ref="F1599:F1600" si="152">TEXT(E1593:E1599, "mmm") &amp; "-" &amp; TEXT(E1593:E1599, "yyyy") </f>
        <v>Nov-2017</v>
      </c>
      <c r="G1599" s="13" t="s">
        <v>20</v>
      </c>
      <c r="H1599" s="16" t="s">
        <v>35</v>
      </c>
      <c r="I1599" s="48" t="s">
        <v>607</v>
      </c>
      <c r="J1599" s="16" t="s">
        <v>44</v>
      </c>
      <c r="K1599" s="16" t="s">
        <v>9</v>
      </c>
      <c r="L1599" s="16" t="s">
        <v>30</v>
      </c>
      <c r="M1599" s="16" t="s">
        <v>24</v>
      </c>
      <c r="N1599" s="16" t="s">
        <v>98</v>
      </c>
      <c r="O1599" s="101"/>
      <c r="P1599" s="101"/>
      <c r="Q1599" s="102"/>
    </row>
    <row r="1600">
      <c r="A1600" s="134"/>
      <c r="B1600" s="134" t="s">
        <v>18</v>
      </c>
      <c r="C1600" s="134" t="s">
        <v>74</v>
      </c>
      <c r="D1600" s="133" t="s">
        <v>636</v>
      </c>
      <c r="E1600" s="168">
        <v>43042.0</v>
      </c>
      <c r="F1600" s="13" t="str">
        <f t="shared" si="152"/>
        <v>Nov-2017</v>
      </c>
      <c r="G1600" s="13" t="s">
        <v>25</v>
      </c>
      <c r="H1600" s="16" t="s">
        <v>35</v>
      </c>
      <c r="I1600" s="48" t="s">
        <v>607</v>
      </c>
      <c r="J1600" s="16" t="s">
        <v>44</v>
      </c>
      <c r="K1600" s="16" t="s">
        <v>9</v>
      </c>
      <c r="L1600" s="16" t="s">
        <v>24</v>
      </c>
      <c r="M1600" s="16"/>
      <c r="N1600" s="16" t="s">
        <v>69</v>
      </c>
      <c r="O1600" s="101"/>
      <c r="P1600" s="101"/>
      <c r="Q1600" s="102"/>
    </row>
    <row r="1601">
      <c r="A1601" s="141"/>
      <c r="B1601" s="134" t="s">
        <v>18</v>
      </c>
      <c r="C1601" s="134" t="s">
        <v>74</v>
      </c>
      <c r="D1601" s="133" t="s">
        <v>636</v>
      </c>
      <c r="E1601" s="168">
        <v>43042.0</v>
      </c>
      <c r="F1601" s="51" t="str">
        <f>TEXT(E1597:E1601, "mmm") &amp; "-" &amp; TEXT(E1597:E1601, "yyyy") </f>
        <v>Nov-2017</v>
      </c>
      <c r="G1601" s="93" t="s">
        <v>32</v>
      </c>
      <c r="H1601" s="38" t="s">
        <v>35</v>
      </c>
      <c r="I1601" s="122" t="s">
        <v>607</v>
      </c>
      <c r="J1601" s="38" t="s">
        <v>44</v>
      </c>
      <c r="K1601" s="38" t="s">
        <v>9</v>
      </c>
      <c r="L1601" s="38" t="s">
        <v>24</v>
      </c>
      <c r="M1601" s="38"/>
      <c r="N1601" s="38" t="s">
        <v>106</v>
      </c>
      <c r="O1601" s="105"/>
      <c r="P1601" s="105"/>
      <c r="Q1601" s="106"/>
    </row>
    <row r="1602">
      <c r="A1602" s="107"/>
      <c r="B1602" s="95"/>
      <c r="C1602" s="95"/>
      <c r="D1602" s="95"/>
      <c r="E1602" s="95"/>
      <c r="I1602" s="23"/>
    </row>
    <row r="1603">
      <c r="A1603" s="133" t="s">
        <v>640</v>
      </c>
      <c r="B1603" s="134" t="s">
        <v>34</v>
      </c>
      <c r="C1603" s="134" t="s">
        <v>84</v>
      </c>
      <c r="D1603" s="133" t="s">
        <v>640</v>
      </c>
      <c r="E1603" s="168">
        <v>43043.0</v>
      </c>
      <c r="F1603" s="110" t="str">
        <f t="shared" ref="F1603:F1605" si="153">TEXT(E1597:E1603, "mmm") &amp; "-" &amp; TEXT(E1597:E1603, "yyyy") </f>
        <v>Nov-2017</v>
      </c>
      <c r="G1603" s="110" t="s">
        <v>20</v>
      </c>
      <c r="H1603" s="47" t="s">
        <v>35</v>
      </c>
      <c r="I1603" s="79" t="s">
        <v>641</v>
      </c>
      <c r="J1603" s="47" t="s">
        <v>23</v>
      </c>
      <c r="K1603" s="47" t="s">
        <v>9</v>
      </c>
      <c r="L1603" s="47" t="s">
        <v>30</v>
      </c>
      <c r="M1603" s="47" t="s">
        <v>30</v>
      </c>
      <c r="N1603" s="47" t="s">
        <v>29</v>
      </c>
      <c r="O1603" s="152"/>
      <c r="P1603" s="152"/>
      <c r="Q1603" s="153"/>
    </row>
    <row r="1604">
      <c r="A1604" s="134" t="s">
        <v>34</v>
      </c>
      <c r="B1604" s="134" t="s">
        <v>34</v>
      </c>
      <c r="C1604" s="134" t="s">
        <v>84</v>
      </c>
      <c r="D1604" s="133" t="s">
        <v>640</v>
      </c>
      <c r="E1604" s="168">
        <v>43043.0</v>
      </c>
      <c r="F1604" s="13" t="str">
        <f t="shared" si="153"/>
        <v>Nov-2017</v>
      </c>
      <c r="G1604" s="13" t="s">
        <v>25</v>
      </c>
      <c r="H1604" s="16" t="s">
        <v>35</v>
      </c>
      <c r="I1604" s="48" t="s">
        <v>641</v>
      </c>
      <c r="J1604" s="16" t="s">
        <v>23</v>
      </c>
      <c r="K1604" s="16" t="s">
        <v>9</v>
      </c>
      <c r="L1604" s="16" t="s">
        <v>30</v>
      </c>
      <c r="M1604" s="16"/>
      <c r="N1604" s="16" t="s">
        <v>29</v>
      </c>
      <c r="O1604" s="101"/>
      <c r="P1604" s="101"/>
      <c r="Q1604" s="102"/>
    </row>
    <row r="1605">
      <c r="A1605" s="134" t="s">
        <v>38</v>
      </c>
      <c r="B1605" s="134" t="s">
        <v>34</v>
      </c>
      <c r="C1605" s="134" t="s">
        <v>84</v>
      </c>
      <c r="D1605" s="133" t="s">
        <v>640</v>
      </c>
      <c r="E1605" s="168">
        <v>43043.0</v>
      </c>
      <c r="F1605" s="13" t="str">
        <f t="shared" si="153"/>
        <v>Nov-2017</v>
      </c>
      <c r="G1605" s="21" t="s">
        <v>20</v>
      </c>
      <c r="H1605" s="119" t="s">
        <v>35</v>
      </c>
      <c r="I1605" s="126" t="s">
        <v>296</v>
      </c>
      <c r="J1605" s="119" t="s">
        <v>9</v>
      </c>
      <c r="K1605" s="119" t="s">
        <v>9</v>
      </c>
      <c r="L1605" s="119" t="s">
        <v>24</v>
      </c>
      <c r="M1605" s="119" t="s">
        <v>24</v>
      </c>
      <c r="N1605" s="119" t="s">
        <v>69</v>
      </c>
      <c r="O1605" s="174"/>
      <c r="P1605" s="174"/>
      <c r="Q1605" s="175"/>
    </row>
    <row r="1606">
      <c r="A1606" s="168">
        <v>43043.0</v>
      </c>
      <c r="B1606" s="134" t="s">
        <v>34</v>
      </c>
      <c r="C1606" s="134" t="s">
        <v>84</v>
      </c>
      <c r="D1606" s="133" t="s">
        <v>640</v>
      </c>
      <c r="E1606" s="168">
        <v>43043.0</v>
      </c>
      <c r="F1606" s="13" t="str">
        <f t="shared" ref="F1606:F1607" si="154">TEXT(E1599:E1606, "mmm") &amp; "-" &amp; TEXT(E1599:E1606, "yyyy") </f>
        <v>Nov-2017</v>
      </c>
      <c r="G1606" s="21" t="s">
        <v>25</v>
      </c>
      <c r="H1606" s="119" t="s">
        <v>35</v>
      </c>
      <c r="I1606" s="126" t="s">
        <v>296</v>
      </c>
      <c r="J1606" s="119" t="s">
        <v>9</v>
      </c>
      <c r="K1606" s="119" t="s">
        <v>9</v>
      </c>
      <c r="L1606" s="119" t="s">
        <v>30</v>
      </c>
      <c r="M1606" s="119"/>
      <c r="N1606" s="119" t="s">
        <v>106</v>
      </c>
      <c r="O1606" s="174"/>
      <c r="P1606" s="174"/>
      <c r="Q1606" s="175"/>
    </row>
    <row r="1607">
      <c r="A1607" s="176" t="s">
        <v>642</v>
      </c>
      <c r="B1607" s="134" t="s">
        <v>34</v>
      </c>
      <c r="C1607" s="134" t="s">
        <v>84</v>
      </c>
      <c r="D1607" s="133" t="s">
        <v>640</v>
      </c>
      <c r="E1607" s="168">
        <v>43043.0</v>
      </c>
      <c r="F1607" s="13" t="str">
        <f t="shared" si="154"/>
        <v>Nov-2017</v>
      </c>
      <c r="G1607" s="119" t="s">
        <v>32</v>
      </c>
      <c r="H1607" s="119" t="s">
        <v>35</v>
      </c>
      <c r="I1607" s="126" t="s">
        <v>296</v>
      </c>
      <c r="J1607" s="119" t="s">
        <v>9</v>
      </c>
      <c r="K1607" s="119" t="s">
        <v>9</v>
      </c>
      <c r="L1607" s="119" t="s">
        <v>24</v>
      </c>
      <c r="M1607" s="119"/>
      <c r="N1607" s="119" t="s">
        <v>99</v>
      </c>
      <c r="O1607" s="174"/>
      <c r="P1607" s="174"/>
      <c r="Q1607" s="175"/>
    </row>
    <row r="1608">
      <c r="A1608" s="134" t="s">
        <v>84</v>
      </c>
      <c r="B1608" s="134" t="s">
        <v>34</v>
      </c>
      <c r="C1608" s="134" t="s">
        <v>84</v>
      </c>
      <c r="D1608" s="133" t="s">
        <v>640</v>
      </c>
      <c r="E1608" s="168">
        <v>43043.0</v>
      </c>
      <c r="F1608" s="13" t="str">
        <f>TEXT(E1602:E1608, "mmm") &amp; "-" &amp; TEXT(E1602:E1608, "yyyy") </f>
        <v>Nov-2017</v>
      </c>
      <c r="G1608" s="13" t="s">
        <v>20</v>
      </c>
      <c r="H1608" s="16" t="s">
        <v>35</v>
      </c>
      <c r="I1608" s="48" t="s">
        <v>643</v>
      </c>
      <c r="J1608" s="16" t="s">
        <v>102</v>
      </c>
      <c r="K1608" s="16" t="s">
        <v>9</v>
      </c>
      <c r="L1608" s="16" t="s">
        <v>24</v>
      </c>
      <c r="M1608" s="16" t="s">
        <v>24</v>
      </c>
      <c r="N1608" s="16" t="s">
        <v>69</v>
      </c>
      <c r="O1608" s="101"/>
      <c r="P1608" s="101"/>
      <c r="Q1608" s="102"/>
    </row>
    <row r="1609">
      <c r="A1609" s="141"/>
      <c r="B1609" s="134" t="s">
        <v>34</v>
      </c>
      <c r="C1609" s="134" t="s">
        <v>84</v>
      </c>
      <c r="D1609" s="133" t="s">
        <v>640</v>
      </c>
      <c r="E1609" s="168">
        <v>43043.0</v>
      </c>
      <c r="F1609" s="51" t="str">
        <f>TEXT(E1606:E1609, "mmm") &amp; "-" &amp; TEXT(E1606:E1609, "yyyy") </f>
        <v>Nov-2017</v>
      </c>
      <c r="G1609" s="93" t="s">
        <v>25</v>
      </c>
      <c r="H1609" s="38" t="s">
        <v>35</v>
      </c>
      <c r="I1609" s="122" t="s">
        <v>643</v>
      </c>
      <c r="J1609" s="38" t="s">
        <v>102</v>
      </c>
      <c r="K1609" s="38" t="s">
        <v>9</v>
      </c>
      <c r="L1609" s="38" t="s">
        <v>24</v>
      </c>
      <c r="M1609" s="38"/>
      <c r="N1609" s="38" t="s">
        <v>69</v>
      </c>
      <c r="O1609" s="105"/>
      <c r="P1609" s="105"/>
      <c r="Q1609" s="106"/>
    </row>
    <row r="1610">
      <c r="A1610" s="107"/>
      <c r="B1610" s="95"/>
      <c r="C1610" s="95"/>
      <c r="D1610" s="95"/>
      <c r="E1610" s="95"/>
      <c r="I1610" s="23"/>
    </row>
    <row r="1611">
      <c r="A1611" s="133" t="s">
        <v>644</v>
      </c>
      <c r="B1611" s="134" t="s">
        <v>151</v>
      </c>
      <c r="C1611" s="134" t="s">
        <v>74</v>
      </c>
      <c r="D1611" s="133" t="s">
        <v>644</v>
      </c>
      <c r="E1611" s="223">
        <v>43049.0</v>
      </c>
      <c r="F1611" s="110" t="str">
        <f t="shared" ref="F1611:F1619" si="155">TEXT(E1604:E1611, "mmm") &amp; "-" &amp; TEXT(E1604:E1611, "yyyy") </f>
        <v>Nov-2017</v>
      </c>
      <c r="G1611" s="70" t="s">
        <v>20</v>
      </c>
      <c r="H1611" s="218" t="s">
        <v>35</v>
      </c>
      <c r="I1611" s="86" t="s">
        <v>626</v>
      </c>
      <c r="J1611" s="73" t="s">
        <v>27</v>
      </c>
      <c r="K1611" s="218" t="s">
        <v>9</v>
      </c>
      <c r="L1611" s="73" t="s">
        <v>30</v>
      </c>
      <c r="M1611" s="73" t="s">
        <v>30</v>
      </c>
      <c r="N1611" s="73" t="s">
        <v>98</v>
      </c>
      <c r="O1611" s="165"/>
      <c r="P1611" s="165"/>
      <c r="Q1611" s="166"/>
    </row>
    <row r="1612">
      <c r="A1612" s="134" t="s">
        <v>151</v>
      </c>
      <c r="B1612" s="134" t="s">
        <v>151</v>
      </c>
      <c r="C1612" s="134" t="s">
        <v>74</v>
      </c>
      <c r="D1612" s="133" t="s">
        <v>644</v>
      </c>
      <c r="E1612" s="168">
        <v>43049.0</v>
      </c>
      <c r="F1612" s="13" t="str">
        <f t="shared" si="155"/>
        <v>Nov-2017</v>
      </c>
      <c r="G1612" s="21" t="s">
        <v>25</v>
      </c>
      <c r="H1612" s="119" t="s">
        <v>35</v>
      </c>
      <c r="I1612" s="80" t="s">
        <v>626</v>
      </c>
      <c r="J1612" s="25" t="s">
        <v>27</v>
      </c>
      <c r="K1612" s="119" t="s">
        <v>9</v>
      </c>
      <c r="L1612" s="25" t="s">
        <v>30</v>
      </c>
      <c r="M1612" s="25"/>
      <c r="N1612" s="25" t="s">
        <v>69</v>
      </c>
      <c r="Q1612" s="99"/>
    </row>
    <row r="1613">
      <c r="A1613" s="134" t="s">
        <v>645</v>
      </c>
      <c r="B1613" s="134" t="s">
        <v>151</v>
      </c>
      <c r="C1613" s="134" t="s">
        <v>74</v>
      </c>
      <c r="D1613" s="133" t="s">
        <v>644</v>
      </c>
      <c r="E1613" s="168">
        <v>43049.0</v>
      </c>
      <c r="F1613" s="13" t="str">
        <f t="shared" si="155"/>
        <v>Nov-2017</v>
      </c>
      <c r="G1613" s="13" t="s">
        <v>20</v>
      </c>
      <c r="H1613" s="16" t="s">
        <v>35</v>
      </c>
      <c r="I1613" s="48" t="s">
        <v>112</v>
      </c>
      <c r="J1613" s="16" t="s">
        <v>86</v>
      </c>
      <c r="K1613" s="16" t="s">
        <v>9</v>
      </c>
      <c r="L1613" s="16" t="s">
        <v>24</v>
      </c>
      <c r="M1613" s="16" t="s">
        <v>24</v>
      </c>
      <c r="N1613" s="16" t="s">
        <v>69</v>
      </c>
      <c r="O1613" s="101"/>
      <c r="P1613" s="101"/>
      <c r="Q1613" s="102"/>
    </row>
    <row r="1614">
      <c r="A1614" s="168">
        <v>43049.0</v>
      </c>
      <c r="B1614" s="134" t="s">
        <v>151</v>
      </c>
      <c r="C1614" s="134" t="s">
        <v>74</v>
      </c>
      <c r="D1614" s="133" t="s">
        <v>644</v>
      </c>
      <c r="E1614" s="168">
        <v>43049.0</v>
      </c>
      <c r="F1614" s="13" t="str">
        <f t="shared" si="155"/>
        <v>Nov-2017</v>
      </c>
      <c r="G1614" s="13" t="s">
        <v>25</v>
      </c>
      <c r="H1614" s="16" t="s">
        <v>35</v>
      </c>
      <c r="I1614" s="48" t="s">
        <v>112</v>
      </c>
      <c r="J1614" s="16" t="s">
        <v>86</v>
      </c>
      <c r="K1614" s="16" t="s">
        <v>9</v>
      </c>
      <c r="L1614" s="16" t="s">
        <v>24</v>
      </c>
      <c r="M1614" s="16"/>
      <c r="N1614" s="16" t="s">
        <v>99</v>
      </c>
      <c r="O1614" s="101"/>
      <c r="P1614" s="101"/>
      <c r="Q1614" s="102"/>
    </row>
    <row r="1615">
      <c r="A1615" s="176" t="s">
        <v>646</v>
      </c>
      <c r="B1615" s="134" t="s">
        <v>151</v>
      </c>
      <c r="C1615" s="134" t="s">
        <v>74</v>
      </c>
      <c r="D1615" s="133" t="s">
        <v>644</v>
      </c>
      <c r="E1615" s="168">
        <v>43049.0</v>
      </c>
      <c r="F1615" s="13" t="str">
        <f t="shared" si="155"/>
        <v>Nov-2017</v>
      </c>
      <c r="G1615" s="21" t="s">
        <v>20</v>
      </c>
      <c r="H1615" s="119" t="s">
        <v>35</v>
      </c>
      <c r="I1615" s="80" t="s">
        <v>431</v>
      </c>
      <c r="J1615" s="25" t="s">
        <v>23</v>
      </c>
      <c r="K1615" s="119" t="s">
        <v>9</v>
      </c>
      <c r="L1615" s="25" t="s">
        <v>24</v>
      </c>
      <c r="M1615" s="25" t="s">
        <v>30</v>
      </c>
      <c r="N1615" s="25" t="s">
        <v>37</v>
      </c>
      <c r="Q1615" s="99"/>
    </row>
    <row r="1616">
      <c r="A1616" s="134" t="s">
        <v>74</v>
      </c>
      <c r="B1616" s="134" t="s">
        <v>151</v>
      </c>
      <c r="C1616" s="134" t="s">
        <v>74</v>
      </c>
      <c r="D1616" s="133" t="s">
        <v>644</v>
      </c>
      <c r="E1616" s="168">
        <v>43049.0</v>
      </c>
      <c r="F1616" s="13" t="str">
        <f t="shared" si="155"/>
        <v>Nov-2017</v>
      </c>
      <c r="G1616" s="21" t="s">
        <v>25</v>
      </c>
      <c r="H1616" s="119" t="s">
        <v>35</v>
      </c>
      <c r="I1616" s="80" t="s">
        <v>431</v>
      </c>
      <c r="J1616" s="25" t="s">
        <v>23</v>
      </c>
      <c r="K1616" s="119" t="s">
        <v>9</v>
      </c>
      <c r="L1616" s="25" t="s">
        <v>30</v>
      </c>
      <c r="M1616" s="119"/>
      <c r="N1616" s="119" t="s">
        <v>106</v>
      </c>
      <c r="Q1616" s="99"/>
    </row>
    <row r="1617">
      <c r="A1617" s="140"/>
      <c r="B1617" s="134" t="s">
        <v>151</v>
      </c>
      <c r="C1617" s="134" t="s">
        <v>74</v>
      </c>
      <c r="D1617" s="133" t="s">
        <v>644</v>
      </c>
      <c r="E1617" s="168">
        <v>43049.0</v>
      </c>
      <c r="F1617" s="13" t="str">
        <f t="shared" si="155"/>
        <v>Nov-2017</v>
      </c>
      <c r="G1617" s="119" t="s">
        <v>32</v>
      </c>
      <c r="H1617" s="119" t="s">
        <v>35</v>
      </c>
      <c r="I1617" s="80" t="s">
        <v>431</v>
      </c>
      <c r="J1617" s="25" t="s">
        <v>23</v>
      </c>
      <c r="K1617" s="119" t="s">
        <v>9</v>
      </c>
      <c r="L1617" s="25" t="s">
        <v>30</v>
      </c>
      <c r="M1617" s="25"/>
      <c r="N1617" s="25" t="s">
        <v>99</v>
      </c>
      <c r="Q1617" s="99"/>
    </row>
    <row r="1618">
      <c r="A1618" s="140"/>
      <c r="B1618" s="134" t="s">
        <v>151</v>
      </c>
      <c r="C1618" s="134" t="s">
        <v>74</v>
      </c>
      <c r="D1618" s="133" t="s">
        <v>644</v>
      </c>
      <c r="E1618" s="168">
        <v>43049.0</v>
      </c>
      <c r="F1618" s="13" t="str">
        <f t="shared" si="155"/>
        <v>Nov-2017</v>
      </c>
      <c r="G1618" s="13" t="s">
        <v>20</v>
      </c>
      <c r="H1618" s="16" t="s">
        <v>35</v>
      </c>
      <c r="I1618" s="48" t="s">
        <v>88</v>
      </c>
      <c r="J1618" s="16" t="s">
        <v>86</v>
      </c>
      <c r="K1618" s="16" t="s">
        <v>9</v>
      </c>
      <c r="L1618" s="16" t="s">
        <v>24</v>
      </c>
      <c r="M1618" s="16" t="s">
        <v>24</v>
      </c>
      <c r="N1618" s="16" t="s">
        <v>29</v>
      </c>
      <c r="O1618" s="101"/>
      <c r="P1618" s="101"/>
      <c r="Q1618" s="102"/>
    </row>
    <row r="1619">
      <c r="A1619" s="141"/>
      <c r="B1619" s="134" t="s">
        <v>151</v>
      </c>
      <c r="C1619" s="134" t="s">
        <v>74</v>
      </c>
      <c r="D1619" s="133" t="s">
        <v>644</v>
      </c>
      <c r="E1619" s="170">
        <v>43049.0</v>
      </c>
      <c r="F1619" s="35" t="str">
        <f t="shared" si="155"/>
        <v>Nov-2017</v>
      </c>
      <c r="G1619" s="35" t="s">
        <v>25</v>
      </c>
      <c r="H1619" s="38" t="s">
        <v>35</v>
      </c>
      <c r="I1619" s="122" t="s">
        <v>88</v>
      </c>
      <c r="J1619" s="38" t="s">
        <v>86</v>
      </c>
      <c r="K1619" s="38" t="s">
        <v>9</v>
      </c>
      <c r="L1619" s="38" t="s">
        <v>24</v>
      </c>
      <c r="M1619" s="38"/>
      <c r="N1619" s="38" t="s">
        <v>29</v>
      </c>
      <c r="O1619" s="105"/>
      <c r="P1619" s="105"/>
      <c r="Q1619" s="106"/>
    </row>
    <row r="1620">
      <c r="A1620" s="107"/>
      <c r="B1620" s="95"/>
      <c r="C1620" s="95"/>
      <c r="D1620" s="95"/>
      <c r="E1620" s="95"/>
      <c r="I1620" s="23"/>
    </row>
    <row r="1621">
      <c r="A1621" s="133" t="s">
        <v>647</v>
      </c>
      <c r="B1621" s="134" t="s">
        <v>18</v>
      </c>
      <c r="C1621" s="134" t="s">
        <v>84</v>
      </c>
      <c r="D1621" s="133" t="s">
        <v>647</v>
      </c>
      <c r="E1621" s="135">
        <v>43050.0</v>
      </c>
      <c r="F1621" s="110" t="str">
        <f t="shared" ref="F1621:F1627" si="156">TEXT(E1614:E1621, "mmm") &amp; "-" &amp; TEXT(E1614:E1621, "yyyy") </f>
        <v>Nov-2017</v>
      </c>
      <c r="G1621" s="70" t="s">
        <v>20</v>
      </c>
      <c r="H1621" s="218" t="s">
        <v>35</v>
      </c>
      <c r="I1621" s="86" t="s">
        <v>425</v>
      </c>
      <c r="J1621" s="73" t="s">
        <v>9</v>
      </c>
      <c r="K1621" s="218" t="s">
        <v>9</v>
      </c>
      <c r="L1621" s="73" t="s">
        <v>24</v>
      </c>
      <c r="M1621" s="73" t="s">
        <v>30</v>
      </c>
      <c r="N1621" s="73" t="s">
        <v>98</v>
      </c>
      <c r="O1621" s="165"/>
      <c r="P1621" s="165"/>
      <c r="Q1621" s="166"/>
    </row>
    <row r="1622">
      <c r="A1622" s="134" t="s">
        <v>18</v>
      </c>
      <c r="B1622" s="134" t="s">
        <v>18</v>
      </c>
      <c r="C1622" s="134" t="s">
        <v>84</v>
      </c>
      <c r="D1622" s="133" t="s">
        <v>647</v>
      </c>
      <c r="E1622" s="137">
        <v>43050.0</v>
      </c>
      <c r="F1622" s="13" t="str">
        <f t="shared" si="156"/>
        <v>Nov-2017</v>
      </c>
      <c r="G1622" s="21" t="s">
        <v>25</v>
      </c>
      <c r="H1622" s="119" t="s">
        <v>35</v>
      </c>
      <c r="I1622" s="80" t="s">
        <v>425</v>
      </c>
      <c r="J1622" s="25" t="s">
        <v>9</v>
      </c>
      <c r="K1622" s="119" t="s">
        <v>9</v>
      </c>
      <c r="L1622" s="25" t="s">
        <v>30</v>
      </c>
      <c r="M1622" s="25"/>
      <c r="N1622" s="25" t="s">
        <v>106</v>
      </c>
      <c r="Q1622" s="99"/>
    </row>
    <row r="1623">
      <c r="A1623" s="176" t="s">
        <v>648</v>
      </c>
      <c r="B1623" s="134" t="s">
        <v>18</v>
      </c>
      <c r="C1623" s="134" t="s">
        <v>84</v>
      </c>
      <c r="D1623" s="133" t="s">
        <v>647</v>
      </c>
      <c r="E1623" s="137">
        <v>43050.0</v>
      </c>
      <c r="F1623" s="13" t="str">
        <f t="shared" si="156"/>
        <v>Nov-2017</v>
      </c>
      <c r="G1623" s="119" t="s">
        <v>32</v>
      </c>
      <c r="H1623" s="119" t="s">
        <v>35</v>
      </c>
      <c r="I1623" s="80" t="s">
        <v>425</v>
      </c>
      <c r="J1623" s="25" t="s">
        <v>27</v>
      </c>
      <c r="K1623" s="119" t="s">
        <v>9</v>
      </c>
      <c r="L1623" s="25" t="s">
        <v>30</v>
      </c>
      <c r="M1623" s="25"/>
      <c r="N1623" s="25" t="s">
        <v>29</v>
      </c>
      <c r="Q1623" s="99"/>
    </row>
    <row r="1624">
      <c r="A1624" s="168">
        <v>43050.0</v>
      </c>
      <c r="B1624" s="134" t="s">
        <v>18</v>
      </c>
      <c r="C1624" s="134" t="s">
        <v>84</v>
      </c>
      <c r="D1624" s="133" t="s">
        <v>647</v>
      </c>
      <c r="E1624" s="137">
        <v>43050.0</v>
      </c>
      <c r="F1624" s="13" t="str">
        <f t="shared" si="156"/>
        <v>Nov-2017</v>
      </c>
      <c r="G1624" s="13" t="s">
        <v>20</v>
      </c>
      <c r="H1624" s="16" t="s">
        <v>35</v>
      </c>
      <c r="I1624" s="48" t="s">
        <v>649</v>
      </c>
      <c r="J1624" s="16" t="s">
        <v>9</v>
      </c>
      <c r="K1624" s="16" t="s">
        <v>9</v>
      </c>
      <c r="L1624" s="16" t="s">
        <v>24</v>
      </c>
      <c r="M1624" s="16" t="s">
        <v>24</v>
      </c>
      <c r="N1624" s="16" t="s">
        <v>98</v>
      </c>
      <c r="O1624" s="101"/>
      <c r="P1624" s="101"/>
      <c r="Q1624" s="138" t="s">
        <v>650</v>
      </c>
    </row>
    <row r="1625">
      <c r="A1625" s="134" t="s">
        <v>84</v>
      </c>
      <c r="B1625" s="134" t="s">
        <v>18</v>
      </c>
      <c r="C1625" s="134" t="s">
        <v>84</v>
      </c>
      <c r="D1625" s="133" t="s">
        <v>647</v>
      </c>
      <c r="E1625" s="137">
        <v>43050.0</v>
      </c>
      <c r="F1625" s="13" t="str">
        <f t="shared" si="156"/>
        <v>Nov-2017</v>
      </c>
      <c r="G1625" s="13" t="s">
        <v>25</v>
      </c>
      <c r="H1625" s="16" t="s">
        <v>35</v>
      </c>
      <c r="I1625" s="48" t="s">
        <v>649</v>
      </c>
      <c r="J1625" s="16" t="s">
        <v>9</v>
      </c>
      <c r="K1625" s="16" t="s">
        <v>9</v>
      </c>
      <c r="L1625" s="16" t="s">
        <v>24</v>
      </c>
      <c r="M1625" s="16"/>
      <c r="N1625" s="16" t="s">
        <v>106</v>
      </c>
      <c r="O1625" s="101"/>
      <c r="P1625" s="101"/>
      <c r="Q1625" s="138" t="s">
        <v>650</v>
      </c>
    </row>
    <row r="1626">
      <c r="A1626" s="134" t="s">
        <v>651</v>
      </c>
      <c r="B1626" s="134" t="s">
        <v>18</v>
      </c>
      <c r="C1626" s="134" t="s">
        <v>84</v>
      </c>
      <c r="D1626" s="133" t="s">
        <v>647</v>
      </c>
      <c r="E1626" s="137">
        <v>43050.0</v>
      </c>
      <c r="F1626" s="13" t="str">
        <f t="shared" si="156"/>
        <v>Nov-2017</v>
      </c>
      <c r="G1626" s="21" t="s">
        <v>20</v>
      </c>
      <c r="H1626" s="119" t="s">
        <v>35</v>
      </c>
      <c r="I1626" s="80" t="s">
        <v>652</v>
      </c>
      <c r="J1626" s="25" t="s">
        <v>23</v>
      </c>
      <c r="K1626" s="119" t="s">
        <v>9</v>
      </c>
      <c r="L1626" s="25" t="s">
        <v>24</v>
      </c>
      <c r="M1626" s="25" t="s">
        <v>24</v>
      </c>
      <c r="N1626" s="25" t="s">
        <v>37</v>
      </c>
      <c r="Q1626" s="184" t="s">
        <v>650</v>
      </c>
    </row>
    <row r="1627">
      <c r="A1627" s="243" t="s">
        <v>653</v>
      </c>
      <c r="B1627" s="134" t="s">
        <v>18</v>
      </c>
      <c r="C1627" s="134" t="s">
        <v>84</v>
      </c>
      <c r="D1627" s="133" t="s">
        <v>647</v>
      </c>
      <c r="E1627" s="142">
        <v>43050.0</v>
      </c>
      <c r="F1627" s="35" t="str">
        <f t="shared" si="156"/>
        <v>Nov-2017</v>
      </c>
      <c r="G1627" s="51" t="s">
        <v>25</v>
      </c>
      <c r="H1627" s="114" t="s">
        <v>35</v>
      </c>
      <c r="I1627" s="113" t="s">
        <v>652</v>
      </c>
      <c r="J1627" s="55" t="s">
        <v>23</v>
      </c>
      <c r="K1627" s="114" t="s">
        <v>9</v>
      </c>
      <c r="L1627" s="55" t="s">
        <v>24</v>
      </c>
      <c r="M1627" s="55"/>
      <c r="N1627" s="55" t="s">
        <v>106</v>
      </c>
      <c r="O1627" s="143"/>
      <c r="P1627" s="143"/>
      <c r="Q1627" s="244" t="s">
        <v>650</v>
      </c>
    </row>
    <row r="1628">
      <c r="A1628" s="107"/>
      <c r="B1628" s="95"/>
      <c r="C1628" s="95"/>
      <c r="D1628" s="95"/>
      <c r="E1628" s="95"/>
      <c r="I1628" s="23"/>
    </row>
    <row r="1629">
      <c r="A1629" s="133" t="s">
        <v>654</v>
      </c>
      <c r="B1629" s="134" t="s">
        <v>18</v>
      </c>
      <c r="C1629" s="134" t="s">
        <v>74</v>
      </c>
      <c r="D1629" s="133" t="s">
        <v>654</v>
      </c>
      <c r="E1629" s="239">
        <v>43054.0</v>
      </c>
      <c r="F1629" s="110" t="str">
        <f t="shared" ref="F1629:F1646" si="157">TEXT(E1622:E1629, "mmm") &amp; "-" &amp; TEXT(E1622:E1629, "yyyy") </f>
        <v>Nov-2017</v>
      </c>
      <c r="G1629" s="110" t="s">
        <v>20</v>
      </c>
      <c r="H1629" s="47" t="s">
        <v>35</v>
      </c>
      <c r="I1629" s="79" t="s">
        <v>655</v>
      </c>
      <c r="J1629" s="47" t="s">
        <v>86</v>
      </c>
      <c r="K1629" s="47" t="s">
        <v>9</v>
      </c>
      <c r="L1629" s="47" t="s">
        <v>30</v>
      </c>
      <c r="M1629" s="47" t="s">
        <v>30</v>
      </c>
      <c r="N1629" s="47" t="s">
        <v>29</v>
      </c>
      <c r="O1629" s="152"/>
      <c r="P1629" s="152"/>
      <c r="Q1629" s="153"/>
    </row>
    <row r="1630">
      <c r="A1630" s="134" t="s">
        <v>18</v>
      </c>
      <c r="B1630" s="134" t="s">
        <v>18</v>
      </c>
      <c r="C1630" s="134" t="s">
        <v>74</v>
      </c>
      <c r="D1630" s="133" t="s">
        <v>654</v>
      </c>
      <c r="E1630" s="240">
        <v>43054.0</v>
      </c>
      <c r="F1630" s="13" t="str">
        <f t="shared" si="157"/>
        <v>Nov-2017</v>
      </c>
      <c r="G1630" s="13" t="s">
        <v>25</v>
      </c>
      <c r="H1630" s="16" t="s">
        <v>35</v>
      </c>
      <c r="I1630" s="48" t="s">
        <v>655</v>
      </c>
      <c r="J1630" s="16" t="s">
        <v>86</v>
      </c>
      <c r="K1630" s="16" t="s">
        <v>9</v>
      </c>
      <c r="L1630" s="16" t="s">
        <v>30</v>
      </c>
      <c r="M1630" s="16"/>
      <c r="N1630" s="16" t="s">
        <v>106</v>
      </c>
      <c r="O1630" s="101"/>
      <c r="P1630" s="101"/>
      <c r="Q1630" s="102"/>
    </row>
    <row r="1631">
      <c r="A1631" s="134" t="s">
        <v>656</v>
      </c>
      <c r="B1631" s="134" t="s">
        <v>18</v>
      </c>
      <c r="C1631" s="134" t="s">
        <v>74</v>
      </c>
      <c r="D1631" s="133" t="s">
        <v>654</v>
      </c>
      <c r="E1631" s="240">
        <v>43054.0</v>
      </c>
      <c r="F1631" s="13" t="str">
        <f t="shared" si="157"/>
        <v>Nov-2017</v>
      </c>
      <c r="G1631" s="21" t="s">
        <v>20</v>
      </c>
      <c r="H1631" s="119" t="s">
        <v>35</v>
      </c>
      <c r="I1631" s="80" t="s">
        <v>112</v>
      </c>
      <c r="J1631" s="25" t="s">
        <v>86</v>
      </c>
      <c r="K1631" s="119" t="s">
        <v>9</v>
      </c>
      <c r="L1631" s="25" t="s">
        <v>24</v>
      </c>
      <c r="M1631" s="25" t="s">
        <v>24</v>
      </c>
      <c r="N1631" s="25" t="s">
        <v>69</v>
      </c>
      <c r="Q1631" s="99"/>
    </row>
    <row r="1632">
      <c r="A1632" s="168">
        <v>43054.0</v>
      </c>
      <c r="B1632" s="134" t="s">
        <v>18</v>
      </c>
      <c r="C1632" s="134" t="s">
        <v>74</v>
      </c>
      <c r="D1632" s="133" t="s">
        <v>654</v>
      </c>
      <c r="E1632" s="240">
        <v>43054.0</v>
      </c>
      <c r="F1632" s="13" t="str">
        <f t="shared" si="157"/>
        <v>Nov-2017</v>
      </c>
      <c r="G1632" s="21" t="s">
        <v>25</v>
      </c>
      <c r="H1632" s="119" t="s">
        <v>35</v>
      </c>
      <c r="I1632" s="80" t="s">
        <v>112</v>
      </c>
      <c r="J1632" s="25" t="s">
        <v>86</v>
      </c>
      <c r="K1632" s="119" t="s">
        <v>9</v>
      </c>
      <c r="L1632" s="25" t="s">
        <v>24</v>
      </c>
      <c r="M1632" s="25"/>
      <c r="N1632" s="25" t="s">
        <v>99</v>
      </c>
      <c r="Q1632" s="99"/>
    </row>
    <row r="1633">
      <c r="A1633" s="176" t="s">
        <v>657</v>
      </c>
      <c r="B1633" s="134" t="s">
        <v>18</v>
      </c>
      <c r="C1633" s="134" t="s">
        <v>74</v>
      </c>
      <c r="D1633" s="133" t="s">
        <v>654</v>
      </c>
      <c r="E1633" s="240">
        <v>43054.0</v>
      </c>
      <c r="F1633" s="13" t="str">
        <f t="shared" si="157"/>
        <v>Nov-2017</v>
      </c>
      <c r="G1633" s="13" t="s">
        <v>20</v>
      </c>
      <c r="H1633" s="16" t="s">
        <v>35</v>
      </c>
      <c r="I1633" s="48" t="s">
        <v>658</v>
      </c>
      <c r="J1633" s="16" t="s">
        <v>44</v>
      </c>
      <c r="K1633" s="16" t="s">
        <v>9</v>
      </c>
      <c r="L1633" s="16" t="s">
        <v>30</v>
      </c>
      <c r="M1633" s="16" t="s">
        <v>30</v>
      </c>
      <c r="N1633" s="16" t="s">
        <v>98</v>
      </c>
      <c r="O1633" s="101"/>
      <c r="P1633" s="101"/>
      <c r="Q1633" s="102"/>
    </row>
    <row r="1634">
      <c r="A1634" s="176" t="s">
        <v>659</v>
      </c>
      <c r="B1634" s="134" t="s">
        <v>18</v>
      </c>
      <c r="C1634" s="134" t="s">
        <v>74</v>
      </c>
      <c r="D1634" s="133" t="s">
        <v>654</v>
      </c>
      <c r="E1634" s="240">
        <v>43054.0</v>
      </c>
      <c r="F1634" s="13" t="str">
        <f t="shared" si="157"/>
        <v>Nov-2017</v>
      </c>
      <c r="G1634" s="13" t="s">
        <v>25</v>
      </c>
      <c r="H1634" s="16" t="s">
        <v>35</v>
      </c>
      <c r="I1634" s="48" t="s">
        <v>658</v>
      </c>
      <c r="J1634" s="16" t="s">
        <v>44</v>
      </c>
      <c r="K1634" s="16" t="s">
        <v>9</v>
      </c>
      <c r="L1634" s="16" t="s">
        <v>30</v>
      </c>
      <c r="M1634" s="16"/>
      <c r="N1634" s="16" t="s">
        <v>69</v>
      </c>
      <c r="O1634" s="101"/>
      <c r="P1634" s="101"/>
      <c r="Q1634" s="102"/>
    </row>
    <row r="1635">
      <c r="A1635" s="134" t="s">
        <v>74</v>
      </c>
      <c r="B1635" s="134" t="s">
        <v>18</v>
      </c>
      <c r="C1635" s="134" t="s">
        <v>74</v>
      </c>
      <c r="D1635" s="133" t="s">
        <v>654</v>
      </c>
      <c r="E1635" s="240">
        <v>43054.0</v>
      </c>
      <c r="F1635" s="13" t="str">
        <f t="shared" si="157"/>
        <v>Nov-2017</v>
      </c>
      <c r="G1635" s="21" t="s">
        <v>20</v>
      </c>
      <c r="H1635" s="119" t="s">
        <v>35</v>
      </c>
      <c r="I1635" s="80" t="s">
        <v>88</v>
      </c>
      <c r="J1635" s="25" t="s">
        <v>86</v>
      </c>
      <c r="K1635" s="119" t="s">
        <v>9</v>
      </c>
      <c r="L1635" s="25" t="s">
        <v>24</v>
      </c>
      <c r="M1635" s="25" t="s">
        <v>24</v>
      </c>
      <c r="N1635" s="25" t="s">
        <v>29</v>
      </c>
      <c r="Q1635" s="99"/>
    </row>
    <row r="1636">
      <c r="A1636" s="140"/>
      <c r="B1636" s="134" t="s">
        <v>18</v>
      </c>
      <c r="C1636" s="134" t="s">
        <v>74</v>
      </c>
      <c r="D1636" s="133" t="s">
        <v>654</v>
      </c>
      <c r="E1636" s="240">
        <v>43054.0</v>
      </c>
      <c r="F1636" s="13" t="str">
        <f t="shared" si="157"/>
        <v>Nov-2017</v>
      </c>
      <c r="G1636" s="21" t="s">
        <v>25</v>
      </c>
      <c r="H1636" s="119" t="s">
        <v>35</v>
      </c>
      <c r="I1636" s="80" t="s">
        <v>88</v>
      </c>
      <c r="J1636" s="25" t="s">
        <v>86</v>
      </c>
      <c r="K1636" s="119" t="s">
        <v>9</v>
      </c>
      <c r="L1636" s="25" t="s">
        <v>24</v>
      </c>
      <c r="M1636" s="25"/>
      <c r="N1636" s="25" t="s">
        <v>69</v>
      </c>
      <c r="Q1636" s="99"/>
    </row>
    <row r="1637">
      <c r="A1637" s="140"/>
      <c r="B1637" s="134" t="s">
        <v>18</v>
      </c>
      <c r="C1637" s="134" t="s">
        <v>74</v>
      </c>
      <c r="D1637" s="133" t="s">
        <v>654</v>
      </c>
      <c r="E1637" s="240">
        <v>43054.0</v>
      </c>
      <c r="F1637" s="13" t="str">
        <f t="shared" si="157"/>
        <v>Nov-2017</v>
      </c>
      <c r="G1637" s="13" t="s">
        <v>20</v>
      </c>
      <c r="H1637" s="16" t="s">
        <v>278</v>
      </c>
      <c r="I1637" s="48" t="s">
        <v>633</v>
      </c>
      <c r="J1637" s="16" t="s">
        <v>27</v>
      </c>
      <c r="K1637" s="16" t="s">
        <v>9</v>
      </c>
      <c r="L1637" s="16" t="s">
        <v>24</v>
      </c>
      <c r="M1637" s="16" t="s">
        <v>30</v>
      </c>
      <c r="N1637" s="16" t="s">
        <v>69</v>
      </c>
      <c r="O1637" s="101"/>
      <c r="P1637" s="101"/>
      <c r="Q1637" s="102"/>
    </row>
    <row r="1638">
      <c r="A1638" s="140"/>
      <c r="B1638" s="134" t="s">
        <v>18</v>
      </c>
      <c r="C1638" s="134" t="s">
        <v>74</v>
      </c>
      <c r="D1638" s="133" t="s">
        <v>654</v>
      </c>
      <c r="E1638" s="240">
        <v>43054.0</v>
      </c>
      <c r="F1638" s="13" t="str">
        <f t="shared" si="157"/>
        <v>Nov-2017</v>
      </c>
      <c r="G1638" s="13" t="s">
        <v>25</v>
      </c>
      <c r="H1638" s="16" t="s">
        <v>278</v>
      </c>
      <c r="I1638" s="48" t="s">
        <v>633</v>
      </c>
      <c r="J1638" s="16" t="s">
        <v>27</v>
      </c>
      <c r="K1638" s="16" t="s">
        <v>9</v>
      </c>
      <c r="L1638" s="16" t="s">
        <v>30</v>
      </c>
      <c r="M1638" s="16"/>
      <c r="N1638" s="16" t="s">
        <v>106</v>
      </c>
      <c r="O1638" s="101"/>
      <c r="P1638" s="101"/>
      <c r="Q1638" s="102"/>
    </row>
    <row r="1639">
      <c r="A1639" s="140"/>
      <c r="B1639" s="134" t="s">
        <v>18</v>
      </c>
      <c r="C1639" s="134" t="s">
        <v>74</v>
      </c>
      <c r="D1639" s="133" t="s">
        <v>654</v>
      </c>
      <c r="E1639" s="240">
        <v>43054.0</v>
      </c>
      <c r="F1639" s="13" t="str">
        <f t="shared" si="157"/>
        <v>Nov-2017</v>
      </c>
      <c r="G1639" s="16" t="s">
        <v>32</v>
      </c>
      <c r="H1639" s="16" t="s">
        <v>278</v>
      </c>
      <c r="I1639" s="48" t="s">
        <v>633</v>
      </c>
      <c r="J1639" s="16" t="s">
        <v>27</v>
      </c>
      <c r="K1639" s="16" t="s">
        <v>9</v>
      </c>
      <c r="L1639" s="16" t="s">
        <v>30</v>
      </c>
      <c r="M1639" s="16"/>
      <c r="N1639" s="16" t="s">
        <v>37</v>
      </c>
      <c r="O1639" s="101"/>
      <c r="P1639" s="101"/>
      <c r="Q1639" s="102"/>
    </row>
    <row r="1640">
      <c r="A1640" s="140"/>
      <c r="B1640" s="134" t="s">
        <v>18</v>
      </c>
      <c r="C1640" s="134" t="s">
        <v>74</v>
      </c>
      <c r="D1640" s="133" t="s">
        <v>654</v>
      </c>
      <c r="E1640" s="240">
        <v>43054.0</v>
      </c>
      <c r="F1640" s="13" t="str">
        <f t="shared" si="157"/>
        <v>Nov-2017</v>
      </c>
      <c r="G1640" s="21" t="s">
        <v>20</v>
      </c>
      <c r="H1640" s="119" t="s">
        <v>278</v>
      </c>
      <c r="I1640" s="80" t="s">
        <v>93</v>
      </c>
      <c r="J1640" s="25" t="s">
        <v>23</v>
      </c>
      <c r="K1640" s="119" t="s">
        <v>9</v>
      </c>
      <c r="L1640" s="25" t="s">
        <v>30</v>
      </c>
      <c r="M1640" s="25" t="s">
        <v>30</v>
      </c>
      <c r="N1640" s="25" t="s">
        <v>99</v>
      </c>
      <c r="Q1640" s="99"/>
    </row>
    <row r="1641">
      <c r="A1641" s="140"/>
      <c r="B1641" s="134" t="s">
        <v>18</v>
      </c>
      <c r="C1641" s="134" t="s">
        <v>74</v>
      </c>
      <c r="D1641" s="133" t="s">
        <v>654</v>
      </c>
      <c r="E1641" s="240">
        <v>43054.0</v>
      </c>
      <c r="F1641" s="13" t="str">
        <f t="shared" si="157"/>
        <v>Nov-2017</v>
      </c>
      <c r="G1641" s="21" t="s">
        <v>25</v>
      </c>
      <c r="H1641" s="119" t="s">
        <v>278</v>
      </c>
      <c r="I1641" s="80" t="s">
        <v>93</v>
      </c>
      <c r="J1641" s="25" t="s">
        <v>23</v>
      </c>
      <c r="K1641" s="119" t="s">
        <v>9</v>
      </c>
      <c r="L1641" s="25" t="s">
        <v>24</v>
      </c>
      <c r="M1641" s="25"/>
      <c r="N1641" s="25" t="s">
        <v>37</v>
      </c>
      <c r="Q1641" s="99"/>
    </row>
    <row r="1642">
      <c r="A1642" s="140"/>
      <c r="B1642" s="134" t="s">
        <v>18</v>
      </c>
      <c r="C1642" s="134" t="s">
        <v>74</v>
      </c>
      <c r="D1642" s="133" t="s">
        <v>654</v>
      </c>
      <c r="E1642" s="240">
        <v>43054.0</v>
      </c>
      <c r="F1642" s="13" t="str">
        <f t="shared" si="157"/>
        <v>Nov-2017</v>
      </c>
      <c r="G1642" s="119" t="s">
        <v>32</v>
      </c>
      <c r="H1642" s="119" t="s">
        <v>278</v>
      </c>
      <c r="I1642" s="80" t="s">
        <v>93</v>
      </c>
      <c r="J1642" s="25" t="s">
        <v>23</v>
      </c>
      <c r="K1642" s="119" t="s">
        <v>9</v>
      </c>
      <c r="L1642" s="25" t="s">
        <v>30</v>
      </c>
      <c r="M1642" s="25"/>
      <c r="N1642" s="25" t="s">
        <v>106</v>
      </c>
      <c r="Q1642" s="99"/>
    </row>
    <row r="1643">
      <c r="A1643" s="140"/>
      <c r="B1643" s="134" t="s">
        <v>18</v>
      </c>
      <c r="C1643" s="134" t="s">
        <v>74</v>
      </c>
      <c r="D1643" s="133" t="s">
        <v>654</v>
      </c>
      <c r="E1643" s="240">
        <v>43054.0</v>
      </c>
      <c r="F1643" s="13" t="str">
        <f t="shared" si="157"/>
        <v>Nov-2017</v>
      </c>
      <c r="G1643" s="16" t="s">
        <v>146</v>
      </c>
      <c r="H1643" s="16" t="s">
        <v>278</v>
      </c>
      <c r="I1643" s="48" t="s">
        <v>361</v>
      </c>
      <c r="J1643" s="16" t="s">
        <v>44</v>
      </c>
      <c r="K1643" s="16" t="s">
        <v>9</v>
      </c>
      <c r="L1643" s="16" t="s">
        <v>24</v>
      </c>
      <c r="M1643" s="16" t="s">
        <v>30</v>
      </c>
      <c r="N1643" s="16" t="s">
        <v>69</v>
      </c>
      <c r="O1643" s="101"/>
      <c r="P1643" s="101"/>
      <c r="Q1643" s="102"/>
    </row>
    <row r="1644">
      <c r="A1644" s="140"/>
      <c r="B1644" s="134" t="s">
        <v>18</v>
      </c>
      <c r="C1644" s="134" t="s">
        <v>74</v>
      </c>
      <c r="D1644" s="133" t="s">
        <v>654</v>
      </c>
      <c r="E1644" s="240">
        <v>43054.0</v>
      </c>
      <c r="F1644" s="13" t="str">
        <f t="shared" si="157"/>
        <v>Nov-2017</v>
      </c>
      <c r="G1644" s="16" t="s">
        <v>149</v>
      </c>
      <c r="H1644" s="16" t="s">
        <v>278</v>
      </c>
      <c r="I1644" s="48" t="s">
        <v>361</v>
      </c>
      <c r="J1644" s="16" t="s">
        <v>44</v>
      </c>
      <c r="K1644" s="16" t="s">
        <v>9</v>
      </c>
      <c r="L1644" s="16" t="s">
        <v>30</v>
      </c>
      <c r="M1644" s="16"/>
      <c r="N1644" s="16" t="s">
        <v>106</v>
      </c>
      <c r="O1644" s="101"/>
      <c r="P1644" s="101"/>
      <c r="Q1644" s="102"/>
    </row>
    <row r="1645">
      <c r="A1645" s="140"/>
      <c r="B1645" s="134" t="s">
        <v>18</v>
      </c>
      <c r="C1645" s="134" t="s">
        <v>74</v>
      </c>
      <c r="D1645" s="133" t="s">
        <v>654</v>
      </c>
      <c r="E1645" s="240">
        <v>43054.0</v>
      </c>
      <c r="F1645" s="13" t="str">
        <f t="shared" si="157"/>
        <v>Nov-2017</v>
      </c>
      <c r="G1645" s="16" t="s">
        <v>222</v>
      </c>
      <c r="H1645" s="16" t="s">
        <v>278</v>
      </c>
      <c r="I1645" s="48" t="s">
        <v>361</v>
      </c>
      <c r="J1645" s="16" t="s">
        <v>44</v>
      </c>
      <c r="K1645" s="16" t="s">
        <v>9</v>
      </c>
      <c r="L1645" s="16" t="s">
        <v>24</v>
      </c>
      <c r="M1645" s="16"/>
      <c r="N1645" s="16" t="s">
        <v>29</v>
      </c>
      <c r="O1645" s="101"/>
      <c r="P1645" s="101"/>
      <c r="Q1645" s="102"/>
    </row>
    <row r="1646">
      <c r="A1646" s="140"/>
      <c r="B1646" s="134" t="s">
        <v>18</v>
      </c>
      <c r="C1646" s="134" t="s">
        <v>74</v>
      </c>
      <c r="D1646" s="133" t="s">
        <v>654</v>
      </c>
      <c r="E1646" s="240">
        <v>43054.0</v>
      </c>
      <c r="F1646" s="13" t="str">
        <f t="shared" si="157"/>
        <v>Nov-2017</v>
      </c>
      <c r="G1646" s="16" t="s">
        <v>467</v>
      </c>
      <c r="H1646" s="16" t="s">
        <v>278</v>
      </c>
      <c r="I1646" s="48" t="s">
        <v>361</v>
      </c>
      <c r="J1646" s="16" t="s">
        <v>44</v>
      </c>
      <c r="K1646" s="16" t="s">
        <v>9</v>
      </c>
      <c r="L1646" s="16" t="s">
        <v>30</v>
      </c>
      <c r="M1646" s="16"/>
      <c r="N1646" s="16" t="s">
        <v>37</v>
      </c>
      <c r="O1646" s="101"/>
      <c r="P1646" s="101"/>
      <c r="Q1646" s="102"/>
    </row>
    <row r="1647">
      <c r="A1647" s="140"/>
      <c r="B1647" s="134" t="s">
        <v>18</v>
      </c>
      <c r="C1647" s="134" t="s">
        <v>74</v>
      </c>
      <c r="D1647" s="133" t="s">
        <v>654</v>
      </c>
      <c r="E1647" s="240">
        <v>43054.0</v>
      </c>
      <c r="F1647" s="13" t="str">
        <f t="shared" ref="F1647:F1652" si="158">TEXT(E1639:E1647, "mmm") &amp; "-" &amp; TEXT(E1639:E1647, "yyyy") </f>
        <v>Nov-2017</v>
      </c>
      <c r="G1647" s="16" t="s">
        <v>480</v>
      </c>
      <c r="H1647" s="16" t="s">
        <v>278</v>
      </c>
      <c r="I1647" s="48" t="s">
        <v>361</v>
      </c>
      <c r="J1647" s="16" t="s">
        <v>44</v>
      </c>
      <c r="K1647" s="16" t="s">
        <v>9</v>
      </c>
      <c r="L1647" s="16" t="s">
        <v>30</v>
      </c>
      <c r="M1647" s="16"/>
      <c r="N1647" s="16" t="s">
        <v>99</v>
      </c>
      <c r="O1647" s="101"/>
      <c r="P1647" s="101"/>
      <c r="Q1647" s="102"/>
    </row>
    <row r="1648">
      <c r="A1648" s="140"/>
      <c r="B1648" s="134" t="s">
        <v>18</v>
      </c>
      <c r="C1648" s="134" t="s">
        <v>74</v>
      </c>
      <c r="D1648" s="133" t="s">
        <v>654</v>
      </c>
      <c r="E1648" s="240">
        <v>43054.0</v>
      </c>
      <c r="F1648" s="13" t="str">
        <f t="shared" si="158"/>
        <v>Nov-2017</v>
      </c>
      <c r="G1648" s="21" t="s">
        <v>20</v>
      </c>
      <c r="H1648" s="119" t="s">
        <v>278</v>
      </c>
      <c r="I1648" s="80" t="s">
        <v>361</v>
      </c>
      <c r="J1648" s="25" t="s">
        <v>44</v>
      </c>
      <c r="K1648" s="119" t="s">
        <v>9</v>
      </c>
      <c r="L1648" s="25" t="s">
        <v>30</v>
      </c>
      <c r="M1648" s="25" t="s">
        <v>24</v>
      </c>
      <c r="N1648" s="25" t="s">
        <v>69</v>
      </c>
      <c r="Q1648" s="99"/>
    </row>
    <row r="1649">
      <c r="A1649" s="140"/>
      <c r="B1649" s="134" t="s">
        <v>18</v>
      </c>
      <c r="C1649" s="134" t="s">
        <v>74</v>
      </c>
      <c r="D1649" s="133" t="s">
        <v>654</v>
      </c>
      <c r="E1649" s="240">
        <v>43054.0</v>
      </c>
      <c r="F1649" s="13" t="str">
        <f t="shared" si="158"/>
        <v>Nov-2017</v>
      </c>
      <c r="G1649" s="21" t="s">
        <v>25</v>
      </c>
      <c r="H1649" s="119" t="s">
        <v>278</v>
      </c>
      <c r="I1649" s="80" t="s">
        <v>361</v>
      </c>
      <c r="J1649" s="25" t="s">
        <v>44</v>
      </c>
      <c r="K1649" s="119" t="s">
        <v>9</v>
      </c>
      <c r="L1649" s="25" t="s">
        <v>24</v>
      </c>
      <c r="M1649" s="25"/>
      <c r="N1649" s="25" t="s">
        <v>69</v>
      </c>
      <c r="Q1649" s="99"/>
    </row>
    <row r="1650">
      <c r="A1650" s="140"/>
      <c r="B1650" s="134" t="s">
        <v>18</v>
      </c>
      <c r="C1650" s="134" t="s">
        <v>74</v>
      </c>
      <c r="D1650" s="133" t="s">
        <v>654</v>
      </c>
      <c r="E1650" s="240">
        <v>43054.0</v>
      </c>
      <c r="F1650" s="13" t="str">
        <f t="shared" si="158"/>
        <v>Nov-2017</v>
      </c>
      <c r="G1650" s="119" t="s">
        <v>32</v>
      </c>
      <c r="H1650" s="119" t="s">
        <v>278</v>
      </c>
      <c r="I1650" s="80" t="s">
        <v>361</v>
      </c>
      <c r="J1650" s="25" t="s">
        <v>44</v>
      </c>
      <c r="K1650" s="119" t="s">
        <v>9</v>
      </c>
      <c r="L1650" s="25" t="s">
        <v>24</v>
      </c>
      <c r="M1650" s="25"/>
      <c r="N1650" s="25" t="s">
        <v>106</v>
      </c>
      <c r="Q1650" s="99"/>
    </row>
    <row r="1651">
      <c r="A1651" s="140"/>
      <c r="B1651" s="134" t="s">
        <v>18</v>
      </c>
      <c r="C1651" s="134" t="s">
        <v>74</v>
      </c>
      <c r="D1651" s="133" t="s">
        <v>654</v>
      </c>
      <c r="E1651" s="240">
        <v>43054.0</v>
      </c>
      <c r="F1651" s="13" t="str">
        <f t="shared" si="158"/>
        <v>Nov-2017</v>
      </c>
      <c r="G1651" s="13" t="s">
        <v>20</v>
      </c>
      <c r="H1651" s="16" t="s">
        <v>278</v>
      </c>
      <c r="I1651" s="48" t="s">
        <v>361</v>
      </c>
      <c r="J1651" s="16" t="s">
        <v>44</v>
      </c>
      <c r="K1651" s="16" t="s">
        <v>9</v>
      </c>
      <c r="L1651" s="16" t="s">
        <v>30</v>
      </c>
      <c r="M1651" s="16" t="s">
        <v>30</v>
      </c>
      <c r="N1651" s="16" t="s">
        <v>69</v>
      </c>
      <c r="O1651" s="101"/>
      <c r="P1651" s="101"/>
      <c r="Q1651" s="102"/>
    </row>
    <row r="1652">
      <c r="A1652" s="140"/>
      <c r="B1652" s="134" t="s">
        <v>18</v>
      </c>
      <c r="C1652" s="134" t="s">
        <v>74</v>
      </c>
      <c r="D1652" s="133" t="s">
        <v>654</v>
      </c>
      <c r="E1652" s="240">
        <v>43054.0</v>
      </c>
      <c r="F1652" s="13" t="str">
        <f t="shared" si="158"/>
        <v>Nov-2017</v>
      </c>
      <c r="G1652" s="13" t="s">
        <v>25</v>
      </c>
      <c r="H1652" s="16" t="s">
        <v>278</v>
      </c>
      <c r="I1652" s="48" t="s">
        <v>361</v>
      </c>
      <c r="J1652" s="16" t="s">
        <v>44</v>
      </c>
      <c r="K1652" s="16" t="s">
        <v>9</v>
      </c>
      <c r="L1652" s="16" t="s">
        <v>30</v>
      </c>
      <c r="M1652" s="16"/>
      <c r="N1652" s="16" t="s">
        <v>69</v>
      </c>
      <c r="O1652" s="101"/>
      <c r="P1652" s="101"/>
      <c r="Q1652" s="102"/>
    </row>
    <row r="1653">
      <c r="A1653" s="245"/>
      <c r="B1653" s="97"/>
      <c r="C1653" s="97"/>
      <c r="D1653" s="97"/>
      <c r="E1653" s="97"/>
      <c r="F1653" s="165"/>
      <c r="G1653" s="165"/>
      <c r="H1653" s="165"/>
      <c r="I1653" s="71"/>
      <c r="J1653" s="165"/>
      <c r="K1653" s="165"/>
      <c r="L1653" s="165"/>
      <c r="M1653" s="165"/>
      <c r="N1653" s="165"/>
      <c r="O1653" s="165"/>
      <c r="P1653" s="165"/>
      <c r="Q1653" s="165"/>
    </row>
    <row r="1654">
      <c r="A1654" s="133" t="s">
        <v>660</v>
      </c>
      <c r="B1654" s="134" t="s">
        <v>34</v>
      </c>
      <c r="C1654" s="134" t="s">
        <v>74</v>
      </c>
      <c r="D1654" s="133" t="s">
        <v>660</v>
      </c>
      <c r="E1654" s="168">
        <v>43055.0</v>
      </c>
      <c r="F1654" s="13" t="str">
        <f t="shared" ref="F1654:F1668" si="159">TEXT(E1646:E1654, "mmm") &amp; "-" &amp; TEXT(E1646:E1654, "yyyy") </f>
        <v>Nov-2017</v>
      </c>
      <c r="G1654" s="70" t="s">
        <v>20</v>
      </c>
      <c r="H1654" s="218" t="s">
        <v>35</v>
      </c>
      <c r="I1654" s="86" t="s">
        <v>661</v>
      </c>
      <c r="J1654" s="73" t="s">
        <v>216</v>
      </c>
      <c r="K1654" s="73" t="s">
        <v>9</v>
      </c>
      <c r="L1654" s="73" t="s">
        <v>30</v>
      </c>
      <c r="M1654" s="73" t="s">
        <v>30</v>
      </c>
      <c r="N1654" s="73" t="s">
        <v>69</v>
      </c>
      <c r="O1654" s="165"/>
      <c r="P1654" s="165"/>
      <c r="Q1654" s="166"/>
    </row>
    <row r="1655">
      <c r="A1655" s="134" t="s">
        <v>34</v>
      </c>
      <c r="B1655" s="134" t="s">
        <v>34</v>
      </c>
      <c r="C1655" s="134" t="s">
        <v>74</v>
      </c>
      <c r="D1655" s="133" t="s">
        <v>660</v>
      </c>
      <c r="E1655" s="168">
        <v>43055.0</v>
      </c>
      <c r="F1655" s="13" t="str">
        <f t="shared" si="159"/>
        <v>Nov-2017</v>
      </c>
      <c r="G1655" s="21" t="s">
        <v>25</v>
      </c>
      <c r="H1655" s="119" t="s">
        <v>35</v>
      </c>
      <c r="I1655" s="80" t="s">
        <v>661</v>
      </c>
      <c r="J1655" s="25" t="s">
        <v>216</v>
      </c>
      <c r="K1655" s="25" t="s">
        <v>9</v>
      </c>
      <c r="L1655" s="25" t="s">
        <v>30</v>
      </c>
      <c r="M1655" s="25"/>
      <c r="N1655" s="25" t="s">
        <v>99</v>
      </c>
      <c r="Q1655" s="99"/>
    </row>
    <row r="1656">
      <c r="A1656" s="134" t="s">
        <v>662</v>
      </c>
      <c r="B1656" s="134" t="s">
        <v>34</v>
      </c>
      <c r="C1656" s="134" t="s">
        <v>74</v>
      </c>
      <c r="D1656" s="133" t="s">
        <v>660</v>
      </c>
      <c r="E1656" s="168">
        <v>43055.0</v>
      </c>
      <c r="F1656" s="13" t="str">
        <f t="shared" si="159"/>
        <v>Nov-2017</v>
      </c>
      <c r="G1656" s="13" t="s">
        <v>20</v>
      </c>
      <c r="H1656" s="16" t="s">
        <v>35</v>
      </c>
      <c r="I1656" s="48" t="s">
        <v>663</v>
      </c>
      <c r="J1656" s="16" t="s">
        <v>27</v>
      </c>
      <c r="K1656" s="16" t="s">
        <v>9</v>
      </c>
      <c r="L1656" s="16" t="s">
        <v>30</v>
      </c>
      <c r="M1656" s="16" t="s">
        <v>24</v>
      </c>
      <c r="N1656" s="16" t="s">
        <v>69</v>
      </c>
      <c r="O1656" s="101"/>
      <c r="P1656" s="101"/>
      <c r="Q1656" s="102"/>
    </row>
    <row r="1657">
      <c r="A1657" s="168">
        <v>43055.0</v>
      </c>
      <c r="B1657" s="134" t="s">
        <v>34</v>
      </c>
      <c r="C1657" s="134" t="s">
        <v>74</v>
      </c>
      <c r="D1657" s="133" t="s">
        <v>660</v>
      </c>
      <c r="E1657" s="168">
        <v>43055.0</v>
      </c>
      <c r="F1657" s="13" t="str">
        <f t="shared" si="159"/>
        <v>Nov-2017</v>
      </c>
      <c r="G1657" s="13" t="s">
        <v>25</v>
      </c>
      <c r="H1657" s="16" t="s">
        <v>35</v>
      </c>
      <c r="I1657" s="48" t="s">
        <v>663</v>
      </c>
      <c r="J1657" s="16" t="s">
        <v>27</v>
      </c>
      <c r="K1657" s="16" t="s">
        <v>9</v>
      </c>
      <c r="L1657" s="16" t="s">
        <v>24</v>
      </c>
      <c r="M1657" s="16"/>
      <c r="N1657" s="16" t="s">
        <v>98</v>
      </c>
      <c r="O1657" s="101"/>
      <c r="P1657" s="101"/>
      <c r="Q1657" s="102"/>
    </row>
    <row r="1658">
      <c r="A1658" s="176" t="s">
        <v>664</v>
      </c>
      <c r="B1658" s="134" t="s">
        <v>34</v>
      </c>
      <c r="C1658" s="134" t="s">
        <v>74</v>
      </c>
      <c r="D1658" s="133" t="s">
        <v>660</v>
      </c>
      <c r="E1658" s="168">
        <v>43055.0</v>
      </c>
      <c r="F1658" s="13" t="str">
        <f t="shared" si="159"/>
        <v>Nov-2017</v>
      </c>
      <c r="G1658" s="16" t="s">
        <v>32</v>
      </c>
      <c r="H1658" s="16" t="s">
        <v>35</v>
      </c>
      <c r="I1658" s="48" t="s">
        <v>663</v>
      </c>
      <c r="J1658" s="16" t="s">
        <v>27</v>
      </c>
      <c r="K1658" s="16" t="s">
        <v>9</v>
      </c>
      <c r="L1658" s="16" t="s">
        <v>24</v>
      </c>
      <c r="M1658" s="16"/>
      <c r="N1658" s="16" t="s">
        <v>98</v>
      </c>
      <c r="O1658" s="101"/>
      <c r="P1658" s="101"/>
      <c r="Q1658" s="102"/>
    </row>
    <row r="1659">
      <c r="A1659" s="134" t="s">
        <v>74</v>
      </c>
      <c r="B1659" s="134" t="s">
        <v>34</v>
      </c>
      <c r="C1659" s="134" t="s">
        <v>74</v>
      </c>
      <c r="D1659" s="133" t="s">
        <v>660</v>
      </c>
      <c r="E1659" s="168">
        <v>43055.0</v>
      </c>
      <c r="F1659" s="13" t="str">
        <f t="shared" si="159"/>
        <v>Nov-2017</v>
      </c>
      <c r="G1659" s="21" t="s">
        <v>20</v>
      </c>
      <c r="H1659" s="119" t="s">
        <v>35</v>
      </c>
      <c r="I1659" s="80" t="s">
        <v>241</v>
      </c>
      <c r="J1659" s="25" t="s">
        <v>97</v>
      </c>
      <c r="K1659" s="25" t="s">
        <v>9</v>
      </c>
      <c r="L1659" s="25" t="s">
        <v>30</v>
      </c>
      <c r="M1659" s="25" t="s">
        <v>30</v>
      </c>
      <c r="N1659" s="25" t="s">
        <v>69</v>
      </c>
      <c r="Q1659" s="99"/>
    </row>
    <row r="1660">
      <c r="A1660" s="140"/>
      <c r="B1660" s="134" t="s">
        <v>34</v>
      </c>
      <c r="C1660" s="134" t="s">
        <v>74</v>
      </c>
      <c r="D1660" s="133" t="s">
        <v>660</v>
      </c>
      <c r="E1660" s="168">
        <v>43055.0</v>
      </c>
      <c r="F1660" s="13" t="str">
        <f t="shared" si="159"/>
        <v>Nov-2017</v>
      </c>
      <c r="G1660" s="21" t="s">
        <v>25</v>
      </c>
      <c r="H1660" s="119" t="s">
        <v>35</v>
      </c>
      <c r="I1660" s="80" t="s">
        <v>241</v>
      </c>
      <c r="J1660" s="25" t="s">
        <v>97</v>
      </c>
      <c r="K1660" s="25" t="s">
        <v>9</v>
      </c>
      <c r="L1660" s="25" t="s">
        <v>30</v>
      </c>
      <c r="M1660" s="25"/>
      <c r="N1660" s="25" t="s">
        <v>37</v>
      </c>
      <c r="Q1660" s="99"/>
    </row>
    <row r="1661">
      <c r="A1661" s="140"/>
      <c r="B1661" s="134" t="s">
        <v>34</v>
      </c>
      <c r="C1661" s="134" t="s">
        <v>74</v>
      </c>
      <c r="D1661" s="133" t="s">
        <v>660</v>
      </c>
      <c r="E1661" s="168">
        <v>43055.0</v>
      </c>
      <c r="F1661" s="13" t="str">
        <f t="shared" si="159"/>
        <v>Nov-2017</v>
      </c>
      <c r="G1661" s="16" t="s">
        <v>146</v>
      </c>
      <c r="H1661" s="16" t="s">
        <v>35</v>
      </c>
      <c r="I1661" s="48" t="s">
        <v>665</v>
      </c>
      <c r="J1661" s="16" t="s">
        <v>86</v>
      </c>
      <c r="K1661" s="16" t="s">
        <v>9</v>
      </c>
      <c r="L1661" s="16" t="s">
        <v>30</v>
      </c>
      <c r="M1661" s="16" t="s">
        <v>30</v>
      </c>
      <c r="N1661" s="16" t="s">
        <v>29</v>
      </c>
      <c r="O1661" s="101"/>
      <c r="P1661" s="101"/>
      <c r="Q1661" s="102"/>
    </row>
    <row r="1662">
      <c r="A1662" s="140"/>
      <c r="B1662" s="134" t="s">
        <v>34</v>
      </c>
      <c r="C1662" s="134" t="s">
        <v>74</v>
      </c>
      <c r="D1662" s="133" t="s">
        <v>660</v>
      </c>
      <c r="E1662" s="168">
        <v>43055.0</v>
      </c>
      <c r="F1662" s="13" t="str">
        <f t="shared" si="159"/>
        <v>Nov-2017</v>
      </c>
      <c r="G1662" s="16" t="s">
        <v>149</v>
      </c>
      <c r="H1662" s="16" t="s">
        <v>35</v>
      </c>
      <c r="I1662" s="48" t="s">
        <v>665</v>
      </c>
      <c r="J1662" s="16" t="s">
        <v>86</v>
      </c>
      <c r="K1662" s="16" t="s">
        <v>9</v>
      </c>
      <c r="L1662" s="16" t="s">
        <v>24</v>
      </c>
      <c r="M1662" s="16"/>
      <c r="N1662" s="16" t="s">
        <v>37</v>
      </c>
      <c r="O1662" s="101"/>
      <c r="P1662" s="101"/>
      <c r="Q1662" s="102"/>
    </row>
    <row r="1663">
      <c r="A1663" s="140"/>
      <c r="B1663" s="134" t="s">
        <v>34</v>
      </c>
      <c r="C1663" s="134" t="s">
        <v>74</v>
      </c>
      <c r="D1663" s="133" t="s">
        <v>660</v>
      </c>
      <c r="E1663" s="168">
        <v>43055.0</v>
      </c>
      <c r="F1663" s="13" t="str">
        <f t="shared" si="159"/>
        <v>Nov-2017</v>
      </c>
      <c r="G1663" s="16" t="s">
        <v>222</v>
      </c>
      <c r="H1663" s="16" t="s">
        <v>35</v>
      </c>
      <c r="I1663" s="48" t="s">
        <v>665</v>
      </c>
      <c r="J1663" s="16" t="s">
        <v>86</v>
      </c>
      <c r="K1663" s="16" t="s">
        <v>9</v>
      </c>
      <c r="L1663" s="16" t="s">
        <v>30</v>
      </c>
      <c r="M1663" s="16"/>
      <c r="N1663" s="16" t="s">
        <v>69</v>
      </c>
      <c r="O1663" s="101"/>
      <c r="P1663" s="101"/>
      <c r="Q1663" s="102"/>
    </row>
    <row r="1664">
      <c r="A1664" s="140"/>
      <c r="B1664" s="134" t="s">
        <v>34</v>
      </c>
      <c r="C1664" s="134" t="s">
        <v>74</v>
      </c>
      <c r="D1664" s="133" t="s">
        <v>660</v>
      </c>
      <c r="E1664" s="168">
        <v>43055.0</v>
      </c>
      <c r="F1664" s="13" t="str">
        <f t="shared" si="159"/>
        <v>Nov-2017</v>
      </c>
      <c r="G1664" s="16" t="s">
        <v>467</v>
      </c>
      <c r="H1664" s="16" t="s">
        <v>35</v>
      </c>
      <c r="I1664" s="48" t="s">
        <v>665</v>
      </c>
      <c r="J1664" s="16" t="s">
        <v>86</v>
      </c>
      <c r="K1664" s="16" t="s">
        <v>9</v>
      </c>
      <c r="L1664" s="16" t="s">
        <v>30</v>
      </c>
      <c r="M1664" s="16"/>
      <c r="N1664" s="16" t="s">
        <v>98</v>
      </c>
      <c r="O1664" s="101"/>
      <c r="P1664" s="101"/>
      <c r="Q1664" s="102"/>
    </row>
    <row r="1665">
      <c r="A1665" s="140"/>
      <c r="B1665" s="134" t="s">
        <v>34</v>
      </c>
      <c r="C1665" s="134" t="s">
        <v>74</v>
      </c>
      <c r="D1665" s="133" t="s">
        <v>660</v>
      </c>
      <c r="E1665" s="168">
        <v>43055.0</v>
      </c>
      <c r="F1665" s="13" t="str">
        <f t="shared" si="159"/>
        <v>Nov-2017</v>
      </c>
      <c r="G1665" s="119" t="s">
        <v>146</v>
      </c>
      <c r="H1665" s="119" t="s">
        <v>35</v>
      </c>
      <c r="I1665" s="80" t="s">
        <v>245</v>
      </c>
      <c r="J1665" s="25" t="s">
        <v>27</v>
      </c>
      <c r="K1665" s="25" t="s">
        <v>9</v>
      </c>
      <c r="L1665" s="25" t="s">
        <v>24</v>
      </c>
      <c r="M1665" s="25" t="s">
        <v>24</v>
      </c>
      <c r="N1665" s="25" t="s">
        <v>37</v>
      </c>
      <c r="Q1665" s="99"/>
    </row>
    <row r="1666">
      <c r="A1666" s="140"/>
      <c r="B1666" s="134" t="s">
        <v>34</v>
      </c>
      <c r="C1666" s="134" t="s">
        <v>74</v>
      </c>
      <c r="D1666" s="133" t="s">
        <v>660</v>
      </c>
      <c r="E1666" s="168">
        <v>43055.0</v>
      </c>
      <c r="F1666" s="13" t="str">
        <f t="shared" si="159"/>
        <v>Nov-2017</v>
      </c>
      <c r="G1666" s="119" t="s">
        <v>149</v>
      </c>
      <c r="H1666" s="119" t="s">
        <v>35</v>
      </c>
      <c r="I1666" s="80" t="s">
        <v>245</v>
      </c>
      <c r="J1666" s="25" t="s">
        <v>27</v>
      </c>
      <c r="K1666" s="25" t="s">
        <v>9</v>
      </c>
      <c r="L1666" s="25" t="s">
        <v>24</v>
      </c>
      <c r="M1666" s="25"/>
      <c r="N1666" s="25" t="s">
        <v>98</v>
      </c>
      <c r="Q1666" s="99"/>
    </row>
    <row r="1667">
      <c r="A1667" s="140"/>
      <c r="B1667" s="134" t="s">
        <v>34</v>
      </c>
      <c r="C1667" s="134" t="s">
        <v>74</v>
      </c>
      <c r="D1667" s="133" t="s">
        <v>660</v>
      </c>
      <c r="E1667" s="168">
        <v>43055.0</v>
      </c>
      <c r="F1667" s="13" t="str">
        <f t="shared" si="159"/>
        <v>Nov-2017</v>
      </c>
      <c r="G1667" s="119" t="s">
        <v>222</v>
      </c>
      <c r="H1667" s="119" t="s">
        <v>35</v>
      </c>
      <c r="I1667" s="80" t="s">
        <v>245</v>
      </c>
      <c r="J1667" s="25" t="s">
        <v>27</v>
      </c>
      <c r="K1667" s="25" t="s">
        <v>9</v>
      </c>
      <c r="L1667" s="25" t="s">
        <v>30</v>
      </c>
      <c r="M1667" s="25"/>
      <c r="N1667" s="25" t="s">
        <v>29</v>
      </c>
      <c r="Q1667" s="99"/>
    </row>
    <row r="1668">
      <c r="A1668" s="141"/>
      <c r="B1668" s="134" t="s">
        <v>34</v>
      </c>
      <c r="C1668" s="134" t="s">
        <v>74</v>
      </c>
      <c r="D1668" s="133" t="s">
        <v>660</v>
      </c>
      <c r="E1668" s="168">
        <v>43055.0</v>
      </c>
      <c r="F1668" s="13" t="str">
        <f t="shared" si="159"/>
        <v>Nov-2017</v>
      </c>
      <c r="G1668" s="114" t="s">
        <v>467</v>
      </c>
      <c r="H1668" s="114" t="s">
        <v>35</v>
      </c>
      <c r="I1668" s="113" t="s">
        <v>245</v>
      </c>
      <c r="J1668" s="55" t="s">
        <v>27</v>
      </c>
      <c r="K1668" s="55" t="s">
        <v>9</v>
      </c>
      <c r="L1668" s="55" t="s">
        <v>24</v>
      </c>
      <c r="M1668" s="55"/>
      <c r="N1668" s="55" t="s">
        <v>99</v>
      </c>
      <c r="O1668" s="143"/>
      <c r="P1668" s="143"/>
      <c r="Q1668" s="144"/>
    </row>
    <row r="1669">
      <c r="A1669" s="107"/>
      <c r="B1669" s="95"/>
      <c r="C1669" s="95"/>
      <c r="D1669" s="95"/>
      <c r="E1669" s="95"/>
      <c r="I1669" s="23"/>
    </row>
    <row r="1670">
      <c r="A1670" s="191" t="s">
        <v>666</v>
      </c>
      <c r="B1670" s="192" t="s">
        <v>18</v>
      </c>
      <c r="C1670" s="192" t="s">
        <v>116</v>
      </c>
      <c r="D1670" s="191" t="s">
        <v>666</v>
      </c>
      <c r="E1670" s="246">
        <v>43057.0</v>
      </c>
      <c r="F1670" s="110" t="str">
        <f t="shared" ref="F1670:F1696" si="160">TEXT(E1662:E1670, "mmm") &amp; "-" &amp; TEXT(E1662:E1670, "yyyy") </f>
        <v>Nov-2017</v>
      </c>
      <c r="G1670" s="110" t="s">
        <v>20</v>
      </c>
      <c r="H1670" s="47" t="s">
        <v>35</v>
      </c>
      <c r="I1670" s="79" t="s">
        <v>667</v>
      </c>
      <c r="J1670" s="47" t="s">
        <v>9</v>
      </c>
      <c r="K1670" s="47" t="s">
        <v>9</v>
      </c>
      <c r="L1670" s="47" t="s">
        <v>24</v>
      </c>
      <c r="M1670" s="47" t="s">
        <v>24</v>
      </c>
      <c r="N1670" s="47" t="s">
        <v>98</v>
      </c>
      <c r="O1670" s="152"/>
      <c r="P1670" s="152"/>
      <c r="Q1670" s="136" t="s">
        <v>668</v>
      </c>
    </row>
    <row r="1671">
      <c r="A1671" s="192" t="s">
        <v>18</v>
      </c>
      <c r="B1671" s="192" t="s">
        <v>18</v>
      </c>
      <c r="C1671" s="192" t="s">
        <v>116</v>
      </c>
      <c r="D1671" s="191" t="s">
        <v>666</v>
      </c>
      <c r="E1671" s="247">
        <v>43057.0</v>
      </c>
      <c r="F1671" s="13" t="str">
        <f t="shared" si="160"/>
        <v>Nov-2017</v>
      </c>
      <c r="G1671" s="13" t="s">
        <v>25</v>
      </c>
      <c r="H1671" s="16" t="s">
        <v>35</v>
      </c>
      <c r="I1671" s="48" t="s">
        <v>667</v>
      </c>
      <c r="J1671" s="16" t="s">
        <v>9</v>
      </c>
      <c r="K1671" s="16" t="s">
        <v>9</v>
      </c>
      <c r="L1671" s="16" t="s">
        <v>24</v>
      </c>
      <c r="M1671" s="16"/>
      <c r="N1671" s="16" t="s">
        <v>69</v>
      </c>
      <c r="O1671" s="101"/>
      <c r="P1671" s="101"/>
      <c r="Q1671" s="138" t="s">
        <v>668</v>
      </c>
    </row>
    <row r="1672">
      <c r="A1672" s="192" t="s">
        <v>669</v>
      </c>
      <c r="B1672" s="192" t="s">
        <v>18</v>
      </c>
      <c r="C1672" s="192" t="s">
        <v>116</v>
      </c>
      <c r="D1672" s="191" t="s">
        <v>666</v>
      </c>
      <c r="E1672" s="247">
        <v>43057.0</v>
      </c>
      <c r="F1672" s="13" t="str">
        <f t="shared" si="160"/>
        <v>Nov-2017</v>
      </c>
      <c r="G1672" s="21" t="s">
        <v>20</v>
      </c>
      <c r="H1672" s="119" t="s">
        <v>35</v>
      </c>
      <c r="I1672" s="80" t="s">
        <v>670</v>
      </c>
      <c r="J1672" s="25" t="s">
        <v>97</v>
      </c>
      <c r="K1672" s="25" t="s">
        <v>9</v>
      </c>
      <c r="L1672" s="25" t="s">
        <v>24</v>
      </c>
      <c r="M1672" s="25" t="s">
        <v>24</v>
      </c>
      <c r="N1672" s="25" t="s">
        <v>98</v>
      </c>
      <c r="Q1672" s="184" t="s">
        <v>671</v>
      </c>
    </row>
    <row r="1673">
      <c r="A1673" s="213">
        <v>43057.0</v>
      </c>
      <c r="B1673" s="192" t="s">
        <v>18</v>
      </c>
      <c r="C1673" s="192" t="s">
        <v>116</v>
      </c>
      <c r="D1673" s="191" t="s">
        <v>666</v>
      </c>
      <c r="E1673" s="247">
        <v>43057.0</v>
      </c>
      <c r="F1673" s="13" t="str">
        <f t="shared" si="160"/>
        <v>Nov-2017</v>
      </c>
      <c r="G1673" s="21" t="s">
        <v>25</v>
      </c>
      <c r="H1673" s="119" t="s">
        <v>35</v>
      </c>
      <c r="I1673" s="80" t="s">
        <v>670</v>
      </c>
      <c r="J1673" s="25" t="s">
        <v>97</v>
      </c>
      <c r="K1673" s="25" t="s">
        <v>9</v>
      </c>
      <c r="L1673" s="25" t="s">
        <v>24</v>
      </c>
      <c r="M1673" s="25"/>
      <c r="N1673" s="25" t="s">
        <v>106</v>
      </c>
      <c r="Q1673" s="184" t="s">
        <v>671</v>
      </c>
    </row>
    <row r="1674">
      <c r="A1674" s="248" t="s">
        <v>672</v>
      </c>
      <c r="B1674" s="192" t="s">
        <v>18</v>
      </c>
      <c r="C1674" s="192" t="s">
        <v>116</v>
      </c>
      <c r="D1674" s="191" t="s">
        <v>666</v>
      </c>
      <c r="E1674" s="247">
        <v>43057.0</v>
      </c>
      <c r="F1674" s="13" t="str">
        <f t="shared" si="160"/>
        <v>Nov-2017</v>
      </c>
      <c r="G1674" s="13" t="s">
        <v>20</v>
      </c>
      <c r="H1674" s="16" t="s">
        <v>35</v>
      </c>
      <c r="I1674" s="48" t="s">
        <v>673</v>
      </c>
      <c r="J1674" s="16" t="s">
        <v>27</v>
      </c>
      <c r="K1674" s="16" t="s">
        <v>9</v>
      </c>
      <c r="L1674" s="16" t="s">
        <v>30</v>
      </c>
      <c r="M1674" s="16" t="s">
        <v>30</v>
      </c>
      <c r="N1674" s="16" t="s">
        <v>98</v>
      </c>
      <c r="O1674" s="101"/>
      <c r="P1674" s="101"/>
      <c r="Q1674" s="102"/>
    </row>
    <row r="1675">
      <c r="A1675" s="192" t="s">
        <v>116</v>
      </c>
      <c r="B1675" s="192" t="s">
        <v>18</v>
      </c>
      <c r="C1675" s="192" t="s">
        <v>116</v>
      </c>
      <c r="D1675" s="191" t="s">
        <v>666</v>
      </c>
      <c r="E1675" s="247">
        <v>43057.0</v>
      </c>
      <c r="F1675" s="13" t="str">
        <f t="shared" si="160"/>
        <v>Nov-2017</v>
      </c>
      <c r="G1675" s="13" t="s">
        <v>25</v>
      </c>
      <c r="H1675" s="16" t="s">
        <v>35</v>
      </c>
      <c r="I1675" s="48" t="s">
        <v>673</v>
      </c>
      <c r="J1675" s="16" t="s">
        <v>27</v>
      </c>
      <c r="K1675" s="16" t="s">
        <v>9</v>
      </c>
      <c r="L1675" s="16" t="s">
        <v>30</v>
      </c>
      <c r="M1675" s="16"/>
      <c r="N1675" s="16" t="s">
        <v>69</v>
      </c>
      <c r="O1675" s="101"/>
      <c r="P1675" s="101"/>
      <c r="Q1675" s="102"/>
    </row>
    <row r="1676">
      <c r="A1676" s="248" t="s">
        <v>674</v>
      </c>
      <c r="B1676" s="192" t="s">
        <v>18</v>
      </c>
      <c r="C1676" s="192" t="s">
        <v>116</v>
      </c>
      <c r="D1676" s="191" t="s">
        <v>666</v>
      </c>
      <c r="E1676" s="247">
        <v>43057.0</v>
      </c>
      <c r="F1676" s="13" t="str">
        <f t="shared" si="160"/>
        <v>Nov-2017</v>
      </c>
      <c r="G1676" s="21" t="s">
        <v>20</v>
      </c>
      <c r="H1676" s="119" t="s">
        <v>35</v>
      </c>
      <c r="I1676" s="80" t="s">
        <v>675</v>
      </c>
      <c r="J1676" s="25" t="s">
        <v>9</v>
      </c>
      <c r="K1676" s="25" t="s">
        <v>9</v>
      </c>
      <c r="L1676" s="25" t="s">
        <v>30</v>
      </c>
      <c r="M1676" s="25" t="s">
        <v>30</v>
      </c>
      <c r="N1676" s="25" t="s">
        <v>37</v>
      </c>
      <c r="Q1676" s="99"/>
    </row>
    <row r="1677">
      <c r="A1677" s="192" t="s">
        <v>676</v>
      </c>
      <c r="B1677" s="192" t="s">
        <v>18</v>
      </c>
      <c r="C1677" s="192" t="s">
        <v>116</v>
      </c>
      <c r="D1677" s="191" t="s">
        <v>666</v>
      </c>
      <c r="E1677" s="247">
        <v>43057.0</v>
      </c>
      <c r="F1677" s="13" t="str">
        <f t="shared" si="160"/>
        <v>Nov-2017</v>
      </c>
      <c r="G1677" s="21" t="s">
        <v>25</v>
      </c>
      <c r="H1677" s="119" t="s">
        <v>35</v>
      </c>
      <c r="I1677" s="80" t="s">
        <v>675</v>
      </c>
      <c r="J1677" s="25" t="s">
        <v>9</v>
      </c>
      <c r="K1677" s="25" t="s">
        <v>9</v>
      </c>
      <c r="L1677" s="25" t="s">
        <v>30</v>
      </c>
      <c r="M1677" s="25"/>
      <c r="N1677" s="25" t="s">
        <v>99</v>
      </c>
      <c r="Q1677" s="99"/>
    </row>
    <row r="1678">
      <c r="A1678" s="195"/>
      <c r="B1678" s="192" t="s">
        <v>18</v>
      </c>
      <c r="C1678" s="192" t="s">
        <v>116</v>
      </c>
      <c r="D1678" s="191" t="s">
        <v>666</v>
      </c>
      <c r="E1678" s="247">
        <v>43057.0</v>
      </c>
      <c r="F1678" s="13" t="str">
        <f t="shared" si="160"/>
        <v>Nov-2017</v>
      </c>
      <c r="G1678" s="13" t="s">
        <v>20</v>
      </c>
      <c r="H1678" s="16" t="s">
        <v>677</v>
      </c>
      <c r="I1678" s="48" t="s">
        <v>487</v>
      </c>
      <c r="J1678" s="16" t="s">
        <v>44</v>
      </c>
      <c r="K1678" s="16" t="s">
        <v>9</v>
      </c>
      <c r="L1678" s="16" t="s">
        <v>30</v>
      </c>
      <c r="M1678" s="16" t="s">
        <v>24</v>
      </c>
      <c r="N1678" s="16" t="s">
        <v>98</v>
      </c>
      <c r="O1678" s="101"/>
      <c r="P1678" s="101"/>
      <c r="Q1678" s="102"/>
    </row>
    <row r="1679">
      <c r="A1679" s="195"/>
      <c r="B1679" s="192" t="s">
        <v>18</v>
      </c>
      <c r="C1679" s="192" t="s">
        <v>116</v>
      </c>
      <c r="D1679" s="191" t="s">
        <v>666</v>
      </c>
      <c r="E1679" s="247">
        <v>43057.0</v>
      </c>
      <c r="F1679" s="13" t="str">
        <f t="shared" si="160"/>
        <v>Nov-2017</v>
      </c>
      <c r="G1679" s="13" t="s">
        <v>25</v>
      </c>
      <c r="H1679" s="16" t="s">
        <v>677</v>
      </c>
      <c r="I1679" s="48" t="s">
        <v>487</v>
      </c>
      <c r="J1679" s="16" t="s">
        <v>44</v>
      </c>
      <c r="K1679" s="16" t="s">
        <v>9</v>
      </c>
      <c r="L1679" s="16" t="s">
        <v>24</v>
      </c>
      <c r="M1679" s="16"/>
      <c r="N1679" s="16" t="s">
        <v>99</v>
      </c>
      <c r="O1679" s="101"/>
      <c r="P1679" s="101"/>
      <c r="Q1679" s="102"/>
    </row>
    <row r="1680">
      <c r="A1680" s="195"/>
      <c r="B1680" s="192" t="s">
        <v>18</v>
      </c>
      <c r="C1680" s="192" t="s">
        <v>116</v>
      </c>
      <c r="D1680" s="191" t="s">
        <v>666</v>
      </c>
      <c r="E1680" s="247">
        <v>43057.0</v>
      </c>
      <c r="F1680" s="13" t="str">
        <f t="shared" si="160"/>
        <v>Nov-2017</v>
      </c>
      <c r="G1680" s="16" t="s">
        <v>32</v>
      </c>
      <c r="H1680" s="16" t="s">
        <v>677</v>
      </c>
      <c r="I1680" s="48" t="s">
        <v>487</v>
      </c>
      <c r="J1680" s="16" t="s">
        <v>44</v>
      </c>
      <c r="K1680" s="16" t="s">
        <v>9</v>
      </c>
      <c r="L1680" s="16" t="s">
        <v>24</v>
      </c>
      <c r="M1680" s="16"/>
      <c r="N1680" s="16" t="s">
        <v>106</v>
      </c>
      <c r="O1680" s="101"/>
      <c r="P1680" s="101"/>
      <c r="Q1680" s="102"/>
    </row>
    <row r="1681">
      <c r="A1681" s="195"/>
      <c r="B1681" s="192" t="s">
        <v>18</v>
      </c>
      <c r="C1681" s="192" t="s">
        <v>116</v>
      </c>
      <c r="D1681" s="191" t="s">
        <v>666</v>
      </c>
      <c r="E1681" s="247">
        <v>43057.0</v>
      </c>
      <c r="F1681" s="13" t="str">
        <f t="shared" si="160"/>
        <v>Nov-2017</v>
      </c>
      <c r="G1681" s="21" t="s">
        <v>20</v>
      </c>
      <c r="H1681" s="119" t="s">
        <v>677</v>
      </c>
      <c r="I1681" s="80" t="s">
        <v>302</v>
      </c>
      <c r="J1681" s="25" t="s">
        <v>27</v>
      </c>
      <c r="K1681" s="25" t="s">
        <v>9</v>
      </c>
      <c r="L1681" s="25" t="s">
        <v>30</v>
      </c>
      <c r="M1681" s="25" t="s">
        <v>30</v>
      </c>
      <c r="N1681" s="25" t="s">
        <v>37</v>
      </c>
      <c r="Q1681" s="99"/>
    </row>
    <row r="1682">
      <c r="A1682" s="195"/>
      <c r="B1682" s="192" t="s">
        <v>18</v>
      </c>
      <c r="C1682" s="192" t="s">
        <v>116</v>
      </c>
      <c r="D1682" s="191" t="s">
        <v>666</v>
      </c>
      <c r="E1682" s="247">
        <v>43057.0</v>
      </c>
      <c r="F1682" s="13" t="str">
        <f t="shared" si="160"/>
        <v>Nov-2017</v>
      </c>
      <c r="G1682" s="21" t="s">
        <v>25</v>
      </c>
      <c r="H1682" s="119" t="s">
        <v>677</v>
      </c>
      <c r="I1682" s="80" t="s">
        <v>302</v>
      </c>
      <c r="J1682" s="25" t="s">
        <v>27</v>
      </c>
      <c r="K1682" s="25" t="s">
        <v>9</v>
      </c>
      <c r="L1682" s="25" t="s">
        <v>30</v>
      </c>
      <c r="M1682" s="25"/>
      <c r="N1682" s="25" t="s">
        <v>99</v>
      </c>
      <c r="Q1682" s="99"/>
    </row>
    <row r="1683">
      <c r="A1683" s="195"/>
      <c r="B1683" s="192" t="s">
        <v>18</v>
      </c>
      <c r="C1683" s="192" t="s">
        <v>116</v>
      </c>
      <c r="D1683" s="191" t="s">
        <v>666</v>
      </c>
      <c r="E1683" s="247">
        <v>43057.0</v>
      </c>
      <c r="F1683" s="13" t="str">
        <f t="shared" si="160"/>
        <v>Nov-2017</v>
      </c>
      <c r="G1683" s="13" t="s">
        <v>20</v>
      </c>
      <c r="H1683" s="16" t="s">
        <v>677</v>
      </c>
      <c r="I1683" s="48" t="s">
        <v>678</v>
      </c>
      <c r="J1683" s="16" t="s">
        <v>86</v>
      </c>
      <c r="K1683" s="16" t="s">
        <v>9</v>
      </c>
      <c r="L1683" s="16" t="s">
        <v>30</v>
      </c>
      <c r="M1683" s="16" t="s">
        <v>30</v>
      </c>
      <c r="N1683" s="16" t="s">
        <v>69</v>
      </c>
      <c r="O1683" s="101"/>
      <c r="P1683" s="101"/>
      <c r="Q1683" s="102"/>
    </row>
    <row r="1684">
      <c r="A1684" s="195"/>
      <c r="B1684" s="192" t="s">
        <v>18</v>
      </c>
      <c r="C1684" s="192" t="s">
        <v>116</v>
      </c>
      <c r="D1684" s="191" t="s">
        <v>666</v>
      </c>
      <c r="E1684" s="247">
        <v>43057.0</v>
      </c>
      <c r="F1684" s="13" t="str">
        <f t="shared" si="160"/>
        <v>Nov-2017</v>
      </c>
      <c r="G1684" s="13" t="s">
        <v>25</v>
      </c>
      <c r="H1684" s="16" t="s">
        <v>677</v>
      </c>
      <c r="I1684" s="48" t="s">
        <v>678</v>
      </c>
      <c r="J1684" s="16" t="s">
        <v>86</v>
      </c>
      <c r="K1684" s="16" t="s">
        <v>9</v>
      </c>
      <c r="L1684" s="16" t="s">
        <v>30</v>
      </c>
      <c r="M1684" s="16"/>
      <c r="N1684" s="16" t="s">
        <v>98</v>
      </c>
      <c r="O1684" s="101"/>
      <c r="P1684" s="101"/>
      <c r="Q1684" s="102"/>
    </row>
    <row r="1685">
      <c r="A1685" s="195"/>
      <c r="B1685" s="192" t="s">
        <v>18</v>
      </c>
      <c r="C1685" s="192" t="s">
        <v>116</v>
      </c>
      <c r="D1685" s="191" t="s">
        <v>666</v>
      </c>
      <c r="E1685" s="247">
        <v>43057.0</v>
      </c>
      <c r="F1685" s="13" t="str">
        <f t="shared" si="160"/>
        <v>Nov-2017</v>
      </c>
      <c r="G1685" s="21" t="s">
        <v>20</v>
      </c>
      <c r="H1685" s="119" t="s">
        <v>677</v>
      </c>
      <c r="I1685" s="80" t="s">
        <v>167</v>
      </c>
      <c r="J1685" s="25" t="s">
        <v>27</v>
      </c>
      <c r="K1685" s="25" t="s">
        <v>9</v>
      </c>
      <c r="L1685" s="25" t="s">
        <v>30</v>
      </c>
      <c r="M1685" s="25" t="s">
        <v>30</v>
      </c>
      <c r="N1685" s="25" t="s">
        <v>69</v>
      </c>
      <c r="Q1685" s="99"/>
    </row>
    <row r="1686">
      <c r="A1686" s="195"/>
      <c r="B1686" s="192" t="s">
        <v>18</v>
      </c>
      <c r="C1686" s="192" t="s">
        <v>116</v>
      </c>
      <c r="D1686" s="191" t="s">
        <v>666</v>
      </c>
      <c r="E1686" s="247">
        <v>43057.0</v>
      </c>
      <c r="F1686" s="13" t="str">
        <f t="shared" si="160"/>
        <v>Nov-2017</v>
      </c>
      <c r="G1686" s="21" t="s">
        <v>25</v>
      </c>
      <c r="H1686" s="119" t="s">
        <v>677</v>
      </c>
      <c r="I1686" s="80" t="s">
        <v>167</v>
      </c>
      <c r="J1686" s="25" t="s">
        <v>27</v>
      </c>
      <c r="K1686" s="25" t="s">
        <v>9</v>
      </c>
      <c r="L1686" s="25" t="s">
        <v>30</v>
      </c>
      <c r="M1686" s="25"/>
      <c r="N1686" s="25" t="s">
        <v>106</v>
      </c>
      <c r="Q1686" s="99"/>
    </row>
    <row r="1687">
      <c r="A1687" s="195"/>
      <c r="B1687" s="192" t="s">
        <v>18</v>
      </c>
      <c r="C1687" s="192" t="s">
        <v>116</v>
      </c>
      <c r="D1687" s="191" t="s">
        <v>666</v>
      </c>
      <c r="E1687" s="247">
        <v>43057.0</v>
      </c>
      <c r="F1687" s="13" t="str">
        <f t="shared" si="160"/>
        <v>Nov-2017</v>
      </c>
      <c r="G1687" s="13" t="s">
        <v>20</v>
      </c>
      <c r="H1687" s="16" t="s">
        <v>677</v>
      </c>
      <c r="I1687" s="48" t="s">
        <v>267</v>
      </c>
      <c r="J1687" s="16" t="s">
        <v>9</v>
      </c>
      <c r="K1687" s="16" t="s">
        <v>9</v>
      </c>
      <c r="L1687" s="16" t="s">
        <v>30</v>
      </c>
      <c r="M1687" s="16" t="s">
        <v>30</v>
      </c>
      <c r="N1687" s="16" t="s">
        <v>37</v>
      </c>
      <c r="O1687" s="101"/>
      <c r="P1687" s="101"/>
      <c r="Q1687" s="102"/>
    </row>
    <row r="1688">
      <c r="A1688" s="195"/>
      <c r="B1688" s="192" t="s">
        <v>18</v>
      </c>
      <c r="C1688" s="192" t="s">
        <v>116</v>
      </c>
      <c r="D1688" s="191" t="s">
        <v>666</v>
      </c>
      <c r="E1688" s="247">
        <v>43057.0</v>
      </c>
      <c r="F1688" s="13" t="str">
        <f t="shared" si="160"/>
        <v>Nov-2017</v>
      </c>
      <c r="G1688" s="13" t="s">
        <v>25</v>
      </c>
      <c r="H1688" s="16" t="s">
        <v>677</v>
      </c>
      <c r="I1688" s="48" t="s">
        <v>267</v>
      </c>
      <c r="J1688" s="16" t="s">
        <v>27</v>
      </c>
      <c r="K1688" s="16" t="s">
        <v>9</v>
      </c>
      <c r="L1688" s="16" t="s">
        <v>30</v>
      </c>
      <c r="M1688" s="16"/>
      <c r="N1688" s="16" t="s">
        <v>99</v>
      </c>
      <c r="O1688" s="101"/>
      <c r="P1688" s="101"/>
      <c r="Q1688" s="102"/>
    </row>
    <row r="1689">
      <c r="A1689" s="195"/>
      <c r="B1689" s="192" t="s">
        <v>18</v>
      </c>
      <c r="C1689" s="192" t="s">
        <v>116</v>
      </c>
      <c r="D1689" s="191" t="s">
        <v>666</v>
      </c>
      <c r="E1689" s="247">
        <v>43057.0</v>
      </c>
      <c r="F1689" s="13" t="str">
        <f t="shared" si="160"/>
        <v>Nov-2017</v>
      </c>
      <c r="G1689" s="21" t="s">
        <v>20</v>
      </c>
      <c r="H1689" s="119" t="s">
        <v>677</v>
      </c>
      <c r="I1689" s="80" t="s">
        <v>238</v>
      </c>
      <c r="J1689" s="25" t="s">
        <v>216</v>
      </c>
      <c r="K1689" s="25" t="s">
        <v>9</v>
      </c>
      <c r="L1689" s="25" t="s">
        <v>24</v>
      </c>
      <c r="M1689" s="25" t="s">
        <v>30</v>
      </c>
      <c r="N1689" s="25" t="s">
        <v>37</v>
      </c>
      <c r="Q1689" s="99"/>
    </row>
    <row r="1690">
      <c r="A1690" s="195"/>
      <c r="B1690" s="192" t="s">
        <v>18</v>
      </c>
      <c r="C1690" s="192" t="s">
        <v>116</v>
      </c>
      <c r="D1690" s="191" t="s">
        <v>666</v>
      </c>
      <c r="E1690" s="247">
        <v>43057.0</v>
      </c>
      <c r="F1690" s="13" t="str">
        <f t="shared" si="160"/>
        <v>Nov-2017</v>
      </c>
      <c r="G1690" s="21" t="s">
        <v>25</v>
      </c>
      <c r="H1690" s="119" t="s">
        <v>677</v>
      </c>
      <c r="I1690" s="80" t="s">
        <v>238</v>
      </c>
      <c r="J1690" s="25" t="s">
        <v>216</v>
      </c>
      <c r="K1690" s="25" t="s">
        <v>9</v>
      </c>
      <c r="L1690" s="25" t="s">
        <v>30</v>
      </c>
      <c r="M1690" s="25"/>
      <c r="N1690" s="25" t="s">
        <v>98</v>
      </c>
      <c r="Q1690" s="99"/>
    </row>
    <row r="1691">
      <c r="A1691" s="195"/>
      <c r="B1691" s="192" t="s">
        <v>18</v>
      </c>
      <c r="C1691" s="192" t="s">
        <v>116</v>
      </c>
      <c r="D1691" s="191" t="s">
        <v>666</v>
      </c>
      <c r="E1691" s="247">
        <v>43057.0</v>
      </c>
      <c r="F1691" s="13" t="str">
        <f t="shared" si="160"/>
        <v>Nov-2017</v>
      </c>
      <c r="G1691" s="119" t="s">
        <v>32</v>
      </c>
      <c r="H1691" s="119" t="s">
        <v>677</v>
      </c>
      <c r="I1691" s="80" t="s">
        <v>238</v>
      </c>
      <c r="J1691" s="25" t="s">
        <v>216</v>
      </c>
      <c r="K1691" s="25" t="s">
        <v>9</v>
      </c>
      <c r="L1691" s="25" t="s">
        <v>30</v>
      </c>
      <c r="M1691" s="25"/>
      <c r="N1691" s="25" t="s">
        <v>106</v>
      </c>
      <c r="Q1691" s="99"/>
    </row>
    <row r="1692">
      <c r="A1692" s="195"/>
      <c r="B1692" s="192" t="s">
        <v>18</v>
      </c>
      <c r="C1692" s="192" t="s">
        <v>116</v>
      </c>
      <c r="D1692" s="191" t="s">
        <v>666</v>
      </c>
      <c r="E1692" s="247">
        <v>43057.0</v>
      </c>
      <c r="F1692" s="13" t="str">
        <f t="shared" si="160"/>
        <v>Nov-2017</v>
      </c>
      <c r="G1692" s="13" t="s">
        <v>20</v>
      </c>
      <c r="H1692" s="16" t="s">
        <v>677</v>
      </c>
      <c r="I1692" s="48" t="s">
        <v>679</v>
      </c>
      <c r="J1692" s="16" t="s">
        <v>86</v>
      </c>
      <c r="K1692" s="16" t="s">
        <v>9</v>
      </c>
      <c r="L1692" s="16" t="s">
        <v>30</v>
      </c>
      <c r="M1692" s="16" t="s">
        <v>30</v>
      </c>
      <c r="N1692" s="16" t="s">
        <v>99</v>
      </c>
      <c r="O1692" s="101"/>
      <c r="P1692" s="101"/>
      <c r="Q1692" s="102"/>
    </row>
    <row r="1693">
      <c r="A1693" s="195"/>
      <c r="B1693" s="192" t="s">
        <v>18</v>
      </c>
      <c r="C1693" s="192" t="s">
        <v>116</v>
      </c>
      <c r="D1693" s="191" t="s">
        <v>666</v>
      </c>
      <c r="E1693" s="247">
        <v>43057.0</v>
      </c>
      <c r="F1693" s="13" t="str">
        <f t="shared" si="160"/>
        <v>Nov-2017</v>
      </c>
      <c r="G1693" s="13" t="s">
        <v>25</v>
      </c>
      <c r="H1693" s="16" t="s">
        <v>677</v>
      </c>
      <c r="I1693" s="48" t="s">
        <v>679</v>
      </c>
      <c r="J1693" s="16" t="s">
        <v>86</v>
      </c>
      <c r="K1693" s="16" t="s">
        <v>9</v>
      </c>
      <c r="L1693" s="16" t="s">
        <v>30</v>
      </c>
      <c r="M1693" s="16"/>
      <c r="N1693" s="16" t="s">
        <v>98</v>
      </c>
      <c r="O1693" s="101"/>
      <c r="P1693" s="101"/>
      <c r="Q1693" s="102"/>
    </row>
    <row r="1694">
      <c r="A1694" s="195"/>
      <c r="B1694" s="192" t="s">
        <v>18</v>
      </c>
      <c r="C1694" s="192" t="s">
        <v>116</v>
      </c>
      <c r="D1694" s="191" t="s">
        <v>666</v>
      </c>
      <c r="E1694" s="247">
        <v>43057.0</v>
      </c>
      <c r="F1694" s="13" t="str">
        <f t="shared" si="160"/>
        <v>Nov-2017</v>
      </c>
      <c r="G1694" s="21" t="s">
        <v>20</v>
      </c>
      <c r="H1694" s="119" t="s">
        <v>677</v>
      </c>
      <c r="I1694" s="80" t="s">
        <v>680</v>
      </c>
      <c r="J1694" s="25" t="s">
        <v>71</v>
      </c>
      <c r="K1694" s="25" t="s">
        <v>9</v>
      </c>
      <c r="L1694" s="25" t="s">
        <v>24</v>
      </c>
      <c r="M1694" s="25" t="s">
        <v>24</v>
      </c>
      <c r="N1694" s="25" t="s">
        <v>99</v>
      </c>
      <c r="Q1694" s="99"/>
    </row>
    <row r="1695">
      <c r="A1695" s="195"/>
      <c r="B1695" s="192" t="s">
        <v>18</v>
      </c>
      <c r="C1695" s="192" t="s">
        <v>116</v>
      </c>
      <c r="D1695" s="191" t="s">
        <v>666</v>
      </c>
      <c r="E1695" s="247">
        <v>43057.0</v>
      </c>
      <c r="F1695" s="13" t="str">
        <f t="shared" si="160"/>
        <v>Nov-2017</v>
      </c>
      <c r="G1695" s="21" t="s">
        <v>25</v>
      </c>
      <c r="H1695" s="119" t="s">
        <v>677</v>
      </c>
      <c r="I1695" s="80" t="s">
        <v>680</v>
      </c>
      <c r="J1695" s="25" t="s">
        <v>71</v>
      </c>
      <c r="K1695" s="25" t="s">
        <v>9</v>
      </c>
      <c r="L1695" s="25" t="s">
        <v>30</v>
      </c>
      <c r="M1695" s="25"/>
      <c r="N1695" s="25" t="s">
        <v>69</v>
      </c>
      <c r="Q1695" s="99"/>
    </row>
    <row r="1696">
      <c r="A1696" s="196"/>
      <c r="B1696" s="192" t="s">
        <v>18</v>
      </c>
      <c r="C1696" s="192" t="s">
        <v>116</v>
      </c>
      <c r="D1696" s="191" t="s">
        <v>666</v>
      </c>
      <c r="E1696" s="249">
        <v>43057.0</v>
      </c>
      <c r="F1696" s="35" t="str">
        <f t="shared" si="160"/>
        <v>Nov-2017</v>
      </c>
      <c r="G1696" s="114" t="s">
        <v>32</v>
      </c>
      <c r="H1696" s="114" t="s">
        <v>677</v>
      </c>
      <c r="I1696" s="113" t="s">
        <v>680</v>
      </c>
      <c r="J1696" s="55" t="s">
        <v>71</v>
      </c>
      <c r="K1696" s="55" t="s">
        <v>9</v>
      </c>
      <c r="L1696" s="55" t="s">
        <v>24</v>
      </c>
      <c r="M1696" s="55"/>
      <c r="N1696" s="55" t="s">
        <v>37</v>
      </c>
      <c r="O1696" s="143"/>
      <c r="P1696" s="143"/>
      <c r="Q1696" s="144"/>
    </row>
    <row r="1697">
      <c r="A1697" s="107"/>
      <c r="B1697" s="95"/>
      <c r="C1697" s="95"/>
      <c r="D1697" s="95"/>
      <c r="E1697" s="95"/>
      <c r="I1697" s="23"/>
    </row>
    <row r="1698">
      <c r="A1698" s="133" t="s">
        <v>681</v>
      </c>
      <c r="B1698" s="134" t="s">
        <v>527</v>
      </c>
      <c r="C1698" s="134" t="s">
        <v>84</v>
      </c>
      <c r="D1698" s="133" t="s">
        <v>681</v>
      </c>
      <c r="E1698" s="239">
        <v>43064.0</v>
      </c>
      <c r="F1698" s="110" t="str">
        <f t="shared" ref="F1698:F1722" si="161">TEXT(E1690:E1698, "mmm") &amp; "-" &amp; TEXT(E1690:E1698, "yyyy") </f>
        <v>Nov-2017</v>
      </c>
      <c r="G1698" s="110" t="s">
        <v>20</v>
      </c>
      <c r="H1698" s="47" t="s">
        <v>682</v>
      </c>
      <c r="I1698" s="79" t="s">
        <v>167</v>
      </c>
      <c r="J1698" s="47" t="s">
        <v>27</v>
      </c>
      <c r="K1698" s="47" t="s">
        <v>9</v>
      </c>
      <c r="L1698" s="47" t="s">
        <v>30</v>
      </c>
      <c r="M1698" s="47" t="s">
        <v>30</v>
      </c>
      <c r="N1698" s="47" t="s">
        <v>69</v>
      </c>
      <c r="O1698" s="152"/>
      <c r="P1698" s="152"/>
      <c r="Q1698" s="153"/>
    </row>
    <row r="1699">
      <c r="A1699" s="134" t="s">
        <v>527</v>
      </c>
      <c r="B1699" s="134" t="s">
        <v>527</v>
      </c>
      <c r="C1699" s="134" t="s">
        <v>84</v>
      </c>
      <c r="D1699" s="133" t="s">
        <v>681</v>
      </c>
      <c r="E1699" s="240">
        <v>43064.0</v>
      </c>
      <c r="F1699" s="13" t="str">
        <f t="shared" si="161"/>
        <v>Nov-2017</v>
      </c>
      <c r="G1699" s="13" t="s">
        <v>25</v>
      </c>
      <c r="H1699" s="16" t="s">
        <v>682</v>
      </c>
      <c r="I1699" s="48" t="s">
        <v>167</v>
      </c>
      <c r="J1699" s="16" t="s">
        <v>27</v>
      </c>
      <c r="K1699" s="16" t="s">
        <v>9</v>
      </c>
      <c r="L1699" s="16" t="s">
        <v>30</v>
      </c>
      <c r="M1699" s="16"/>
      <c r="N1699" s="16" t="s">
        <v>106</v>
      </c>
      <c r="O1699" s="101"/>
      <c r="P1699" s="101"/>
      <c r="Q1699" s="102"/>
    </row>
    <row r="1700">
      <c r="A1700" s="134" t="s">
        <v>683</v>
      </c>
      <c r="B1700" s="134" t="s">
        <v>527</v>
      </c>
      <c r="C1700" s="134" t="s">
        <v>84</v>
      </c>
      <c r="D1700" s="133" t="s">
        <v>681</v>
      </c>
      <c r="E1700" s="240">
        <v>43064.0</v>
      </c>
      <c r="F1700" s="13" t="str">
        <f t="shared" si="161"/>
        <v>Nov-2017</v>
      </c>
      <c r="G1700" s="21" t="s">
        <v>20</v>
      </c>
      <c r="H1700" s="25" t="s">
        <v>682</v>
      </c>
      <c r="I1700" s="80" t="s">
        <v>684</v>
      </c>
      <c r="J1700" s="25" t="s">
        <v>9</v>
      </c>
      <c r="K1700" s="25" t="s">
        <v>9</v>
      </c>
      <c r="L1700" s="25" t="s">
        <v>30</v>
      </c>
      <c r="M1700" s="25" t="s">
        <v>30</v>
      </c>
      <c r="N1700" s="25" t="s">
        <v>98</v>
      </c>
      <c r="Q1700" s="99"/>
    </row>
    <row r="1701">
      <c r="A1701" s="168">
        <v>43064.0</v>
      </c>
      <c r="B1701" s="134" t="s">
        <v>527</v>
      </c>
      <c r="C1701" s="134" t="s">
        <v>84</v>
      </c>
      <c r="D1701" s="133" t="s">
        <v>681</v>
      </c>
      <c r="E1701" s="240">
        <v>43064.0</v>
      </c>
      <c r="F1701" s="13" t="str">
        <f t="shared" si="161"/>
        <v>Nov-2017</v>
      </c>
      <c r="G1701" s="21" t="s">
        <v>25</v>
      </c>
      <c r="H1701" s="25" t="s">
        <v>682</v>
      </c>
      <c r="I1701" s="80" t="s">
        <v>684</v>
      </c>
      <c r="J1701" s="25" t="s">
        <v>9</v>
      </c>
      <c r="K1701" s="25" t="s">
        <v>9</v>
      </c>
      <c r="L1701" s="25" t="s">
        <v>30</v>
      </c>
      <c r="M1701" s="25"/>
      <c r="N1701" s="25" t="s">
        <v>99</v>
      </c>
      <c r="Q1701" s="99"/>
    </row>
    <row r="1702">
      <c r="A1702" s="176" t="s">
        <v>685</v>
      </c>
      <c r="B1702" s="134" t="s">
        <v>527</v>
      </c>
      <c r="C1702" s="134" t="s">
        <v>84</v>
      </c>
      <c r="D1702" s="133" t="s">
        <v>681</v>
      </c>
      <c r="E1702" s="240">
        <v>43064.0</v>
      </c>
      <c r="F1702" s="13" t="str">
        <f t="shared" si="161"/>
        <v>Nov-2017</v>
      </c>
      <c r="G1702" s="13" t="s">
        <v>20</v>
      </c>
      <c r="H1702" s="16" t="s">
        <v>682</v>
      </c>
      <c r="I1702" s="48" t="s">
        <v>239</v>
      </c>
      <c r="J1702" s="16" t="s">
        <v>27</v>
      </c>
      <c r="K1702" s="16" t="s">
        <v>9</v>
      </c>
      <c r="L1702" s="16" t="s">
        <v>24</v>
      </c>
      <c r="M1702" s="16" t="s">
        <v>24</v>
      </c>
      <c r="N1702" s="16" t="s">
        <v>69</v>
      </c>
      <c r="O1702" s="101"/>
      <c r="P1702" s="101"/>
      <c r="Q1702" s="102"/>
    </row>
    <row r="1703">
      <c r="A1703" s="134" t="s">
        <v>84</v>
      </c>
      <c r="B1703" s="134" t="s">
        <v>527</v>
      </c>
      <c r="C1703" s="134" t="s">
        <v>84</v>
      </c>
      <c r="D1703" s="133" t="s">
        <v>681</v>
      </c>
      <c r="E1703" s="240">
        <v>43064.0</v>
      </c>
      <c r="F1703" s="13" t="str">
        <f t="shared" si="161"/>
        <v>Nov-2017</v>
      </c>
      <c r="G1703" s="13" t="s">
        <v>25</v>
      </c>
      <c r="H1703" s="16" t="s">
        <v>682</v>
      </c>
      <c r="I1703" s="48" t="s">
        <v>239</v>
      </c>
      <c r="J1703" s="16" t="s">
        <v>27</v>
      </c>
      <c r="K1703" s="16" t="s">
        <v>9</v>
      </c>
      <c r="L1703" s="16" t="s">
        <v>24</v>
      </c>
      <c r="M1703" s="16"/>
      <c r="N1703" s="16" t="s">
        <v>98</v>
      </c>
      <c r="O1703" s="101"/>
      <c r="P1703" s="101"/>
      <c r="Q1703" s="102"/>
    </row>
    <row r="1704">
      <c r="A1704" s="134" t="s">
        <v>686</v>
      </c>
      <c r="B1704" s="134" t="s">
        <v>527</v>
      </c>
      <c r="C1704" s="134" t="s">
        <v>84</v>
      </c>
      <c r="D1704" s="133" t="s">
        <v>681</v>
      </c>
      <c r="E1704" s="240">
        <v>43064.0</v>
      </c>
      <c r="F1704" s="13" t="str">
        <f t="shared" si="161"/>
        <v>Nov-2017</v>
      </c>
      <c r="G1704" s="21" t="s">
        <v>20</v>
      </c>
      <c r="H1704" s="25" t="s">
        <v>682</v>
      </c>
      <c r="I1704" s="80" t="s">
        <v>219</v>
      </c>
      <c r="J1704" s="25" t="s">
        <v>97</v>
      </c>
      <c r="K1704" s="25" t="s">
        <v>9</v>
      </c>
      <c r="L1704" s="25" t="s">
        <v>30</v>
      </c>
      <c r="M1704" s="25" t="s">
        <v>30</v>
      </c>
      <c r="N1704" s="25" t="s">
        <v>98</v>
      </c>
      <c r="Q1704" s="99"/>
    </row>
    <row r="1705">
      <c r="A1705" s="140"/>
      <c r="B1705" s="134" t="s">
        <v>527</v>
      </c>
      <c r="C1705" s="134" t="s">
        <v>84</v>
      </c>
      <c r="D1705" s="133" t="s">
        <v>681</v>
      </c>
      <c r="E1705" s="240">
        <v>43064.0</v>
      </c>
      <c r="F1705" s="13" t="str">
        <f t="shared" si="161"/>
        <v>Nov-2017</v>
      </c>
      <c r="G1705" s="21" t="s">
        <v>25</v>
      </c>
      <c r="H1705" s="25" t="s">
        <v>682</v>
      </c>
      <c r="I1705" s="80" t="s">
        <v>219</v>
      </c>
      <c r="J1705" s="25" t="s">
        <v>97</v>
      </c>
      <c r="K1705" s="25" t="s">
        <v>9</v>
      </c>
      <c r="L1705" s="25" t="s">
        <v>30</v>
      </c>
      <c r="M1705" s="25"/>
      <c r="N1705" s="25" t="s">
        <v>37</v>
      </c>
      <c r="Q1705" s="99"/>
    </row>
    <row r="1706">
      <c r="A1706" s="140"/>
      <c r="B1706" s="134" t="s">
        <v>527</v>
      </c>
      <c r="C1706" s="134" t="s">
        <v>84</v>
      </c>
      <c r="D1706" s="133" t="s">
        <v>681</v>
      </c>
      <c r="E1706" s="240">
        <v>43064.0</v>
      </c>
      <c r="F1706" s="13" t="str">
        <f t="shared" si="161"/>
        <v>Nov-2017</v>
      </c>
      <c r="G1706" s="13" t="s">
        <v>20</v>
      </c>
      <c r="H1706" s="16" t="s">
        <v>687</v>
      </c>
      <c r="I1706" s="48" t="s">
        <v>407</v>
      </c>
      <c r="J1706" s="16" t="s">
        <v>44</v>
      </c>
      <c r="K1706" s="16" t="s">
        <v>9</v>
      </c>
      <c r="L1706" s="16" t="s">
        <v>30</v>
      </c>
      <c r="M1706" s="16" t="s">
        <v>30</v>
      </c>
      <c r="N1706" s="16" t="s">
        <v>69</v>
      </c>
      <c r="O1706" s="101"/>
      <c r="P1706" s="101"/>
      <c r="Q1706" s="102"/>
    </row>
    <row r="1707">
      <c r="A1707" s="140"/>
      <c r="B1707" s="134" t="s">
        <v>527</v>
      </c>
      <c r="C1707" s="134" t="s">
        <v>84</v>
      </c>
      <c r="D1707" s="133" t="s">
        <v>681</v>
      </c>
      <c r="E1707" s="240">
        <v>43064.0</v>
      </c>
      <c r="F1707" s="13" t="str">
        <f t="shared" si="161"/>
        <v>Nov-2017</v>
      </c>
      <c r="G1707" s="13" t="s">
        <v>25</v>
      </c>
      <c r="H1707" s="16" t="s">
        <v>687</v>
      </c>
      <c r="I1707" s="48" t="s">
        <v>407</v>
      </c>
      <c r="J1707" s="16" t="s">
        <v>44</v>
      </c>
      <c r="K1707" s="16" t="s">
        <v>9</v>
      </c>
      <c r="L1707" s="16" t="s">
        <v>30</v>
      </c>
      <c r="M1707" s="16"/>
      <c r="N1707" s="16" t="s">
        <v>69</v>
      </c>
      <c r="O1707" s="101"/>
      <c r="P1707" s="101"/>
      <c r="Q1707" s="102"/>
    </row>
    <row r="1708">
      <c r="A1708" s="140"/>
      <c r="B1708" s="134" t="s">
        <v>527</v>
      </c>
      <c r="C1708" s="134" t="s">
        <v>84</v>
      </c>
      <c r="D1708" s="133" t="s">
        <v>681</v>
      </c>
      <c r="E1708" s="240">
        <v>43064.0</v>
      </c>
      <c r="F1708" s="13" t="str">
        <f t="shared" si="161"/>
        <v>Nov-2017</v>
      </c>
      <c r="G1708" s="21" t="s">
        <v>20</v>
      </c>
      <c r="H1708" s="25" t="s">
        <v>687</v>
      </c>
      <c r="I1708" s="80" t="s">
        <v>117</v>
      </c>
      <c r="J1708" s="25" t="s">
        <v>44</v>
      </c>
      <c r="K1708" s="25" t="s">
        <v>9</v>
      </c>
      <c r="L1708" s="25" t="s">
        <v>30</v>
      </c>
      <c r="M1708" s="25" t="s">
        <v>30</v>
      </c>
      <c r="N1708" s="25" t="s">
        <v>69</v>
      </c>
      <c r="Q1708" s="99"/>
    </row>
    <row r="1709">
      <c r="A1709" s="140"/>
      <c r="B1709" s="134" t="s">
        <v>527</v>
      </c>
      <c r="C1709" s="134" t="s">
        <v>84</v>
      </c>
      <c r="D1709" s="133" t="s">
        <v>681</v>
      </c>
      <c r="E1709" s="240">
        <v>43064.0</v>
      </c>
      <c r="F1709" s="13" t="str">
        <f t="shared" si="161"/>
        <v>Nov-2017</v>
      </c>
      <c r="G1709" s="21" t="s">
        <v>25</v>
      </c>
      <c r="H1709" s="25" t="s">
        <v>687</v>
      </c>
      <c r="I1709" s="80" t="s">
        <v>117</v>
      </c>
      <c r="J1709" s="25" t="s">
        <v>44</v>
      </c>
      <c r="K1709" s="25" t="s">
        <v>9</v>
      </c>
      <c r="L1709" s="25" t="s">
        <v>24</v>
      </c>
      <c r="M1709" s="25"/>
      <c r="N1709" s="25" t="s">
        <v>98</v>
      </c>
      <c r="Q1709" s="99"/>
    </row>
    <row r="1710">
      <c r="A1710" s="140"/>
      <c r="B1710" s="134" t="s">
        <v>527</v>
      </c>
      <c r="C1710" s="134" t="s">
        <v>84</v>
      </c>
      <c r="D1710" s="133" t="s">
        <v>681</v>
      </c>
      <c r="E1710" s="240">
        <v>43064.0</v>
      </c>
      <c r="F1710" s="13" t="str">
        <f t="shared" si="161"/>
        <v>Nov-2017</v>
      </c>
      <c r="G1710" s="119" t="s">
        <v>32</v>
      </c>
      <c r="H1710" s="25" t="s">
        <v>687</v>
      </c>
      <c r="I1710" s="80" t="s">
        <v>117</v>
      </c>
      <c r="J1710" s="25" t="s">
        <v>44</v>
      </c>
      <c r="K1710" s="25" t="s">
        <v>9</v>
      </c>
      <c r="L1710" s="25" t="s">
        <v>30</v>
      </c>
      <c r="M1710" s="25"/>
      <c r="N1710" s="25" t="s">
        <v>106</v>
      </c>
      <c r="Q1710" s="99"/>
    </row>
    <row r="1711">
      <c r="A1711" s="140"/>
      <c r="B1711" s="134" t="s">
        <v>527</v>
      </c>
      <c r="C1711" s="134" t="s">
        <v>84</v>
      </c>
      <c r="D1711" s="133" t="s">
        <v>681</v>
      </c>
      <c r="E1711" s="240">
        <v>43064.0</v>
      </c>
      <c r="F1711" s="13" t="str">
        <f t="shared" si="161"/>
        <v>Nov-2017</v>
      </c>
      <c r="G1711" s="13" t="s">
        <v>20</v>
      </c>
      <c r="H1711" s="16" t="s">
        <v>687</v>
      </c>
      <c r="I1711" s="48" t="s">
        <v>688</v>
      </c>
      <c r="J1711" s="16" t="s">
        <v>71</v>
      </c>
      <c r="K1711" s="16" t="s">
        <v>9</v>
      </c>
      <c r="L1711" s="16" t="s">
        <v>30</v>
      </c>
      <c r="M1711" s="16" t="s">
        <v>30</v>
      </c>
      <c r="N1711" s="16" t="s">
        <v>98</v>
      </c>
      <c r="O1711" s="101"/>
      <c r="P1711" s="101"/>
      <c r="Q1711" s="102"/>
    </row>
    <row r="1712">
      <c r="A1712" s="140"/>
      <c r="B1712" s="134" t="s">
        <v>527</v>
      </c>
      <c r="C1712" s="134" t="s">
        <v>84</v>
      </c>
      <c r="D1712" s="133" t="s">
        <v>681</v>
      </c>
      <c r="E1712" s="240">
        <v>43064.0</v>
      </c>
      <c r="F1712" s="13" t="str">
        <f t="shared" si="161"/>
        <v>Nov-2017</v>
      </c>
      <c r="G1712" s="13" t="s">
        <v>25</v>
      </c>
      <c r="H1712" s="16" t="s">
        <v>687</v>
      </c>
      <c r="I1712" s="48" t="s">
        <v>688</v>
      </c>
      <c r="J1712" s="16" t="s">
        <v>71</v>
      </c>
      <c r="K1712" s="16" t="s">
        <v>9</v>
      </c>
      <c r="L1712" s="16" t="s">
        <v>30</v>
      </c>
      <c r="M1712" s="16"/>
      <c r="N1712" s="16" t="s">
        <v>37</v>
      </c>
      <c r="O1712" s="101"/>
      <c r="P1712" s="101"/>
      <c r="Q1712" s="102"/>
    </row>
    <row r="1713">
      <c r="A1713" s="140"/>
      <c r="B1713" s="134" t="s">
        <v>527</v>
      </c>
      <c r="C1713" s="134" t="s">
        <v>84</v>
      </c>
      <c r="D1713" s="133" t="s">
        <v>681</v>
      </c>
      <c r="E1713" s="240">
        <v>43064.0</v>
      </c>
      <c r="F1713" s="13" t="str">
        <f t="shared" si="161"/>
        <v>Nov-2017</v>
      </c>
      <c r="G1713" s="21" t="s">
        <v>20</v>
      </c>
      <c r="H1713" s="25" t="s">
        <v>687</v>
      </c>
      <c r="I1713" s="80" t="s">
        <v>689</v>
      </c>
      <c r="J1713" s="25" t="s">
        <v>23</v>
      </c>
      <c r="K1713" s="25" t="s">
        <v>9</v>
      </c>
      <c r="L1713" s="25" t="s">
        <v>24</v>
      </c>
      <c r="M1713" s="25" t="s">
        <v>24</v>
      </c>
      <c r="N1713" s="25" t="s">
        <v>37</v>
      </c>
      <c r="Q1713" s="184" t="s">
        <v>459</v>
      </c>
    </row>
    <row r="1714">
      <c r="A1714" s="140"/>
      <c r="B1714" s="134" t="s">
        <v>527</v>
      </c>
      <c r="C1714" s="134" t="s">
        <v>84</v>
      </c>
      <c r="D1714" s="133" t="s">
        <v>681</v>
      </c>
      <c r="E1714" s="240">
        <v>43064.0</v>
      </c>
      <c r="F1714" s="13" t="str">
        <f t="shared" si="161"/>
        <v>Nov-2017</v>
      </c>
      <c r="G1714" s="21" t="s">
        <v>25</v>
      </c>
      <c r="H1714" s="25" t="s">
        <v>687</v>
      </c>
      <c r="I1714" s="80" t="s">
        <v>689</v>
      </c>
      <c r="J1714" s="25" t="s">
        <v>23</v>
      </c>
      <c r="K1714" s="25" t="s">
        <v>9</v>
      </c>
      <c r="L1714" s="25" t="s">
        <v>24</v>
      </c>
      <c r="M1714" s="25"/>
      <c r="N1714" s="25" t="s">
        <v>106</v>
      </c>
      <c r="Q1714" s="184" t="s">
        <v>459</v>
      </c>
    </row>
    <row r="1715">
      <c r="A1715" s="140"/>
      <c r="B1715" s="134" t="s">
        <v>527</v>
      </c>
      <c r="C1715" s="134" t="s">
        <v>84</v>
      </c>
      <c r="D1715" s="133" t="s">
        <v>681</v>
      </c>
      <c r="E1715" s="240">
        <v>43064.0</v>
      </c>
      <c r="F1715" s="13" t="str">
        <f t="shared" si="161"/>
        <v>Nov-2017</v>
      </c>
      <c r="G1715" s="13" t="s">
        <v>20</v>
      </c>
      <c r="H1715" s="16" t="s">
        <v>687</v>
      </c>
      <c r="I1715" s="48" t="s">
        <v>47</v>
      </c>
      <c r="J1715" s="16" t="s">
        <v>48</v>
      </c>
      <c r="K1715" s="16" t="s">
        <v>9</v>
      </c>
      <c r="L1715" s="16" t="s">
        <v>24</v>
      </c>
      <c r="M1715" s="16" t="s">
        <v>24</v>
      </c>
      <c r="N1715" s="16" t="s">
        <v>29</v>
      </c>
      <c r="O1715" s="101"/>
      <c r="P1715" s="101"/>
      <c r="Q1715" s="102"/>
    </row>
    <row r="1716">
      <c r="A1716" s="140"/>
      <c r="B1716" s="134" t="s">
        <v>527</v>
      </c>
      <c r="C1716" s="134" t="s">
        <v>84</v>
      </c>
      <c r="D1716" s="133" t="s">
        <v>681</v>
      </c>
      <c r="E1716" s="240">
        <v>43064.0</v>
      </c>
      <c r="F1716" s="13" t="str">
        <f t="shared" si="161"/>
        <v>Nov-2017</v>
      </c>
      <c r="G1716" s="13" t="s">
        <v>25</v>
      </c>
      <c r="H1716" s="16" t="s">
        <v>687</v>
      </c>
      <c r="I1716" s="48" t="s">
        <v>47</v>
      </c>
      <c r="J1716" s="16" t="s">
        <v>48</v>
      </c>
      <c r="K1716" s="16" t="s">
        <v>9</v>
      </c>
      <c r="L1716" s="16" t="s">
        <v>30</v>
      </c>
      <c r="M1716" s="16"/>
      <c r="N1716" s="16" t="s">
        <v>69</v>
      </c>
      <c r="O1716" s="101"/>
      <c r="P1716" s="101"/>
      <c r="Q1716" s="102"/>
    </row>
    <row r="1717">
      <c r="A1717" s="140"/>
      <c r="B1717" s="134" t="s">
        <v>527</v>
      </c>
      <c r="C1717" s="134" t="s">
        <v>84</v>
      </c>
      <c r="D1717" s="133" t="s">
        <v>681</v>
      </c>
      <c r="E1717" s="240">
        <v>43064.0</v>
      </c>
      <c r="F1717" s="13" t="str">
        <f t="shared" si="161"/>
        <v>Nov-2017</v>
      </c>
      <c r="G1717" s="16" t="s">
        <v>32</v>
      </c>
      <c r="H1717" s="16" t="s">
        <v>687</v>
      </c>
      <c r="I1717" s="48" t="s">
        <v>47</v>
      </c>
      <c r="J1717" s="16" t="s">
        <v>48</v>
      </c>
      <c r="K1717" s="16" t="s">
        <v>9</v>
      </c>
      <c r="L1717" s="16" t="s">
        <v>24</v>
      </c>
      <c r="M1717" s="16"/>
      <c r="N1717" s="16" t="s">
        <v>99</v>
      </c>
      <c r="O1717" s="101"/>
      <c r="P1717" s="101"/>
      <c r="Q1717" s="102"/>
    </row>
    <row r="1718">
      <c r="A1718" s="140"/>
      <c r="B1718" s="134" t="s">
        <v>527</v>
      </c>
      <c r="C1718" s="134" t="s">
        <v>84</v>
      </c>
      <c r="D1718" s="133" t="s">
        <v>681</v>
      </c>
      <c r="E1718" s="240">
        <v>43064.0</v>
      </c>
      <c r="F1718" s="13" t="str">
        <f t="shared" si="161"/>
        <v>Nov-2017</v>
      </c>
      <c r="G1718" s="21" t="s">
        <v>20</v>
      </c>
      <c r="H1718" s="25" t="s">
        <v>278</v>
      </c>
      <c r="I1718" s="80" t="s">
        <v>238</v>
      </c>
      <c r="J1718" s="25" t="s">
        <v>216</v>
      </c>
      <c r="K1718" s="25" t="s">
        <v>9</v>
      </c>
      <c r="L1718" s="25" t="s">
        <v>24</v>
      </c>
      <c r="M1718" s="25" t="s">
        <v>24</v>
      </c>
      <c r="N1718" s="25" t="s">
        <v>37</v>
      </c>
      <c r="Q1718" s="99"/>
    </row>
    <row r="1719">
      <c r="A1719" s="140"/>
      <c r="B1719" s="134" t="s">
        <v>527</v>
      </c>
      <c r="C1719" s="134" t="s">
        <v>84</v>
      </c>
      <c r="D1719" s="133" t="s">
        <v>681</v>
      </c>
      <c r="E1719" s="240">
        <v>43064.0</v>
      </c>
      <c r="F1719" s="13" t="str">
        <f t="shared" si="161"/>
        <v>Nov-2017</v>
      </c>
      <c r="G1719" s="21" t="s">
        <v>25</v>
      </c>
      <c r="H1719" s="25" t="s">
        <v>278</v>
      </c>
      <c r="I1719" s="80" t="s">
        <v>238</v>
      </c>
      <c r="J1719" s="25" t="s">
        <v>216</v>
      </c>
      <c r="K1719" s="25" t="s">
        <v>9</v>
      </c>
      <c r="L1719" s="25" t="s">
        <v>24</v>
      </c>
      <c r="M1719" s="25"/>
      <c r="N1719" s="25" t="s">
        <v>98</v>
      </c>
      <c r="Q1719" s="99"/>
    </row>
    <row r="1720">
      <c r="A1720" s="140"/>
      <c r="B1720" s="134" t="s">
        <v>527</v>
      </c>
      <c r="C1720" s="134" t="s">
        <v>84</v>
      </c>
      <c r="D1720" s="133" t="s">
        <v>681</v>
      </c>
      <c r="E1720" s="240">
        <v>43064.0</v>
      </c>
      <c r="F1720" s="13" t="str">
        <f t="shared" si="161"/>
        <v>Nov-2017</v>
      </c>
      <c r="G1720" s="13" t="s">
        <v>20</v>
      </c>
      <c r="H1720" s="16" t="s">
        <v>278</v>
      </c>
      <c r="I1720" s="48" t="s">
        <v>592</v>
      </c>
      <c r="J1720" s="16" t="s">
        <v>27</v>
      </c>
      <c r="K1720" s="16" t="s">
        <v>9</v>
      </c>
      <c r="L1720" s="16" t="s">
        <v>24</v>
      </c>
      <c r="M1720" s="16" t="s">
        <v>24</v>
      </c>
      <c r="N1720" s="16" t="s">
        <v>69</v>
      </c>
      <c r="O1720" s="101"/>
      <c r="P1720" s="101"/>
      <c r="Q1720" s="102"/>
    </row>
    <row r="1721">
      <c r="A1721" s="140"/>
      <c r="B1721" s="134" t="s">
        <v>527</v>
      </c>
      <c r="C1721" s="134" t="s">
        <v>84</v>
      </c>
      <c r="D1721" s="133" t="s">
        <v>681</v>
      </c>
      <c r="E1721" s="240">
        <v>43064.0</v>
      </c>
      <c r="F1721" s="13" t="str">
        <f t="shared" si="161"/>
        <v>Nov-2017</v>
      </c>
      <c r="G1721" s="13" t="s">
        <v>25</v>
      </c>
      <c r="H1721" s="16" t="s">
        <v>278</v>
      </c>
      <c r="I1721" s="48" t="s">
        <v>592</v>
      </c>
      <c r="J1721" s="16" t="s">
        <v>27</v>
      </c>
      <c r="K1721" s="16" t="s">
        <v>9</v>
      </c>
      <c r="L1721" s="16" t="s">
        <v>30</v>
      </c>
      <c r="M1721" s="16"/>
      <c r="N1721" s="16" t="s">
        <v>106</v>
      </c>
      <c r="O1721" s="101"/>
      <c r="P1721" s="101"/>
      <c r="Q1721" s="102"/>
    </row>
    <row r="1722">
      <c r="A1722" s="141"/>
      <c r="B1722" s="134" t="s">
        <v>527</v>
      </c>
      <c r="C1722" s="134" t="s">
        <v>84</v>
      </c>
      <c r="D1722" s="133" t="s">
        <v>681</v>
      </c>
      <c r="E1722" s="241">
        <v>43064.0</v>
      </c>
      <c r="F1722" s="35" t="str">
        <f t="shared" si="161"/>
        <v>Nov-2017</v>
      </c>
      <c r="G1722" s="38" t="s">
        <v>32</v>
      </c>
      <c r="H1722" s="38" t="s">
        <v>278</v>
      </c>
      <c r="I1722" s="122" t="s">
        <v>592</v>
      </c>
      <c r="J1722" s="38" t="s">
        <v>27</v>
      </c>
      <c r="K1722" s="38" t="s">
        <v>9</v>
      </c>
      <c r="L1722" s="38" t="s">
        <v>24</v>
      </c>
      <c r="M1722" s="38"/>
      <c r="N1722" s="38" t="s">
        <v>106</v>
      </c>
      <c r="O1722" s="105"/>
      <c r="P1722" s="105"/>
      <c r="Q1722" s="106"/>
    </row>
    <row r="1723">
      <c r="A1723" s="107"/>
      <c r="B1723" s="95"/>
      <c r="C1723" s="95"/>
      <c r="D1723" s="95"/>
      <c r="E1723" s="95"/>
      <c r="I1723" s="23"/>
    </row>
    <row r="1724">
      <c r="A1724" s="133" t="s">
        <v>690</v>
      </c>
      <c r="B1724" s="134" t="s">
        <v>34</v>
      </c>
      <c r="C1724" s="134" t="s">
        <v>74</v>
      </c>
      <c r="D1724" s="133" t="s">
        <v>690</v>
      </c>
      <c r="E1724" s="239">
        <v>43068.0</v>
      </c>
      <c r="F1724" s="110" t="str">
        <f t="shared" ref="F1724:F1740" si="162">TEXT(E1716:E1724, "mmm") &amp; "-" &amp; TEXT(E1716:E1724, "yyyy") </f>
        <v>Nov-2017</v>
      </c>
      <c r="G1724" s="70" t="s">
        <v>20</v>
      </c>
      <c r="H1724" s="218" t="s">
        <v>35</v>
      </c>
      <c r="I1724" s="86" t="s">
        <v>691</v>
      </c>
      <c r="J1724" s="73" t="s">
        <v>23</v>
      </c>
      <c r="K1724" s="73" t="s">
        <v>9</v>
      </c>
      <c r="L1724" s="73" t="s">
        <v>30</v>
      </c>
      <c r="M1724" s="73" t="s">
        <v>30</v>
      </c>
      <c r="N1724" s="73" t="s">
        <v>99</v>
      </c>
      <c r="O1724" s="165"/>
      <c r="P1724" s="165"/>
      <c r="Q1724" s="166"/>
    </row>
    <row r="1725">
      <c r="A1725" s="134" t="s">
        <v>34</v>
      </c>
      <c r="B1725" s="134" t="s">
        <v>34</v>
      </c>
      <c r="C1725" s="134" t="s">
        <v>74</v>
      </c>
      <c r="D1725" s="133" t="s">
        <v>690</v>
      </c>
      <c r="E1725" s="240">
        <v>43068.0</v>
      </c>
      <c r="F1725" s="13" t="str">
        <f t="shared" si="162"/>
        <v>Nov-2017</v>
      </c>
      <c r="G1725" s="21" t="s">
        <v>25</v>
      </c>
      <c r="H1725" s="119" t="s">
        <v>35</v>
      </c>
      <c r="I1725" s="80" t="s">
        <v>691</v>
      </c>
      <c r="J1725" s="25" t="s">
        <v>48</v>
      </c>
      <c r="K1725" s="25" t="s">
        <v>9</v>
      </c>
      <c r="L1725" s="25" t="s">
        <v>30</v>
      </c>
      <c r="M1725" s="25"/>
      <c r="N1725" s="25" t="s">
        <v>37</v>
      </c>
      <c r="Q1725" s="99"/>
    </row>
    <row r="1726">
      <c r="A1726" s="134" t="s">
        <v>692</v>
      </c>
      <c r="B1726" s="134" t="s">
        <v>34</v>
      </c>
      <c r="C1726" s="134" t="s">
        <v>74</v>
      </c>
      <c r="D1726" s="133" t="s">
        <v>690</v>
      </c>
      <c r="E1726" s="240">
        <v>43068.0</v>
      </c>
      <c r="F1726" s="13" t="str">
        <f t="shared" si="162"/>
        <v>Nov-2017</v>
      </c>
      <c r="G1726" s="13" t="s">
        <v>20</v>
      </c>
      <c r="H1726" s="16" t="s">
        <v>35</v>
      </c>
      <c r="I1726" s="48" t="s">
        <v>442</v>
      </c>
      <c r="J1726" s="16" t="s">
        <v>71</v>
      </c>
      <c r="K1726" s="16" t="s">
        <v>9</v>
      </c>
      <c r="L1726" s="16" t="s">
        <v>24</v>
      </c>
      <c r="M1726" s="16" t="s">
        <v>24</v>
      </c>
      <c r="N1726" s="16" t="s">
        <v>98</v>
      </c>
      <c r="O1726" s="101"/>
      <c r="P1726" s="101"/>
      <c r="Q1726" s="102"/>
    </row>
    <row r="1727">
      <c r="A1727" s="168">
        <v>43068.0</v>
      </c>
      <c r="B1727" s="134" t="s">
        <v>34</v>
      </c>
      <c r="C1727" s="134" t="s">
        <v>74</v>
      </c>
      <c r="D1727" s="133" t="s">
        <v>690</v>
      </c>
      <c r="E1727" s="240">
        <v>43068.0</v>
      </c>
      <c r="F1727" s="13" t="str">
        <f t="shared" si="162"/>
        <v>Nov-2017</v>
      </c>
      <c r="G1727" s="13" t="s">
        <v>25</v>
      </c>
      <c r="H1727" s="16" t="s">
        <v>35</v>
      </c>
      <c r="I1727" s="48" t="s">
        <v>442</v>
      </c>
      <c r="J1727" s="16" t="s">
        <v>71</v>
      </c>
      <c r="K1727" s="16" t="s">
        <v>9</v>
      </c>
      <c r="L1727" s="16" t="s">
        <v>24</v>
      </c>
      <c r="M1727" s="16"/>
      <c r="N1727" s="16" t="s">
        <v>106</v>
      </c>
      <c r="O1727" s="101"/>
      <c r="P1727" s="101"/>
      <c r="Q1727" s="102"/>
    </row>
    <row r="1728">
      <c r="A1728" s="176" t="s">
        <v>693</v>
      </c>
      <c r="B1728" s="134" t="s">
        <v>34</v>
      </c>
      <c r="C1728" s="134" t="s">
        <v>74</v>
      </c>
      <c r="D1728" s="133" t="s">
        <v>690</v>
      </c>
      <c r="E1728" s="240">
        <v>43068.0</v>
      </c>
      <c r="F1728" s="13" t="str">
        <f t="shared" si="162"/>
        <v>Nov-2017</v>
      </c>
      <c r="G1728" s="21" t="s">
        <v>20</v>
      </c>
      <c r="H1728" s="119" t="s">
        <v>35</v>
      </c>
      <c r="I1728" s="80" t="s">
        <v>694</v>
      </c>
      <c r="J1728" s="25" t="s">
        <v>27</v>
      </c>
      <c r="K1728" s="25" t="s">
        <v>9</v>
      </c>
      <c r="L1728" s="25" t="s">
        <v>30</v>
      </c>
      <c r="M1728" s="25" t="s">
        <v>30</v>
      </c>
      <c r="N1728" s="25" t="s">
        <v>98</v>
      </c>
      <c r="Q1728" s="99"/>
    </row>
    <row r="1729">
      <c r="A1729" s="134" t="s">
        <v>695</v>
      </c>
      <c r="B1729" s="134" t="s">
        <v>34</v>
      </c>
      <c r="C1729" s="134" t="s">
        <v>74</v>
      </c>
      <c r="D1729" s="133" t="s">
        <v>690</v>
      </c>
      <c r="E1729" s="240">
        <v>43068.0</v>
      </c>
      <c r="F1729" s="13" t="str">
        <f t="shared" si="162"/>
        <v>Nov-2017</v>
      </c>
      <c r="G1729" s="21" t="s">
        <v>25</v>
      </c>
      <c r="H1729" s="119" t="s">
        <v>35</v>
      </c>
      <c r="I1729" s="80" t="s">
        <v>694</v>
      </c>
      <c r="J1729" s="25" t="s">
        <v>27</v>
      </c>
      <c r="K1729" s="25" t="s">
        <v>9</v>
      </c>
      <c r="L1729" s="25" t="s">
        <v>30</v>
      </c>
      <c r="M1729" s="25"/>
      <c r="N1729" s="25" t="s">
        <v>99</v>
      </c>
      <c r="Q1729" s="99"/>
    </row>
    <row r="1730">
      <c r="A1730" s="176" t="s">
        <v>696</v>
      </c>
      <c r="B1730" s="134" t="s">
        <v>34</v>
      </c>
      <c r="C1730" s="134" t="s">
        <v>74</v>
      </c>
      <c r="D1730" s="133" t="s">
        <v>690</v>
      </c>
      <c r="E1730" s="240">
        <v>43068.0</v>
      </c>
      <c r="F1730" s="13" t="str">
        <f t="shared" si="162"/>
        <v>Nov-2017</v>
      </c>
      <c r="G1730" s="16" t="s">
        <v>146</v>
      </c>
      <c r="H1730" s="16" t="s">
        <v>35</v>
      </c>
      <c r="I1730" s="48" t="s">
        <v>245</v>
      </c>
      <c r="J1730" s="16" t="s">
        <v>27</v>
      </c>
      <c r="K1730" s="16" t="s">
        <v>9</v>
      </c>
      <c r="L1730" s="16" t="s">
        <v>30</v>
      </c>
      <c r="M1730" s="16" t="s">
        <v>30</v>
      </c>
      <c r="N1730" s="16" t="s">
        <v>69</v>
      </c>
      <c r="O1730" s="101"/>
      <c r="P1730" s="101"/>
      <c r="Q1730" s="102"/>
    </row>
    <row r="1731">
      <c r="A1731" s="134" t="s">
        <v>74</v>
      </c>
      <c r="B1731" s="134" t="s">
        <v>34</v>
      </c>
      <c r="C1731" s="134" t="s">
        <v>74</v>
      </c>
      <c r="D1731" s="133" t="s">
        <v>690</v>
      </c>
      <c r="E1731" s="240">
        <v>43068.0</v>
      </c>
      <c r="F1731" s="13" t="str">
        <f t="shared" si="162"/>
        <v>Nov-2017</v>
      </c>
      <c r="G1731" s="16" t="s">
        <v>149</v>
      </c>
      <c r="H1731" s="16" t="s">
        <v>35</v>
      </c>
      <c r="I1731" s="48" t="s">
        <v>245</v>
      </c>
      <c r="J1731" s="16" t="s">
        <v>27</v>
      </c>
      <c r="K1731" s="16" t="s">
        <v>9</v>
      </c>
      <c r="L1731" s="16" t="s">
        <v>30</v>
      </c>
      <c r="M1731" s="16"/>
      <c r="N1731" s="16" t="s">
        <v>99</v>
      </c>
      <c r="O1731" s="101"/>
      <c r="P1731" s="101"/>
      <c r="Q1731" s="102"/>
    </row>
    <row r="1732">
      <c r="A1732" s="140"/>
      <c r="B1732" s="134" t="s">
        <v>34</v>
      </c>
      <c r="C1732" s="134" t="s">
        <v>74</v>
      </c>
      <c r="D1732" s="133" t="s">
        <v>690</v>
      </c>
      <c r="E1732" s="240">
        <v>43068.0</v>
      </c>
      <c r="F1732" s="13" t="str">
        <f t="shared" si="162"/>
        <v>Nov-2017</v>
      </c>
      <c r="G1732" s="16" t="s">
        <v>222</v>
      </c>
      <c r="H1732" s="16" t="s">
        <v>35</v>
      </c>
      <c r="I1732" s="48" t="s">
        <v>245</v>
      </c>
      <c r="J1732" s="16" t="s">
        <v>27</v>
      </c>
      <c r="K1732" s="16" t="s">
        <v>9</v>
      </c>
      <c r="L1732" s="16" t="s">
        <v>30</v>
      </c>
      <c r="M1732" s="16"/>
      <c r="N1732" s="16" t="s">
        <v>99</v>
      </c>
      <c r="O1732" s="101"/>
      <c r="P1732" s="101"/>
      <c r="Q1732" s="102"/>
    </row>
    <row r="1733">
      <c r="A1733" s="140"/>
      <c r="B1733" s="134" t="s">
        <v>34</v>
      </c>
      <c r="C1733" s="134" t="s">
        <v>74</v>
      </c>
      <c r="D1733" s="133" t="s">
        <v>690</v>
      </c>
      <c r="E1733" s="240">
        <v>43068.0</v>
      </c>
      <c r="F1733" s="13" t="str">
        <f t="shared" si="162"/>
        <v>Nov-2017</v>
      </c>
      <c r="G1733" s="119" t="s">
        <v>146</v>
      </c>
      <c r="H1733" s="119" t="s">
        <v>35</v>
      </c>
      <c r="I1733" s="80" t="s">
        <v>493</v>
      </c>
      <c r="J1733" s="25" t="s">
        <v>44</v>
      </c>
      <c r="K1733" s="25" t="s">
        <v>9</v>
      </c>
      <c r="L1733" s="25" t="s">
        <v>30</v>
      </c>
      <c r="M1733" s="25" t="s">
        <v>30</v>
      </c>
      <c r="N1733" s="25" t="s">
        <v>98</v>
      </c>
      <c r="Q1733" s="99"/>
    </row>
    <row r="1734">
      <c r="A1734" s="140"/>
      <c r="B1734" s="134" t="s">
        <v>34</v>
      </c>
      <c r="C1734" s="134" t="s">
        <v>74</v>
      </c>
      <c r="D1734" s="133" t="s">
        <v>690</v>
      </c>
      <c r="E1734" s="240">
        <v>43068.0</v>
      </c>
      <c r="F1734" s="13" t="str">
        <f t="shared" si="162"/>
        <v>Nov-2017</v>
      </c>
      <c r="G1734" s="119" t="s">
        <v>149</v>
      </c>
      <c r="H1734" s="119" t="s">
        <v>35</v>
      </c>
      <c r="I1734" s="80" t="s">
        <v>493</v>
      </c>
      <c r="J1734" s="25" t="s">
        <v>44</v>
      </c>
      <c r="K1734" s="25" t="s">
        <v>9</v>
      </c>
      <c r="L1734" s="25" t="s">
        <v>30</v>
      </c>
      <c r="M1734" s="25"/>
      <c r="N1734" s="25" t="s">
        <v>29</v>
      </c>
      <c r="Q1734" s="99"/>
    </row>
    <row r="1735">
      <c r="A1735" s="140"/>
      <c r="B1735" s="134" t="s">
        <v>34</v>
      </c>
      <c r="C1735" s="134" t="s">
        <v>74</v>
      </c>
      <c r="D1735" s="133" t="s">
        <v>690</v>
      </c>
      <c r="E1735" s="240">
        <v>43068.0</v>
      </c>
      <c r="F1735" s="13" t="str">
        <f t="shared" si="162"/>
        <v>Nov-2017</v>
      </c>
      <c r="G1735" s="119" t="s">
        <v>222</v>
      </c>
      <c r="H1735" s="119" t="s">
        <v>35</v>
      </c>
      <c r="I1735" s="80" t="s">
        <v>493</v>
      </c>
      <c r="J1735" s="25" t="s">
        <v>44</v>
      </c>
      <c r="K1735" s="25" t="s">
        <v>9</v>
      </c>
      <c r="L1735" s="25" t="s">
        <v>24</v>
      </c>
      <c r="M1735" s="25"/>
      <c r="N1735" s="25" t="s">
        <v>29</v>
      </c>
      <c r="Q1735" s="99"/>
    </row>
    <row r="1736">
      <c r="A1736" s="140"/>
      <c r="B1736" s="134" t="s">
        <v>34</v>
      </c>
      <c r="C1736" s="134" t="s">
        <v>74</v>
      </c>
      <c r="D1736" s="133" t="s">
        <v>690</v>
      </c>
      <c r="E1736" s="240">
        <v>43068.0</v>
      </c>
      <c r="F1736" s="13" t="str">
        <f t="shared" si="162"/>
        <v>Nov-2017</v>
      </c>
      <c r="G1736" s="119" t="s">
        <v>467</v>
      </c>
      <c r="H1736" s="119" t="s">
        <v>35</v>
      </c>
      <c r="I1736" s="80" t="s">
        <v>493</v>
      </c>
      <c r="J1736" s="25" t="s">
        <v>44</v>
      </c>
      <c r="K1736" s="25" t="s">
        <v>9</v>
      </c>
      <c r="L1736" s="25" t="s">
        <v>30</v>
      </c>
      <c r="M1736" s="25"/>
      <c r="N1736" s="25" t="s">
        <v>106</v>
      </c>
      <c r="Q1736" s="99"/>
    </row>
    <row r="1737">
      <c r="A1737" s="140"/>
      <c r="B1737" s="134" t="s">
        <v>34</v>
      </c>
      <c r="C1737" s="134" t="s">
        <v>74</v>
      </c>
      <c r="D1737" s="133" t="s">
        <v>690</v>
      </c>
      <c r="E1737" s="240">
        <v>43068.0</v>
      </c>
      <c r="F1737" s="13" t="str">
        <f t="shared" si="162"/>
        <v>Nov-2017</v>
      </c>
      <c r="G1737" s="16" t="s">
        <v>146</v>
      </c>
      <c r="H1737" s="16" t="s">
        <v>35</v>
      </c>
      <c r="I1737" s="48" t="s">
        <v>296</v>
      </c>
      <c r="J1737" s="16" t="s">
        <v>9</v>
      </c>
      <c r="K1737" s="16" t="s">
        <v>9</v>
      </c>
      <c r="L1737" s="16" t="s">
        <v>24</v>
      </c>
      <c r="M1737" s="16" t="s">
        <v>24</v>
      </c>
      <c r="N1737" s="16" t="s">
        <v>37</v>
      </c>
      <c r="O1737" s="101"/>
      <c r="P1737" s="101"/>
      <c r="Q1737" s="102"/>
    </row>
    <row r="1738">
      <c r="A1738" s="172"/>
      <c r="B1738" s="134" t="s">
        <v>34</v>
      </c>
      <c r="C1738" s="134" t="s">
        <v>74</v>
      </c>
      <c r="D1738" s="133" t="s">
        <v>690</v>
      </c>
      <c r="E1738" s="240">
        <v>43068.0</v>
      </c>
      <c r="F1738" s="13" t="str">
        <f t="shared" si="162"/>
        <v>Nov-2017</v>
      </c>
      <c r="G1738" s="16" t="s">
        <v>149</v>
      </c>
      <c r="H1738" s="16" t="s">
        <v>35</v>
      </c>
      <c r="I1738" s="48" t="s">
        <v>296</v>
      </c>
      <c r="J1738" s="16" t="s">
        <v>9</v>
      </c>
      <c r="K1738" s="16" t="s">
        <v>9</v>
      </c>
      <c r="L1738" s="16" t="s">
        <v>30</v>
      </c>
      <c r="M1738" s="16"/>
      <c r="N1738" s="16" t="s">
        <v>106</v>
      </c>
      <c r="O1738" s="101"/>
      <c r="P1738" s="101"/>
      <c r="Q1738" s="102"/>
    </row>
    <row r="1739">
      <c r="A1739" s="172"/>
      <c r="B1739" s="134" t="s">
        <v>34</v>
      </c>
      <c r="C1739" s="134" t="s">
        <v>74</v>
      </c>
      <c r="D1739" s="133" t="s">
        <v>690</v>
      </c>
      <c r="E1739" s="240">
        <v>43068.0</v>
      </c>
      <c r="F1739" s="13" t="str">
        <f t="shared" si="162"/>
        <v>Nov-2017</v>
      </c>
      <c r="G1739" s="16" t="s">
        <v>222</v>
      </c>
      <c r="H1739" s="16" t="s">
        <v>35</v>
      </c>
      <c r="I1739" s="48" t="s">
        <v>296</v>
      </c>
      <c r="J1739" s="16" t="s">
        <v>9</v>
      </c>
      <c r="K1739" s="16" t="s">
        <v>9</v>
      </c>
      <c r="L1739" s="16" t="s">
        <v>24</v>
      </c>
      <c r="M1739" s="16"/>
      <c r="N1739" s="16" t="s">
        <v>99</v>
      </c>
      <c r="O1739" s="101"/>
      <c r="P1739" s="101"/>
      <c r="Q1739" s="102"/>
    </row>
    <row r="1740">
      <c r="A1740" s="173"/>
      <c r="B1740" s="134" t="s">
        <v>34</v>
      </c>
      <c r="C1740" s="134" t="s">
        <v>74</v>
      </c>
      <c r="D1740" s="133" t="s">
        <v>690</v>
      </c>
      <c r="E1740" s="241">
        <v>43068.0</v>
      </c>
      <c r="F1740" s="35" t="str">
        <f t="shared" si="162"/>
        <v>Nov-2017</v>
      </c>
      <c r="G1740" s="38" t="s">
        <v>467</v>
      </c>
      <c r="H1740" s="38" t="s">
        <v>35</v>
      </c>
      <c r="I1740" s="122" t="s">
        <v>296</v>
      </c>
      <c r="J1740" s="38" t="s">
        <v>9</v>
      </c>
      <c r="K1740" s="38" t="s">
        <v>9</v>
      </c>
      <c r="L1740" s="38" t="s">
        <v>24</v>
      </c>
      <c r="M1740" s="38"/>
      <c r="N1740" s="38" t="s">
        <v>69</v>
      </c>
      <c r="O1740" s="105"/>
      <c r="P1740" s="105"/>
      <c r="Q1740" s="106"/>
    </row>
    <row r="1741">
      <c r="A1741" s="107"/>
      <c r="B1741" s="95"/>
      <c r="C1741" s="95"/>
      <c r="D1741" s="95"/>
      <c r="E1741" s="95"/>
      <c r="I1741" s="23"/>
    </row>
    <row r="1742">
      <c r="A1742" s="133" t="s">
        <v>697</v>
      </c>
      <c r="B1742" s="134" t="s">
        <v>18</v>
      </c>
      <c r="C1742" s="134" t="s">
        <v>74</v>
      </c>
      <c r="D1742" s="133" t="s">
        <v>697</v>
      </c>
      <c r="E1742" s="239">
        <v>43072.0</v>
      </c>
      <c r="F1742" s="110" t="str">
        <f t="shared" ref="F1742:F1760" si="163">TEXT(E1734:E1742, "mmm") &amp; "-" &amp; TEXT(E1734:E1742, "yyyy") </f>
        <v>Dec-2017</v>
      </c>
      <c r="G1742" s="110" t="s">
        <v>20</v>
      </c>
      <c r="H1742" s="47" t="s">
        <v>35</v>
      </c>
      <c r="I1742" s="79" t="s">
        <v>698</v>
      </c>
      <c r="J1742" s="47" t="s">
        <v>86</v>
      </c>
      <c r="K1742" s="47" t="s">
        <v>9</v>
      </c>
      <c r="L1742" s="47" t="s">
        <v>30</v>
      </c>
      <c r="M1742" s="47" t="s">
        <v>30</v>
      </c>
      <c r="N1742" s="47" t="s">
        <v>99</v>
      </c>
      <c r="O1742" s="152"/>
      <c r="P1742" s="152"/>
      <c r="Q1742" s="153"/>
    </row>
    <row r="1743">
      <c r="A1743" s="134" t="s">
        <v>18</v>
      </c>
      <c r="B1743" s="134" t="s">
        <v>18</v>
      </c>
      <c r="C1743" s="134" t="s">
        <v>74</v>
      </c>
      <c r="D1743" s="133" t="s">
        <v>697</v>
      </c>
      <c r="E1743" s="240">
        <v>43072.0</v>
      </c>
      <c r="F1743" s="13" t="str">
        <f t="shared" si="163"/>
        <v>Dec-2017</v>
      </c>
      <c r="G1743" s="13" t="s">
        <v>25</v>
      </c>
      <c r="H1743" s="16" t="s">
        <v>35</v>
      </c>
      <c r="I1743" s="48" t="s">
        <v>698</v>
      </c>
      <c r="J1743" s="16" t="s">
        <v>86</v>
      </c>
      <c r="K1743" s="16" t="s">
        <v>9</v>
      </c>
      <c r="L1743" s="16" t="s">
        <v>30</v>
      </c>
      <c r="M1743" s="16"/>
      <c r="N1743" s="16" t="s">
        <v>98</v>
      </c>
      <c r="O1743" s="101"/>
      <c r="P1743" s="101"/>
      <c r="Q1743" s="102"/>
    </row>
    <row r="1744">
      <c r="A1744" s="134" t="s">
        <v>638</v>
      </c>
      <c r="B1744" s="134" t="s">
        <v>18</v>
      </c>
      <c r="C1744" s="134" t="s">
        <v>74</v>
      </c>
      <c r="D1744" s="133" t="s">
        <v>697</v>
      </c>
      <c r="E1744" s="240">
        <v>43072.0</v>
      </c>
      <c r="F1744" s="13" t="str">
        <f t="shared" si="163"/>
        <v>Dec-2017</v>
      </c>
      <c r="G1744" s="21" t="s">
        <v>20</v>
      </c>
      <c r="H1744" s="119" t="s">
        <v>35</v>
      </c>
      <c r="I1744" s="80" t="s">
        <v>94</v>
      </c>
      <c r="J1744" s="25" t="s">
        <v>44</v>
      </c>
      <c r="K1744" s="25" t="s">
        <v>9</v>
      </c>
      <c r="L1744" s="25" t="s">
        <v>24</v>
      </c>
      <c r="M1744" s="25" t="s">
        <v>24</v>
      </c>
      <c r="N1744" s="25" t="s">
        <v>98</v>
      </c>
      <c r="Q1744" s="99"/>
    </row>
    <row r="1745">
      <c r="A1745" s="168">
        <v>43072.0</v>
      </c>
      <c r="B1745" s="134" t="s">
        <v>18</v>
      </c>
      <c r="C1745" s="134" t="s">
        <v>74</v>
      </c>
      <c r="D1745" s="133" t="s">
        <v>697</v>
      </c>
      <c r="E1745" s="240">
        <v>43072.0</v>
      </c>
      <c r="F1745" s="13" t="str">
        <f t="shared" si="163"/>
        <v>Dec-2017</v>
      </c>
      <c r="G1745" s="21" t="s">
        <v>25</v>
      </c>
      <c r="H1745" s="119" t="s">
        <v>35</v>
      </c>
      <c r="I1745" s="80" t="s">
        <v>94</v>
      </c>
      <c r="J1745" s="25" t="s">
        <v>44</v>
      </c>
      <c r="K1745" s="25" t="s">
        <v>9</v>
      </c>
      <c r="L1745" s="25" t="s">
        <v>24</v>
      </c>
      <c r="M1745" s="25"/>
      <c r="N1745" s="25" t="s">
        <v>69</v>
      </c>
      <c r="Q1745" s="99"/>
    </row>
    <row r="1746">
      <c r="A1746" s="176" t="s">
        <v>699</v>
      </c>
      <c r="B1746" s="134" t="s">
        <v>18</v>
      </c>
      <c r="C1746" s="134" t="s">
        <v>74</v>
      </c>
      <c r="D1746" s="133" t="s">
        <v>697</v>
      </c>
      <c r="E1746" s="240">
        <v>43072.0</v>
      </c>
      <c r="F1746" s="13" t="str">
        <f t="shared" si="163"/>
        <v>Dec-2017</v>
      </c>
      <c r="G1746" s="13" t="s">
        <v>20</v>
      </c>
      <c r="H1746" s="16" t="s">
        <v>35</v>
      </c>
      <c r="I1746" s="48" t="s">
        <v>276</v>
      </c>
      <c r="J1746" s="16" t="s">
        <v>48</v>
      </c>
      <c r="K1746" s="16" t="s">
        <v>9</v>
      </c>
      <c r="L1746" s="16" t="s">
        <v>30</v>
      </c>
      <c r="M1746" s="16" t="s">
        <v>30</v>
      </c>
      <c r="N1746" s="16" t="s">
        <v>98</v>
      </c>
      <c r="O1746" s="101"/>
      <c r="P1746" s="101"/>
      <c r="Q1746" s="102"/>
    </row>
    <row r="1747">
      <c r="A1747" s="134" t="s">
        <v>700</v>
      </c>
      <c r="B1747" s="134" t="s">
        <v>18</v>
      </c>
      <c r="C1747" s="134" t="s">
        <v>74</v>
      </c>
      <c r="D1747" s="133" t="s">
        <v>697</v>
      </c>
      <c r="E1747" s="240">
        <v>43072.0</v>
      </c>
      <c r="F1747" s="13" t="str">
        <f t="shared" si="163"/>
        <v>Dec-2017</v>
      </c>
      <c r="G1747" s="13" t="s">
        <v>25</v>
      </c>
      <c r="H1747" s="16" t="s">
        <v>35</v>
      </c>
      <c r="I1747" s="48" t="s">
        <v>276</v>
      </c>
      <c r="J1747" s="16" t="s">
        <v>48</v>
      </c>
      <c r="K1747" s="16" t="s">
        <v>9</v>
      </c>
      <c r="L1747" s="16" t="s">
        <v>30</v>
      </c>
      <c r="M1747" s="16"/>
      <c r="N1747" s="16" t="s">
        <v>99</v>
      </c>
      <c r="O1747" s="101"/>
      <c r="P1747" s="101"/>
      <c r="Q1747" s="102"/>
    </row>
    <row r="1748">
      <c r="A1748" s="176" t="s">
        <v>701</v>
      </c>
      <c r="B1748" s="134" t="s">
        <v>18</v>
      </c>
      <c r="C1748" s="134" t="s">
        <v>74</v>
      </c>
      <c r="D1748" s="133" t="s">
        <v>697</v>
      </c>
      <c r="E1748" s="240">
        <v>43072.0</v>
      </c>
      <c r="F1748" s="13" t="str">
        <f t="shared" si="163"/>
        <v>Dec-2017</v>
      </c>
      <c r="G1748" s="21" t="s">
        <v>20</v>
      </c>
      <c r="H1748" s="119" t="s">
        <v>35</v>
      </c>
      <c r="I1748" s="80" t="s">
        <v>93</v>
      </c>
      <c r="J1748" s="25" t="s">
        <v>23</v>
      </c>
      <c r="K1748" s="25" t="s">
        <v>9</v>
      </c>
      <c r="L1748" s="25" t="s">
        <v>24</v>
      </c>
      <c r="M1748" s="25" t="s">
        <v>30</v>
      </c>
      <c r="N1748" s="25" t="s">
        <v>69</v>
      </c>
      <c r="Q1748" s="99"/>
    </row>
    <row r="1749">
      <c r="A1749" s="134" t="s">
        <v>74</v>
      </c>
      <c r="B1749" s="134" t="s">
        <v>18</v>
      </c>
      <c r="C1749" s="134" t="s">
        <v>74</v>
      </c>
      <c r="D1749" s="133" t="s">
        <v>697</v>
      </c>
      <c r="E1749" s="240">
        <v>43072.0</v>
      </c>
      <c r="F1749" s="13" t="str">
        <f t="shared" si="163"/>
        <v>Dec-2017</v>
      </c>
      <c r="G1749" s="21" t="s">
        <v>25</v>
      </c>
      <c r="H1749" s="119" t="s">
        <v>35</v>
      </c>
      <c r="I1749" s="80" t="s">
        <v>93</v>
      </c>
      <c r="J1749" s="25" t="s">
        <v>23</v>
      </c>
      <c r="K1749" s="25" t="s">
        <v>9</v>
      </c>
      <c r="L1749" s="25" t="s">
        <v>30</v>
      </c>
      <c r="M1749" s="25"/>
      <c r="N1749" s="25" t="s">
        <v>29</v>
      </c>
      <c r="Q1749" s="99"/>
    </row>
    <row r="1750">
      <c r="A1750" s="140"/>
      <c r="B1750" s="134" t="s">
        <v>18</v>
      </c>
      <c r="C1750" s="134" t="s">
        <v>74</v>
      </c>
      <c r="D1750" s="133" t="s">
        <v>697</v>
      </c>
      <c r="E1750" s="240">
        <v>43072.0</v>
      </c>
      <c r="F1750" s="13" t="str">
        <f t="shared" si="163"/>
        <v>Dec-2017</v>
      </c>
      <c r="G1750" s="119" t="s">
        <v>32</v>
      </c>
      <c r="H1750" s="119" t="s">
        <v>35</v>
      </c>
      <c r="I1750" s="80" t="s">
        <v>93</v>
      </c>
      <c r="J1750" s="25" t="s">
        <v>23</v>
      </c>
      <c r="K1750" s="25" t="s">
        <v>9</v>
      </c>
      <c r="L1750" s="25" t="s">
        <v>30</v>
      </c>
      <c r="M1750" s="25"/>
      <c r="N1750" s="25" t="s">
        <v>37</v>
      </c>
      <c r="Q1750" s="99"/>
    </row>
    <row r="1751">
      <c r="A1751" s="140"/>
      <c r="B1751" s="134" t="s">
        <v>18</v>
      </c>
      <c r="C1751" s="134" t="s">
        <v>74</v>
      </c>
      <c r="D1751" s="133" t="s">
        <v>697</v>
      </c>
      <c r="E1751" s="240">
        <v>43072.0</v>
      </c>
      <c r="F1751" s="13" t="str">
        <f t="shared" si="163"/>
        <v>Dec-2017</v>
      </c>
      <c r="G1751" s="13" t="s">
        <v>20</v>
      </c>
      <c r="H1751" s="16" t="s">
        <v>35</v>
      </c>
      <c r="I1751" s="48" t="s">
        <v>90</v>
      </c>
      <c r="J1751" s="16" t="s">
        <v>9</v>
      </c>
      <c r="K1751" s="16" t="s">
        <v>9</v>
      </c>
      <c r="L1751" s="16" t="s">
        <v>24</v>
      </c>
      <c r="M1751" s="16" t="s">
        <v>24</v>
      </c>
      <c r="N1751" s="16" t="s">
        <v>98</v>
      </c>
      <c r="O1751" s="101"/>
      <c r="P1751" s="101"/>
      <c r="Q1751" s="102"/>
    </row>
    <row r="1752">
      <c r="A1752" s="140"/>
      <c r="B1752" s="134" t="s">
        <v>18</v>
      </c>
      <c r="C1752" s="134" t="s">
        <v>74</v>
      </c>
      <c r="D1752" s="133" t="s">
        <v>697</v>
      </c>
      <c r="E1752" s="240">
        <v>43072.0</v>
      </c>
      <c r="F1752" s="13" t="str">
        <f t="shared" si="163"/>
        <v>Dec-2017</v>
      </c>
      <c r="G1752" s="13" t="s">
        <v>25</v>
      </c>
      <c r="H1752" s="16" t="s">
        <v>35</v>
      </c>
      <c r="I1752" s="48" t="s">
        <v>90</v>
      </c>
      <c r="J1752" s="16" t="s">
        <v>9</v>
      </c>
      <c r="K1752" s="16" t="s">
        <v>9</v>
      </c>
      <c r="L1752" s="16" t="s">
        <v>24</v>
      </c>
      <c r="M1752" s="16"/>
      <c r="N1752" s="16" t="s">
        <v>106</v>
      </c>
      <c r="O1752" s="101"/>
      <c r="P1752" s="101"/>
      <c r="Q1752" s="102"/>
    </row>
    <row r="1753">
      <c r="A1753" s="140"/>
      <c r="B1753" s="134" t="s">
        <v>18</v>
      </c>
      <c r="C1753" s="134" t="s">
        <v>74</v>
      </c>
      <c r="D1753" s="133" t="s">
        <v>697</v>
      </c>
      <c r="E1753" s="240">
        <v>43072.0</v>
      </c>
      <c r="F1753" s="13" t="str">
        <f t="shared" si="163"/>
        <v>Dec-2017</v>
      </c>
      <c r="G1753" s="21" t="s">
        <v>20</v>
      </c>
      <c r="H1753" s="25" t="s">
        <v>278</v>
      </c>
      <c r="I1753" s="80" t="s">
        <v>122</v>
      </c>
      <c r="J1753" s="25" t="s">
        <v>44</v>
      </c>
      <c r="K1753" s="25" t="s">
        <v>27</v>
      </c>
      <c r="L1753" s="25" t="s">
        <v>30</v>
      </c>
      <c r="M1753" s="25" t="s">
        <v>24</v>
      </c>
      <c r="N1753" s="25" t="s">
        <v>98</v>
      </c>
      <c r="Q1753" s="99"/>
    </row>
    <row r="1754">
      <c r="A1754" s="140"/>
      <c r="B1754" s="134" t="s">
        <v>18</v>
      </c>
      <c r="C1754" s="134" t="s">
        <v>74</v>
      </c>
      <c r="D1754" s="133" t="s">
        <v>697</v>
      </c>
      <c r="E1754" s="240">
        <v>43072.0</v>
      </c>
      <c r="F1754" s="13" t="str">
        <f t="shared" si="163"/>
        <v>Dec-2017</v>
      </c>
      <c r="G1754" s="21" t="s">
        <v>25</v>
      </c>
      <c r="H1754" s="25" t="s">
        <v>278</v>
      </c>
      <c r="I1754" s="80" t="s">
        <v>122</v>
      </c>
      <c r="J1754" s="25" t="s">
        <v>44</v>
      </c>
      <c r="K1754" s="25" t="s">
        <v>86</v>
      </c>
      <c r="L1754" s="25" t="s">
        <v>24</v>
      </c>
      <c r="M1754" s="25"/>
      <c r="N1754" s="25" t="s">
        <v>29</v>
      </c>
      <c r="Q1754" s="99"/>
    </row>
    <row r="1755">
      <c r="A1755" s="140"/>
      <c r="B1755" s="134" t="s">
        <v>18</v>
      </c>
      <c r="C1755" s="134" t="s">
        <v>74</v>
      </c>
      <c r="D1755" s="133" t="s">
        <v>697</v>
      </c>
      <c r="E1755" s="240">
        <v>43072.0</v>
      </c>
      <c r="F1755" s="13" t="str">
        <f t="shared" si="163"/>
        <v>Dec-2017</v>
      </c>
      <c r="G1755" s="119" t="s">
        <v>32</v>
      </c>
      <c r="H1755" s="25" t="s">
        <v>278</v>
      </c>
      <c r="I1755" s="80" t="s">
        <v>122</v>
      </c>
      <c r="J1755" s="25" t="s">
        <v>44</v>
      </c>
      <c r="K1755" s="25" t="s">
        <v>27</v>
      </c>
      <c r="L1755" s="25" t="s">
        <v>24</v>
      </c>
      <c r="M1755" s="25"/>
      <c r="N1755" s="25" t="s">
        <v>106</v>
      </c>
      <c r="Q1755" s="99"/>
    </row>
    <row r="1756">
      <c r="A1756" s="140"/>
      <c r="B1756" s="134" t="s">
        <v>18</v>
      </c>
      <c r="C1756" s="134" t="s">
        <v>74</v>
      </c>
      <c r="D1756" s="133" t="s">
        <v>697</v>
      </c>
      <c r="E1756" s="240">
        <v>43072.0</v>
      </c>
      <c r="F1756" s="13" t="str">
        <f t="shared" si="163"/>
        <v>Dec-2017</v>
      </c>
      <c r="G1756" s="13" t="s">
        <v>20</v>
      </c>
      <c r="H1756" s="16" t="s">
        <v>278</v>
      </c>
      <c r="I1756" s="48" t="s">
        <v>606</v>
      </c>
      <c r="J1756" s="16" t="s">
        <v>97</v>
      </c>
      <c r="K1756" s="16" t="s">
        <v>27</v>
      </c>
      <c r="L1756" s="16" t="s">
        <v>30</v>
      </c>
      <c r="M1756" s="16" t="s">
        <v>30</v>
      </c>
      <c r="N1756" s="16" t="s">
        <v>98</v>
      </c>
      <c r="O1756" s="101"/>
      <c r="P1756" s="101"/>
      <c r="Q1756" s="102"/>
    </row>
    <row r="1757">
      <c r="A1757" s="140"/>
      <c r="B1757" s="134" t="s">
        <v>18</v>
      </c>
      <c r="C1757" s="134" t="s">
        <v>74</v>
      </c>
      <c r="D1757" s="133" t="s">
        <v>697</v>
      </c>
      <c r="E1757" s="240">
        <v>43072.0</v>
      </c>
      <c r="F1757" s="13" t="str">
        <f t="shared" si="163"/>
        <v>Dec-2017</v>
      </c>
      <c r="G1757" s="13" t="s">
        <v>25</v>
      </c>
      <c r="H1757" s="16" t="s">
        <v>278</v>
      </c>
      <c r="I1757" s="48" t="s">
        <v>606</v>
      </c>
      <c r="J1757" s="16" t="s">
        <v>97</v>
      </c>
      <c r="K1757" s="16" t="s">
        <v>86</v>
      </c>
      <c r="L1757" s="16" t="s">
        <v>30</v>
      </c>
      <c r="M1757" s="16"/>
      <c r="N1757" s="16" t="s">
        <v>69</v>
      </c>
      <c r="O1757" s="101"/>
      <c r="P1757" s="101"/>
      <c r="Q1757" s="102"/>
    </row>
    <row r="1758">
      <c r="A1758" s="140"/>
      <c r="B1758" s="134" t="s">
        <v>18</v>
      </c>
      <c r="C1758" s="134" t="s">
        <v>74</v>
      </c>
      <c r="D1758" s="133" t="s">
        <v>697</v>
      </c>
      <c r="E1758" s="240">
        <v>43072.0</v>
      </c>
      <c r="F1758" s="13" t="str">
        <f t="shared" si="163"/>
        <v>Dec-2017</v>
      </c>
      <c r="G1758" s="21" t="s">
        <v>20</v>
      </c>
      <c r="H1758" s="25" t="s">
        <v>278</v>
      </c>
      <c r="I1758" s="80" t="s">
        <v>667</v>
      </c>
      <c r="J1758" s="25" t="s">
        <v>9</v>
      </c>
      <c r="K1758" s="25" t="s">
        <v>27</v>
      </c>
      <c r="L1758" s="25" t="s">
        <v>24</v>
      </c>
      <c r="M1758" s="25" t="s">
        <v>24</v>
      </c>
      <c r="N1758" s="25" t="s">
        <v>29</v>
      </c>
      <c r="Q1758" s="99"/>
    </row>
    <row r="1759">
      <c r="A1759" s="140"/>
      <c r="B1759" s="134" t="s">
        <v>18</v>
      </c>
      <c r="C1759" s="134" t="s">
        <v>74</v>
      </c>
      <c r="D1759" s="133" t="s">
        <v>697</v>
      </c>
      <c r="E1759" s="240">
        <v>43072.0</v>
      </c>
      <c r="F1759" s="13" t="str">
        <f t="shared" si="163"/>
        <v>Dec-2017</v>
      </c>
      <c r="G1759" s="21" t="s">
        <v>25</v>
      </c>
      <c r="H1759" s="25" t="s">
        <v>278</v>
      </c>
      <c r="I1759" s="80" t="s">
        <v>667</v>
      </c>
      <c r="J1759" s="25" t="s">
        <v>9</v>
      </c>
      <c r="K1759" s="25" t="s">
        <v>27</v>
      </c>
      <c r="L1759" s="25" t="s">
        <v>30</v>
      </c>
      <c r="M1759" s="25"/>
      <c r="N1759" s="25" t="s">
        <v>106</v>
      </c>
      <c r="Q1759" s="99"/>
    </row>
    <row r="1760">
      <c r="A1760" s="141"/>
      <c r="B1760" s="134" t="s">
        <v>18</v>
      </c>
      <c r="C1760" s="134" t="s">
        <v>74</v>
      </c>
      <c r="D1760" s="133" t="s">
        <v>697</v>
      </c>
      <c r="E1760" s="241">
        <v>43072.0</v>
      </c>
      <c r="F1760" s="35" t="str">
        <f t="shared" si="163"/>
        <v>Dec-2017</v>
      </c>
      <c r="G1760" s="114" t="s">
        <v>32</v>
      </c>
      <c r="H1760" s="55" t="s">
        <v>278</v>
      </c>
      <c r="I1760" s="113" t="s">
        <v>667</v>
      </c>
      <c r="J1760" s="55" t="s">
        <v>9</v>
      </c>
      <c r="K1760" s="55" t="s">
        <v>27</v>
      </c>
      <c r="L1760" s="55" t="s">
        <v>24</v>
      </c>
      <c r="M1760" s="55"/>
      <c r="N1760" s="55" t="s">
        <v>69</v>
      </c>
      <c r="O1760" s="143"/>
      <c r="P1760" s="143"/>
      <c r="Q1760" s="144"/>
    </row>
    <row r="1761">
      <c r="A1761" s="107"/>
      <c r="B1761" s="95"/>
      <c r="C1761" s="95"/>
      <c r="D1761" s="95"/>
      <c r="E1761" s="95"/>
      <c r="I1761" s="23"/>
    </row>
    <row r="1762">
      <c r="A1762" s="133" t="s">
        <v>702</v>
      </c>
      <c r="B1762" s="134" t="s">
        <v>18</v>
      </c>
      <c r="C1762" s="134" t="s">
        <v>427</v>
      </c>
      <c r="D1762" s="133" t="s">
        <v>702</v>
      </c>
      <c r="E1762" s="239">
        <v>43075.0</v>
      </c>
      <c r="F1762" s="110" t="str">
        <f t="shared" ref="F1762:F1776" si="164">TEXT(E1754:E1762, "mmm") &amp; "-" &amp; TEXT(E1754:E1762, "yyyy") </f>
        <v>Dec-2017</v>
      </c>
      <c r="G1762" s="110" t="s">
        <v>20</v>
      </c>
      <c r="H1762" s="47" t="s">
        <v>35</v>
      </c>
      <c r="I1762" s="79" t="s">
        <v>489</v>
      </c>
      <c r="J1762" s="47" t="s">
        <v>318</v>
      </c>
      <c r="K1762" s="47" t="s">
        <v>9</v>
      </c>
      <c r="L1762" s="47" t="s">
        <v>30</v>
      </c>
      <c r="M1762" s="47" t="s">
        <v>30</v>
      </c>
      <c r="N1762" s="47" t="s">
        <v>29</v>
      </c>
      <c r="O1762" s="152"/>
      <c r="P1762" s="152"/>
      <c r="Q1762" s="153"/>
    </row>
    <row r="1763">
      <c r="A1763" s="134" t="s">
        <v>18</v>
      </c>
      <c r="B1763" s="134" t="s">
        <v>18</v>
      </c>
      <c r="C1763" s="134" t="s">
        <v>427</v>
      </c>
      <c r="D1763" s="133" t="s">
        <v>702</v>
      </c>
      <c r="E1763" s="240">
        <v>43075.0</v>
      </c>
      <c r="F1763" s="13" t="str">
        <f t="shared" si="164"/>
        <v>Dec-2017</v>
      </c>
      <c r="G1763" s="13" t="s">
        <v>25</v>
      </c>
      <c r="H1763" s="16" t="s">
        <v>35</v>
      </c>
      <c r="I1763" s="48" t="s">
        <v>489</v>
      </c>
      <c r="J1763" s="16" t="s">
        <v>23</v>
      </c>
      <c r="K1763" s="16" t="s">
        <v>9</v>
      </c>
      <c r="L1763" s="16" t="s">
        <v>30</v>
      </c>
      <c r="M1763" s="16"/>
      <c r="N1763" s="16" t="s">
        <v>29</v>
      </c>
      <c r="O1763" s="101"/>
      <c r="P1763" s="101"/>
      <c r="Q1763" s="102"/>
    </row>
    <row r="1764">
      <c r="A1764" s="134" t="s">
        <v>428</v>
      </c>
      <c r="B1764" s="134" t="s">
        <v>18</v>
      </c>
      <c r="C1764" s="134" t="s">
        <v>427</v>
      </c>
      <c r="D1764" s="133" t="s">
        <v>702</v>
      </c>
      <c r="E1764" s="240">
        <v>43075.0</v>
      </c>
      <c r="F1764" s="13" t="str">
        <f t="shared" si="164"/>
        <v>Dec-2017</v>
      </c>
      <c r="G1764" s="21" t="s">
        <v>20</v>
      </c>
      <c r="H1764" s="119" t="s">
        <v>35</v>
      </c>
      <c r="I1764" s="80" t="s">
        <v>544</v>
      </c>
      <c r="J1764" s="25" t="s">
        <v>27</v>
      </c>
      <c r="K1764" s="25" t="s">
        <v>9</v>
      </c>
      <c r="L1764" s="25" t="s">
        <v>30</v>
      </c>
      <c r="M1764" s="25" t="s">
        <v>24</v>
      </c>
      <c r="N1764" s="25" t="s">
        <v>37</v>
      </c>
      <c r="Q1764" s="99"/>
    </row>
    <row r="1765">
      <c r="A1765" s="168">
        <v>43075.0</v>
      </c>
      <c r="B1765" s="134" t="s">
        <v>18</v>
      </c>
      <c r="C1765" s="134" t="s">
        <v>427</v>
      </c>
      <c r="D1765" s="133" t="s">
        <v>702</v>
      </c>
      <c r="E1765" s="240">
        <v>43075.0</v>
      </c>
      <c r="F1765" s="13" t="str">
        <f t="shared" si="164"/>
        <v>Dec-2017</v>
      </c>
      <c r="G1765" s="21" t="s">
        <v>25</v>
      </c>
      <c r="H1765" s="119" t="s">
        <v>35</v>
      </c>
      <c r="I1765" s="80" t="s">
        <v>544</v>
      </c>
      <c r="J1765" s="25" t="s">
        <v>27</v>
      </c>
      <c r="K1765" s="25" t="s">
        <v>9</v>
      </c>
      <c r="L1765" s="25" t="s">
        <v>24</v>
      </c>
      <c r="M1765" s="25"/>
      <c r="N1765" s="25" t="s">
        <v>69</v>
      </c>
      <c r="Q1765" s="99"/>
    </row>
    <row r="1766">
      <c r="A1766" s="134" t="s">
        <v>427</v>
      </c>
      <c r="B1766" s="134" t="s">
        <v>18</v>
      </c>
      <c r="C1766" s="134" t="s">
        <v>427</v>
      </c>
      <c r="D1766" s="133" t="s">
        <v>702</v>
      </c>
      <c r="E1766" s="240">
        <v>43075.0</v>
      </c>
      <c r="F1766" s="13" t="str">
        <f t="shared" si="164"/>
        <v>Dec-2017</v>
      </c>
      <c r="G1766" s="119" t="s">
        <v>32</v>
      </c>
      <c r="H1766" s="119" t="s">
        <v>35</v>
      </c>
      <c r="I1766" s="80" t="s">
        <v>544</v>
      </c>
      <c r="J1766" s="25" t="s">
        <v>27</v>
      </c>
      <c r="K1766" s="25" t="s">
        <v>9</v>
      </c>
      <c r="L1766" s="25" t="s">
        <v>24</v>
      </c>
      <c r="M1766" s="25"/>
      <c r="N1766" s="25" t="s">
        <v>106</v>
      </c>
      <c r="Q1766" s="99"/>
    </row>
    <row r="1767">
      <c r="A1767" s="176" t="s">
        <v>703</v>
      </c>
      <c r="B1767" s="134" t="s">
        <v>18</v>
      </c>
      <c r="C1767" s="134" t="s">
        <v>427</v>
      </c>
      <c r="D1767" s="133" t="s">
        <v>702</v>
      </c>
      <c r="E1767" s="240">
        <v>43075.0</v>
      </c>
      <c r="F1767" s="13" t="str">
        <f t="shared" si="164"/>
        <v>Dec-2017</v>
      </c>
      <c r="G1767" s="13" t="s">
        <v>20</v>
      </c>
      <c r="H1767" s="16" t="s">
        <v>35</v>
      </c>
      <c r="I1767" s="48" t="s">
        <v>704</v>
      </c>
      <c r="J1767" s="16" t="s">
        <v>44</v>
      </c>
      <c r="K1767" s="16" t="s">
        <v>9</v>
      </c>
      <c r="L1767" s="16" t="s">
        <v>30</v>
      </c>
      <c r="M1767" s="16" t="s">
        <v>30</v>
      </c>
      <c r="N1767" s="16" t="s">
        <v>98</v>
      </c>
      <c r="O1767" s="101"/>
      <c r="P1767" s="101"/>
      <c r="Q1767" s="102"/>
    </row>
    <row r="1768">
      <c r="A1768" s="140"/>
      <c r="B1768" s="134" t="s">
        <v>18</v>
      </c>
      <c r="C1768" s="134" t="s">
        <v>427</v>
      </c>
      <c r="D1768" s="133" t="s">
        <v>702</v>
      </c>
      <c r="E1768" s="240">
        <v>43075.0</v>
      </c>
      <c r="F1768" s="13" t="str">
        <f t="shared" si="164"/>
        <v>Dec-2017</v>
      </c>
      <c r="G1768" s="13" t="s">
        <v>25</v>
      </c>
      <c r="H1768" s="16" t="s">
        <v>35</v>
      </c>
      <c r="I1768" s="48" t="s">
        <v>704</v>
      </c>
      <c r="J1768" s="16" t="s">
        <v>44</v>
      </c>
      <c r="K1768" s="16" t="s">
        <v>9</v>
      </c>
      <c r="L1768" s="16" t="s">
        <v>30</v>
      </c>
      <c r="M1768" s="16"/>
      <c r="N1768" s="16" t="s">
        <v>99</v>
      </c>
      <c r="O1768" s="101"/>
      <c r="P1768" s="101"/>
      <c r="Q1768" s="102"/>
    </row>
    <row r="1769">
      <c r="A1769" s="176" t="s">
        <v>705</v>
      </c>
      <c r="B1769" s="134" t="s">
        <v>18</v>
      </c>
      <c r="C1769" s="134" t="s">
        <v>427</v>
      </c>
      <c r="D1769" s="133" t="s">
        <v>702</v>
      </c>
      <c r="E1769" s="240">
        <v>43075.0</v>
      </c>
      <c r="F1769" s="13" t="str">
        <f t="shared" si="164"/>
        <v>Dec-2017</v>
      </c>
      <c r="G1769" s="21" t="s">
        <v>20</v>
      </c>
      <c r="H1769" s="119" t="s">
        <v>35</v>
      </c>
      <c r="I1769" s="80" t="s">
        <v>655</v>
      </c>
      <c r="J1769" s="25" t="s">
        <v>86</v>
      </c>
      <c r="K1769" s="25" t="s">
        <v>9</v>
      </c>
      <c r="L1769" s="25" t="s">
        <v>24</v>
      </c>
      <c r="M1769" s="25" t="s">
        <v>30</v>
      </c>
      <c r="N1769" s="25" t="s">
        <v>69</v>
      </c>
      <c r="Q1769" s="99"/>
    </row>
    <row r="1770">
      <c r="A1770" s="134" t="s">
        <v>706</v>
      </c>
      <c r="B1770" s="134" t="s">
        <v>18</v>
      </c>
      <c r="C1770" s="134" t="s">
        <v>427</v>
      </c>
      <c r="D1770" s="133" t="s">
        <v>702</v>
      </c>
      <c r="E1770" s="240">
        <v>43075.0</v>
      </c>
      <c r="F1770" s="13" t="str">
        <f t="shared" si="164"/>
        <v>Dec-2017</v>
      </c>
      <c r="G1770" s="21" t="s">
        <v>25</v>
      </c>
      <c r="H1770" s="119" t="s">
        <v>35</v>
      </c>
      <c r="I1770" s="80" t="s">
        <v>655</v>
      </c>
      <c r="J1770" s="25" t="s">
        <v>86</v>
      </c>
      <c r="K1770" s="25" t="s">
        <v>9</v>
      </c>
      <c r="L1770" s="25" t="s">
        <v>30</v>
      </c>
      <c r="M1770" s="25"/>
      <c r="N1770" s="25" t="s">
        <v>99</v>
      </c>
      <c r="Q1770" s="99"/>
    </row>
    <row r="1771">
      <c r="A1771" s="140"/>
      <c r="B1771" s="134" t="s">
        <v>18</v>
      </c>
      <c r="C1771" s="134" t="s">
        <v>427</v>
      </c>
      <c r="D1771" s="133" t="s">
        <v>702</v>
      </c>
      <c r="E1771" s="240">
        <v>43075.0</v>
      </c>
      <c r="F1771" s="13" t="str">
        <f t="shared" si="164"/>
        <v>Dec-2017</v>
      </c>
      <c r="G1771" s="119" t="s">
        <v>32</v>
      </c>
      <c r="H1771" s="119" t="s">
        <v>35</v>
      </c>
      <c r="I1771" s="80" t="s">
        <v>655</v>
      </c>
      <c r="J1771" s="25" t="s">
        <v>86</v>
      </c>
      <c r="K1771" s="25" t="s">
        <v>9</v>
      </c>
      <c r="L1771" s="25" t="s">
        <v>30</v>
      </c>
      <c r="M1771" s="25"/>
      <c r="N1771" s="25" t="s">
        <v>98</v>
      </c>
      <c r="Q1771" s="99"/>
    </row>
    <row r="1772">
      <c r="A1772" s="140"/>
      <c r="B1772" s="134" t="s">
        <v>18</v>
      </c>
      <c r="C1772" s="134" t="s">
        <v>427</v>
      </c>
      <c r="D1772" s="133" t="s">
        <v>702</v>
      </c>
      <c r="E1772" s="240">
        <v>43075.0</v>
      </c>
      <c r="F1772" s="13" t="str">
        <f t="shared" si="164"/>
        <v>Dec-2017</v>
      </c>
      <c r="G1772" s="13" t="s">
        <v>20</v>
      </c>
      <c r="H1772" s="16" t="s">
        <v>35</v>
      </c>
      <c r="I1772" s="48" t="s">
        <v>707</v>
      </c>
      <c r="J1772" s="16" t="s">
        <v>9</v>
      </c>
      <c r="K1772" s="16" t="s">
        <v>9</v>
      </c>
      <c r="L1772" s="16" t="s">
        <v>24</v>
      </c>
      <c r="M1772" s="16" t="s">
        <v>30</v>
      </c>
      <c r="N1772" s="16" t="s">
        <v>37</v>
      </c>
      <c r="O1772" s="101"/>
      <c r="P1772" s="101"/>
      <c r="Q1772" s="102"/>
    </row>
    <row r="1773">
      <c r="A1773" s="140"/>
      <c r="B1773" s="134" t="s">
        <v>18</v>
      </c>
      <c r="C1773" s="134" t="s">
        <v>427</v>
      </c>
      <c r="D1773" s="133" t="s">
        <v>702</v>
      </c>
      <c r="E1773" s="240">
        <v>43075.0</v>
      </c>
      <c r="F1773" s="13" t="str">
        <f t="shared" si="164"/>
        <v>Dec-2017</v>
      </c>
      <c r="G1773" s="13" t="s">
        <v>25</v>
      </c>
      <c r="H1773" s="16" t="s">
        <v>35</v>
      </c>
      <c r="I1773" s="48" t="s">
        <v>707</v>
      </c>
      <c r="J1773" s="16" t="s">
        <v>9</v>
      </c>
      <c r="K1773" s="16" t="s">
        <v>9</v>
      </c>
      <c r="L1773" s="16" t="s">
        <v>30</v>
      </c>
      <c r="M1773" s="16"/>
      <c r="N1773" s="16" t="s">
        <v>29</v>
      </c>
      <c r="O1773" s="101"/>
      <c r="P1773" s="101"/>
      <c r="Q1773" s="102"/>
    </row>
    <row r="1774">
      <c r="A1774" s="140"/>
      <c r="B1774" s="134" t="s">
        <v>18</v>
      </c>
      <c r="C1774" s="134" t="s">
        <v>427</v>
      </c>
      <c r="D1774" s="133" t="s">
        <v>702</v>
      </c>
      <c r="E1774" s="240">
        <v>43075.0</v>
      </c>
      <c r="F1774" s="13" t="str">
        <f t="shared" si="164"/>
        <v>Dec-2017</v>
      </c>
      <c r="G1774" s="16" t="s">
        <v>32</v>
      </c>
      <c r="H1774" s="16" t="s">
        <v>35</v>
      </c>
      <c r="I1774" s="48" t="s">
        <v>707</v>
      </c>
      <c r="J1774" s="16" t="s">
        <v>44</v>
      </c>
      <c r="K1774" s="16" t="s">
        <v>9</v>
      </c>
      <c r="L1774" s="16" t="s">
        <v>30</v>
      </c>
      <c r="M1774" s="16"/>
      <c r="N1774" s="16" t="s">
        <v>29</v>
      </c>
      <c r="O1774" s="101"/>
      <c r="P1774" s="101"/>
      <c r="Q1774" s="102"/>
    </row>
    <row r="1775">
      <c r="A1775" s="140"/>
      <c r="B1775" s="134" t="s">
        <v>18</v>
      </c>
      <c r="C1775" s="134" t="s">
        <v>427</v>
      </c>
      <c r="D1775" s="133" t="s">
        <v>702</v>
      </c>
      <c r="E1775" s="240">
        <v>43075.0</v>
      </c>
      <c r="F1775" s="13" t="str">
        <f t="shared" si="164"/>
        <v>Dec-2017</v>
      </c>
      <c r="G1775" s="21" t="s">
        <v>20</v>
      </c>
      <c r="H1775" s="119" t="s">
        <v>35</v>
      </c>
      <c r="I1775" s="80" t="s">
        <v>112</v>
      </c>
      <c r="J1775" s="25" t="s">
        <v>86</v>
      </c>
      <c r="K1775" s="25" t="s">
        <v>9</v>
      </c>
      <c r="L1775" s="25" t="s">
        <v>24</v>
      </c>
      <c r="M1775" s="25" t="s">
        <v>24</v>
      </c>
      <c r="N1775" s="25" t="s">
        <v>69</v>
      </c>
      <c r="Q1775" s="99"/>
    </row>
    <row r="1776">
      <c r="A1776" s="141"/>
      <c r="B1776" s="134" t="s">
        <v>18</v>
      </c>
      <c r="C1776" s="134" t="s">
        <v>427</v>
      </c>
      <c r="D1776" s="133" t="s">
        <v>702</v>
      </c>
      <c r="E1776" s="241">
        <v>43075.0</v>
      </c>
      <c r="F1776" s="35" t="str">
        <f t="shared" si="164"/>
        <v>Dec-2017</v>
      </c>
      <c r="G1776" s="51" t="s">
        <v>25</v>
      </c>
      <c r="H1776" s="114" t="s">
        <v>35</v>
      </c>
      <c r="I1776" s="113" t="s">
        <v>112</v>
      </c>
      <c r="J1776" s="55" t="s">
        <v>86</v>
      </c>
      <c r="K1776" s="55" t="s">
        <v>9</v>
      </c>
      <c r="L1776" s="55" t="s">
        <v>24</v>
      </c>
      <c r="M1776" s="55"/>
      <c r="N1776" s="55" t="s">
        <v>29</v>
      </c>
      <c r="O1776" s="143"/>
      <c r="P1776" s="143"/>
      <c r="Q1776" s="144"/>
    </row>
    <row r="1777">
      <c r="A1777" s="107"/>
      <c r="B1777" s="95"/>
      <c r="C1777" s="95"/>
      <c r="D1777" s="95"/>
      <c r="E1777" s="95"/>
      <c r="G1777" s="119"/>
      <c r="I1777" s="23"/>
    </row>
    <row r="1778">
      <c r="A1778" s="133" t="s">
        <v>708</v>
      </c>
      <c r="B1778" s="134" t="s">
        <v>18</v>
      </c>
      <c r="C1778" s="134" t="s">
        <v>74</v>
      </c>
      <c r="D1778" s="133" t="s">
        <v>708</v>
      </c>
      <c r="E1778" s="239">
        <v>43081.0</v>
      </c>
      <c r="F1778" s="110" t="str">
        <f t="shared" ref="F1778:F1789" si="165">TEXT(E1770:E1778, "mmm") &amp; "-" &amp; TEXT(E1770:E1778, "yyyy") </f>
        <v>Dec-2017</v>
      </c>
      <c r="G1778" s="110" t="s">
        <v>20</v>
      </c>
      <c r="H1778" s="47" t="s">
        <v>35</v>
      </c>
      <c r="I1778" s="79" t="s">
        <v>360</v>
      </c>
      <c r="J1778" s="47" t="s">
        <v>216</v>
      </c>
      <c r="K1778" s="47" t="s">
        <v>9</v>
      </c>
      <c r="L1778" s="47" t="s">
        <v>30</v>
      </c>
      <c r="M1778" s="47" t="s">
        <v>30</v>
      </c>
      <c r="N1778" s="47" t="s">
        <v>37</v>
      </c>
      <c r="O1778" s="152"/>
      <c r="P1778" s="152"/>
      <c r="Q1778" s="153"/>
    </row>
    <row r="1779">
      <c r="A1779" s="134" t="s">
        <v>18</v>
      </c>
      <c r="B1779" s="134" t="s">
        <v>18</v>
      </c>
      <c r="C1779" s="134" t="s">
        <v>74</v>
      </c>
      <c r="D1779" s="133" t="s">
        <v>708</v>
      </c>
      <c r="E1779" s="240">
        <v>43081.0</v>
      </c>
      <c r="F1779" s="13" t="str">
        <f t="shared" si="165"/>
        <v>Dec-2017</v>
      </c>
      <c r="G1779" s="13" t="s">
        <v>25</v>
      </c>
      <c r="H1779" s="16" t="s">
        <v>35</v>
      </c>
      <c r="I1779" s="48" t="s">
        <v>360</v>
      </c>
      <c r="J1779" s="16" t="s">
        <v>216</v>
      </c>
      <c r="K1779" s="16" t="s">
        <v>9</v>
      </c>
      <c r="L1779" s="16" t="s">
        <v>30</v>
      </c>
      <c r="M1779" s="16"/>
      <c r="N1779" s="16" t="s">
        <v>99</v>
      </c>
      <c r="O1779" s="101"/>
      <c r="P1779" s="101"/>
      <c r="Q1779" s="102"/>
    </row>
    <row r="1780">
      <c r="A1780" s="134" t="s">
        <v>656</v>
      </c>
      <c r="B1780" s="134" t="s">
        <v>18</v>
      </c>
      <c r="C1780" s="134" t="s">
        <v>74</v>
      </c>
      <c r="D1780" s="133" t="s">
        <v>708</v>
      </c>
      <c r="E1780" s="240">
        <v>43081.0</v>
      </c>
      <c r="F1780" s="13" t="str">
        <f t="shared" si="165"/>
        <v>Dec-2017</v>
      </c>
      <c r="G1780" s="21" t="s">
        <v>20</v>
      </c>
      <c r="H1780" s="119" t="s">
        <v>35</v>
      </c>
      <c r="I1780" s="80" t="s">
        <v>501</v>
      </c>
      <c r="J1780" s="25" t="s">
        <v>102</v>
      </c>
      <c r="K1780" s="25" t="s">
        <v>9</v>
      </c>
      <c r="L1780" s="25" t="s">
        <v>24</v>
      </c>
      <c r="M1780" s="25" t="s">
        <v>24</v>
      </c>
      <c r="N1780" s="25" t="s">
        <v>98</v>
      </c>
      <c r="Q1780" s="99"/>
    </row>
    <row r="1781">
      <c r="A1781" s="168">
        <v>43081.0</v>
      </c>
      <c r="B1781" s="134" t="s">
        <v>18</v>
      </c>
      <c r="C1781" s="134" t="s">
        <v>74</v>
      </c>
      <c r="D1781" s="133" t="s">
        <v>708</v>
      </c>
      <c r="E1781" s="240">
        <v>43081.0</v>
      </c>
      <c r="F1781" s="13" t="str">
        <f t="shared" si="165"/>
        <v>Dec-2017</v>
      </c>
      <c r="G1781" s="21" t="s">
        <v>25</v>
      </c>
      <c r="H1781" s="119" t="s">
        <v>35</v>
      </c>
      <c r="I1781" s="80" t="s">
        <v>501</v>
      </c>
      <c r="J1781" s="25" t="s">
        <v>102</v>
      </c>
      <c r="K1781" s="25" t="s">
        <v>9</v>
      </c>
      <c r="L1781" s="25" t="s">
        <v>24</v>
      </c>
      <c r="M1781" s="25"/>
      <c r="N1781" s="25" t="s">
        <v>106</v>
      </c>
      <c r="Q1781" s="99"/>
    </row>
    <row r="1782">
      <c r="A1782" s="176" t="s">
        <v>709</v>
      </c>
      <c r="B1782" s="134" t="s">
        <v>18</v>
      </c>
      <c r="C1782" s="134" t="s">
        <v>74</v>
      </c>
      <c r="D1782" s="133" t="s">
        <v>708</v>
      </c>
      <c r="E1782" s="240">
        <v>43081.0</v>
      </c>
      <c r="F1782" s="13" t="str">
        <f t="shared" si="165"/>
        <v>Dec-2017</v>
      </c>
      <c r="G1782" s="13" t="s">
        <v>20</v>
      </c>
      <c r="H1782" s="16" t="s">
        <v>35</v>
      </c>
      <c r="I1782" s="48" t="s">
        <v>449</v>
      </c>
      <c r="J1782" s="16" t="s">
        <v>86</v>
      </c>
      <c r="K1782" s="16" t="s">
        <v>9</v>
      </c>
      <c r="L1782" s="16" t="s">
        <v>24</v>
      </c>
      <c r="M1782" s="16" t="s">
        <v>24</v>
      </c>
      <c r="N1782" s="16" t="s">
        <v>69</v>
      </c>
      <c r="O1782" s="101"/>
      <c r="P1782" s="101"/>
      <c r="Q1782" s="102"/>
    </row>
    <row r="1783">
      <c r="A1783" s="134" t="s">
        <v>676</v>
      </c>
      <c r="B1783" s="134" t="s">
        <v>18</v>
      </c>
      <c r="C1783" s="134" t="s">
        <v>74</v>
      </c>
      <c r="D1783" s="133" t="s">
        <v>708</v>
      </c>
      <c r="E1783" s="240">
        <v>43081.0</v>
      </c>
      <c r="F1783" s="13" t="str">
        <f t="shared" si="165"/>
        <v>Dec-2017</v>
      </c>
      <c r="G1783" s="13" t="s">
        <v>25</v>
      </c>
      <c r="H1783" s="16" t="s">
        <v>35</v>
      </c>
      <c r="I1783" s="48" t="s">
        <v>449</v>
      </c>
      <c r="J1783" s="16" t="s">
        <v>86</v>
      </c>
      <c r="K1783" s="16" t="s">
        <v>9</v>
      </c>
      <c r="L1783" s="16" t="s">
        <v>24</v>
      </c>
      <c r="M1783" s="16"/>
      <c r="N1783" s="16" t="s">
        <v>29</v>
      </c>
      <c r="O1783" s="101"/>
      <c r="P1783" s="101"/>
      <c r="Q1783" s="102"/>
    </row>
    <row r="1784">
      <c r="A1784" s="134" t="s">
        <v>74</v>
      </c>
      <c r="B1784" s="134" t="s">
        <v>18</v>
      </c>
      <c r="C1784" s="134" t="s">
        <v>74</v>
      </c>
      <c r="D1784" s="133" t="s">
        <v>708</v>
      </c>
      <c r="E1784" s="240">
        <v>43081.0</v>
      </c>
      <c r="F1784" s="13" t="str">
        <f t="shared" si="165"/>
        <v>Dec-2017</v>
      </c>
      <c r="G1784" s="21" t="s">
        <v>20</v>
      </c>
      <c r="H1784" s="25" t="s">
        <v>278</v>
      </c>
      <c r="I1784" s="80" t="s">
        <v>634</v>
      </c>
      <c r="J1784" s="25" t="s">
        <v>97</v>
      </c>
      <c r="K1784" s="25" t="s">
        <v>9</v>
      </c>
      <c r="L1784" s="25" t="s">
        <v>30</v>
      </c>
      <c r="M1784" s="25" t="s">
        <v>30</v>
      </c>
      <c r="N1784" s="25" t="s">
        <v>98</v>
      </c>
      <c r="Q1784" s="99"/>
    </row>
    <row r="1785">
      <c r="A1785" s="140"/>
      <c r="B1785" s="134" t="s">
        <v>18</v>
      </c>
      <c r="C1785" s="134" t="s">
        <v>74</v>
      </c>
      <c r="D1785" s="133" t="s">
        <v>708</v>
      </c>
      <c r="E1785" s="240">
        <v>43081.0</v>
      </c>
      <c r="F1785" s="13" t="str">
        <f t="shared" si="165"/>
        <v>Dec-2017</v>
      </c>
      <c r="G1785" s="21" t="s">
        <v>25</v>
      </c>
      <c r="H1785" s="25" t="s">
        <v>278</v>
      </c>
      <c r="I1785" s="80" t="s">
        <v>634</v>
      </c>
      <c r="J1785" s="25" t="s">
        <v>97</v>
      </c>
      <c r="K1785" s="25" t="s">
        <v>9</v>
      </c>
      <c r="L1785" s="25" t="s">
        <v>30</v>
      </c>
      <c r="M1785" s="25"/>
      <c r="N1785" s="25" t="s">
        <v>69</v>
      </c>
      <c r="Q1785" s="99"/>
    </row>
    <row r="1786">
      <c r="A1786" s="140"/>
      <c r="B1786" s="134" t="s">
        <v>18</v>
      </c>
      <c r="C1786" s="134" t="s">
        <v>74</v>
      </c>
      <c r="D1786" s="133" t="s">
        <v>708</v>
      </c>
      <c r="E1786" s="240">
        <v>43081.0</v>
      </c>
      <c r="F1786" s="13" t="str">
        <f t="shared" si="165"/>
        <v>Dec-2017</v>
      </c>
      <c r="G1786" s="13" t="s">
        <v>20</v>
      </c>
      <c r="H1786" s="16" t="s">
        <v>278</v>
      </c>
      <c r="I1786" s="48" t="s">
        <v>409</v>
      </c>
      <c r="J1786" s="16" t="s">
        <v>27</v>
      </c>
      <c r="K1786" s="16" t="s">
        <v>9</v>
      </c>
      <c r="L1786" s="16" t="s">
        <v>30</v>
      </c>
      <c r="M1786" s="16" t="s">
        <v>30</v>
      </c>
      <c r="N1786" s="16" t="s">
        <v>69</v>
      </c>
      <c r="O1786" s="101"/>
      <c r="P1786" s="101"/>
      <c r="Q1786" s="102"/>
    </row>
    <row r="1787">
      <c r="A1787" s="140"/>
      <c r="B1787" s="134" t="s">
        <v>18</v>
      </c>
      <c r="C1787" s="134" t="s">
        <v>74</v>
      </c>
      <c r="D1787" s="133" t="s">
        <v>708</v>
      </c>
      <c r="E1787" s="240">
        <v>43081.0</v>
      </c>
      <c r="F1787" s="13" t="str">
        <f t="shared" si="165"/>
        <v>Dec-2017</v>
      </c>
      <c r="G1787" s="13" t="s">
        <v>25</v>
      </c>
      <c r="H1787" s="16" t="s">
        <v>278</v>
      </c>
      <c r="I1787" s="48" t="s">
        <v>409</v>
      </c>
      <c r="J1787" s="16" t="s">
        <v>27</v>
      </c>
      <c r="K1787" s="16" t="s">
        <v>9</v>
      </c>
      <c r="L1787" s="16" t="s">
        <v>30</v>
      </c>
      <c r="M1787" s="16"/>
      <c r="N1787" s="16" t="s">
        <v>99</v>
      </c>
      <c r="O1787" s="101"/>
      <c r="P1787" s="101"/>
      <c r="Q1787" s="102"/>
    </row>
    <row r="1788">
      <c r="A1788" s="140"/>
      <c r="B1788" s="134" t="s">
        <v>18</v>
      </c>
      <c r="C1788" s="134" t="s">
        <v>74</v>
      </c>
      <c r="D1788" s="133" t="s">
        <v>708</v>
      </c>
      <c r="E1788" s="240">
        <v>43081.0</v>
      </c>
      <c r="F1788" s="13" t="str">
        <f t="shared" si="165"/>
        <v>Dec-2017</v>
      </c>
      <c r="G1788" s="21" t="s">
        <v>20</v>
      </c>
      <c r="H1788" s="25" t="s">
        <v>278</v>
      </c>
      <c r="I1788" s="80" t="s">
        <v>361</v>
      </c>
      <c r="J1788" s="25" t="s">
        <v>44</v>
      </c>
      <c r="K1788" s="25" t="s">
        <v>9</v>
      </c>
      <c r="L1788" s="25" t="s">
        <v>24</v>
      </c>
      <c r="M1788" s="25" t="s">
        <v>24</v>
      </c>
      <c r="N1788" s="25" t="s">
        <v>69</v>
      </c>
      <c r="Q1788" s="99"/>
    </row>
    <row r="1789">
      <c r="A1789" s="141"/>
      <c r="B1789" s="134" t="s">
        <v>18</v>
      </c>
      <c r="C1789" s="134" t="s">
        <v>74</v>
      </c>
      <c r="D1789" s="133" t="s">
        <v>708</v>
      </c>
      <c r="E1789" s="241">
        <v>43081.0</v>
      </c>
      <c r="F1789" s="35" t="str">
        <f t="shared" si="165"/>
        <v>Dec-2017</v>
      </c>
      <c r="G1789" s="51" t="s">
        <v>25</v>
      </c>
      <c r="H1789" s="55" t="s">
        <v>278</v>
      </c>
      <c r="I1789" s="113" t="s">
        <v>361</v>
      </c>
      <c r="J1789" s="55" t="s">
        <v>44</v>
      </c>
      <c r="K1789" s="55" t="s">
        <v>9</v>
      </c>
      <c r="L1789" s="55" t="s">
        <v>24</v>
      </c>
      <c r="M1789" s="55"/>
      <c r="N1789" s="55" t="s">
        <v>106</v>
      </c>
      <c r="O1789" s="143"/>
      <c r="P1789" s="143"/>
      <c r="Q1789" s="144"/>
    </row>
    <row r="1790">
      <c r="A1790" s="107"/>
      <c r="B1790" s="95"/>
      <c r="C1790" s="95"/>
      <c r="D1790" s="95"/>
      <c r="E1790" s="95"/>
      <c r="I1790" s="23"/>
    </row>
    <row r="1791">
      <c r="A1791" s="133" t="s">
        <v>710</v>
      </c>
      <c r="B1791" s="134" t="s">
        <v>711</v>
      </c>
      <c r="C1791" s="134" t="s">
        <v>74</v>
      </c>
      <c r="D1791" s="133" t="s">
        <v>710</v>
      </c>
      <c r="E1791" s="239">
        <v>43098.0</v>
      </c>
      <c r="F1791" s="110" t="str">
        <f t="shared" ref="F1791:F1803" si="166">TEXT(E1783:E1791, "mmm") &amp; "-" &amp; TEXT(E1783:E1791, "yyyy") </f>
        <v>Dec-2017</v>
      </c>
      <c r="G1791" s="110" t="s">
        <v>20</v>
      </c>
      <c r="H1791" s="47" t="s">
        <v>35</v>
      </c>
      <c r="I1791" s="79" t="s">
        <v>133</v>
      </c>
      <c r="J1791" s="47" t="s">
        <v>86</v>
      </c>
      <c r="K1791" s="47" t="s">
        <v>9</v>
      </c>
      <c r="L1791" s="47" t="s">
        <v>30</v>
      </c>
      <c r="M1791" s="47" t="s">
        <v>30</v>
      </c>
      <c r="N1791" s="47" t="s">
        <v>29</v>
      </c>
      <c r="O1791" s="152"/>
      <c r="P1791" s="152"/>
      <c r="Q1791" s="153"/>
    </row>
    <row r="1792">
      <c r="A1792" s="134" t="s">
        <v>711</v>
      </c>
      <c r="B1792" s="134" t="s">
        <v>711</v>
      </c>
      <c r="C1792" s="134" t="s">
        <v>74</v>
      </c>
      <c r="D1792" s="133" t="s">
        <v>710</v>
      </c>
      <c r="E1792" s="240">
        <v>43098.0</v>
      </c>
      <c r="F1792" s="13" t="str">
        <f t="shared" si="166"/>
        <v>Dec-2017</v>
      </c>
      <c r="G1792" s="13" t="s">
        <v>25</v>
      </c>
      <c r="H1792" s="16" t="s">
        <v>35</v>
      </c>
      <c r="I1792" s="48" t="s">
        <v>133</v>
      </c>
      <c r="J1792" s="16" t="s">
        <v>86</v>
      </c>
      <c r="K1792" s="16" t="s">
        <v>9</v>
      </c>
      <c r="L1792" s="16" t="s">
        <v>30</v>
      </c>
      <c r="M1792" s="16"/>
      <c r="N1792" s="16" t="s">
        <v>98</v>
      </c>
      <c r="O1792" s="101"/>
      <c r="P1792" s="101"/>
      <c r="Q1792" s="102"/>
    </row>
    <row r="1793">
      <c r="A1793" s="134" t="s">
        <v>712</v>
      </c>
      <c r="B1793" s="134" t="s">
        <v>711</v>
      </c>
      <c r="C1793" s="134" t="s">
        <v>74</v>
      </c>
      <c r="D1793" s="133" t="s">
        <v>710</v>
      </c>
      <c r="E1793" s="240">
        <v>43098.0</v>
      </c>
      <c r="F1793" s="13" t="str">
        <f t="shared" si="166"/>
        <v>Dec-2017</v>
      </c>
      <c r="G1793" s="21" t="s">
        <v>20</v>
      </c>
      <c r="H1793" s="119" t="s">
        <v>35</v>
      </c>
      <c r="I1793" s="80" t="s">
        <v>194</v>
      </c>
      <c r="J1793" s="25" t="s">
        <v>23</v>
      </c>
      <c r="K1793" s="25" t="s">
        <v>9</v>
      </c>
      <c r="L1793" s="25" t="s">
        <v>24</v>
      </c>
      <c r="M1793" s="25" t="s">
        <v>24</v>
      </c>
      <c r="N1793" s="25" t="s">
        <v>37</v>
      </c>
      <c r="Q1793" s="99"/>
    </row>
    <row r="1794">
      <c r="A1794" s="168">
        <v>43098.0</v>
      </c>
      <c r="B1794" s="134" t="s">
        <v>711</v>
      </c>
      <c r="C1794" s="134" t="s">
        <v>74</v>
      </c>
      <c r="D1794" s="133" t="s">
        <v>710</v>
      </c>
      <c r="E1794" s="240">
        <v>43098.0</v>
      </c>
      <c r="F1794" s="13" t="str">
        <f t="shared" si="166"/>
        <v>Dec-2017</v>
      </c>
      <c r="G1794" s="21" t="s">
        <v>25</v>
      </c>
      <c r="H1794" s="119" t="s">
        <v>35</v>
      </c>
      <c r="I1794" s="80" t="s">
        <v>194</v>
      </c>
      <c r="J1794" s="25" t="s">
        <v>23</v>
      </c>
      <c r="K1794" s="25" t="s">
        <v>9</v>
      </c>
      <c r="L1794" s="25" t="s">
        <v>24</v>
      </c>
      <c r="M1794" s="25"/>
      <c r="N1794" s="25" t="s">
        <v>29</v>
      </c>
      <c r="Q1794" s="99"/>
    </row>
    <row r="1795">
      <c r="A1795" s="176" t="s">
        <v>713</v>
      </c>
      <c r="B1795" s="134" t="s">
        <v>711</v>
      </c>
      <c r="C1795" s="134" t="s">
        <v>74</v>
      </c>
      <c r="D1795" s="133" t="s">
        <v>710</v>
      </c>
      <c r="E1795" s="240">
        <v>43098.0</v>
      </c>
      <c r="F1795" s="13" t="str">
        <f t="shared" si="166"/>
        <v>Dec-2017</v>
      </c>
      <c r="G1795" s="13" t="s">
        <v>20</v>
      </c>
      <c r="H1795" s="16" t="s">
        <v>35</v>
      </c>
      <c r="I1795" s="48" t="s">
        <v>165</v>
      </c>
      <c r="J1795" s="16" t="s">
        <v>9</v>
      </c>
      <c r="K1795" s="16" t="s">
        <v>9</v>
      </c>
      <c r="L1795" s="16" t="s">
        <v>30</v>
      </c>
      <c r="M1795" s="16" t="s">
        <v>30</v>
      </c>
      <c r="N1795" s="16" t="s">
        <v>69</v>
      </c>
      <c r="O1795" s="101"/>
      <c r="P1795" s="101"/>
      <c r="Q1795" s="102"/>
    </row>
    <row r="1796">
      <c r="A1796" s="134" t="s">
        <v>74</v>
      </c>
      <c r="B1796" s="134" t="s">
        <v>711</v>
      </c>
      <c r="C1796" s="134" t="s">
        <v>74</v>
      </c>
      <c r="D1796" s="133" t="s">
        <v>710</v>
      </c>
      <c r="E1796" s="240">
        <v>43098.0</v>
      </c>
      <c r="F1796" s="13" t="str">
        <f t="shared" si="166"/>
        <v>Dec-2017</v>
      </c>
      <c r="G1796" s="13" t="s">
        <v>25</v>
      </c>
      <c r="H1796" s="16" t="s">
        <v>35</v>
      </c>
      <c r="I1796" s="48" t="s">
        <v>165</v>
      </c>
      <c r="J1796" s="16" t="s">
        <v>9</v>
      </c>
      <c r="K1796" s="16" t="s">
        <v>9</v>
      </c>
      <c r="L1796" s="16" t="s">
        <v>24</v>
      </c>
      <c r="M1796" s="16"/>
      <c r="N1796" s="16" t="s">
        <v>106</v>
      </c>
      <c r="O1796" s="101"/>
      <c r="P1796" s="101"/>
      <c r="Q1796" s="102"/>
    </row>
    <row r="1797">
      <c r="A1797" s="140"/>
      <c r="B1797" s="134" t="s">
        <v>711</v>
      </c>
      <c r="C1797" s="134" t="s">
        <v>74</v>
      </c>
      <c r="D1797" s="133" t="s">
        <v>710</v>
      </c>
      <c r="E1797" s="240">
        <v>43098.0</v>
      </c>
      <c r="F1797" s="13" t="str">
        <f t="shared" si="166"/>
        <v>Dec-2017</v>
      </c>
      <c r="G1797" s="16" t="s">
        <v>32</v>
      </c>
      <c r="H1797" s="16" t="s">
        <v>35</v>
      </c>
      <c r="I1797" s="48" t="s">
        <v>165</v>
      </c>
      <c r="J1797" s="16" t="s">
        <v>9</v>
      </c>
      <c r="K1797" s="16" t="s">
        <v>9</v>
      </c>
      <c r="L1797" s="16" t="s">
        <v>30</v>
      </c>
      <c r="M1797" s="16"/>
      <c r="N1797" s="16" t="s">
        <v>29</v>
      </c>
      <c r="O1797" s="101"/>
      <c r="P1797" s="101"/>
      <c r="Q1797" s="102"/>
    </row>
    <row r="1798">
      <c r="A1798" s="140"/>
      <c r="B1798" s="134" t="s">
        <v>711</v>
      </c>
      <c r="C1798" s="134" t="s">
        <v>74</v>
      </c>
      <c r="D1798" s="133" t="s">
        <v>710</v>
      </c>
      <c r="E1798" s="240">
        <v>43098.0</v>
      </c>
      <c r="F1798" s="13" t="str">
        <f t="shared" si="166"/>
        <v>Dec-2017</v>
      </c>
      <c r="G1798" s="119" t="s">
        <v>146</v>
      </c>
      <c r="H1798" s="119" t="s">
        <v>35</v>
      </c>
      <c r="I1798" s="80" t="s">
        <v>714</v>
      </c>
      <c r="J1798" s="25" t="s">
        <v>216</v>
      </c>
      <c r="K1798" s="25" t="s">
        <v>9</v>
      </c>
      <c r="L1798" s="25" t="s">
        <v>30</v>
      </c>
      <c r="M1798" s="25" t="s">
        <v>30</v>
      </c>
      <c r="N1798" s="25" t="s">
        <v>37</v>
      </c>
      <c r="Q1798" s="99"/>
    </row>
    <row r="1799">
      <c r="A1799" s="140"/>
      <c r="B1799" s="134" t="s">
        <v>711</v>
      </c>
      <c r="C1799" s="134" t="s">
        <v>74</v>
      </c>
      <c r="D1799" s="133" t="s">
        <v>710</v>
      </c>
      <c r="E1799" s="240">
        <v>43098.0</v>
      </c>
      <c r="F1799" s="13" t="str">
        <f t="shared" si="166"/>
        <v>Dec-2017</v>
      </c>
      <c r="G1799" s="119" t="s">
        <v>149</v>
      </c>
      <c r="H1799" s="119" t="s">
        <v>35</v>
      </c>
      <c r="I1799" s="80" t="s">
        <v>714</v>
      </c>
      <c r="J1799" s="25" t="s">
        <v>216</v>
      </c>
      <c r="K1799" s="25" t="s">
        <v>9</v>
      </c>
      <c r="L1799" s="25" t="s">
        <v>30</v>
      </c>
      <c r="M1799" s="25"/>
      <c r="N1799" s="25" t="s">
        <v>29</v>
      </c>
      <c r="Q1799" s="99"/>
    </row>
    <row r="1800">
      <c r="A1800" s="140"/>
      <c r="B1800" s="134" t="s">
        <v>711</v>
      </c>
      <c r="C1800" s="134" t="s">
        <v>74</v>
      </c>
      <c r="D1800" s="133" t="s">
        <v>710</v>
      </c>
      <c r="E1800" s="240">
        <v>43098.0</v>
      </c>
      <c r="F1800" s="13" t="str">
        <f t="shared" si="166"/>
        <v>Dec-2017</v>
      </c>
      <c r="G1800" s="119" t="s">
        <v>222</v>
      </c>
      <c r="H1800" s="119" t="s">
        <v>35</v>
      </c>
      <c r="I1800" s="80" t="s">
        <v>714</v>
      </c>
      <c r="J1800" s="25" t="s">
        <v>44</v>
      </c>
      <c r="K1800" s="25" t="s">
        <v>9</v>
      </c>
      <c r="L1800" s="25" t="s">
        <v>30</v>
      </c>
      <c r="M1800" s="25"/>
      <c r="N1800" s="25" t="s">
        <v>106</v>
      </c>
      <c r="Q1800" s="99"/>
    </row>
    <row r="1801">
      <c r="A1801" s="140"/>
      <c r="B1801" s="134" t="s">
        <v>711</v>
      </c>
      <c r="C1801" s="134" t="s">
        <v>74</v>
      </c>
      <c r="D1801" s="133" t="s">
        <v>710</v>
      </c>
      <c r="E1801" s="240">
        <v>43098.0</v>
      </c>
      <c r="F1801" s="13" t="str">
        <f t="shared" si="166"/>
        <v>Dec-2017</v>
      </c>
      <c r="G1801" s="16" t="s">
        <v>146</v>
      </c>
      <c r="H1801" s="16" t="s">
        <v>35</v>
      </c>
      <c r="I1801" s="48" t="s">
        <v>394</v>
      </c>
      <c r="J1801" s="16" t="s">
        <v>27</v>
      </c>
      <c r="K1801" s="16" t="s">
        <v>9</v>
      </c>
      <c r="L1801" s="16" t="s">
        <v>24</v>
      </c>
      <c r="M1801" s="16" t="s">
        <v>24</v>
      </c>
      <c r="N1801" s="16" t="s">
        <v>69</v>
      </c>
      <c r="O1801" s="101"/>
      <c r="P1801" s="101"/>
      <c r="Q1801" s="102"/>
    </row>
    <row r="1802">
      <c r="A1802" s="140"/>
      <c r="B1802" s="134" t="s">
        <v>711</v>
      </c>
      <c r="C1802" s="134" t="s">
        <v>74</v>
      </c>
      <c r="D1802" s="133" t="s">
        <v>710</v>
      </c>
      <c r="E1802" s="240">
        <v>43098.0</v>
      </c>
      <c r="F1802" s="13" t="str">
        <f t="shared" si="166"/>
        <v>Dec-2017</v>
      </c>
      <c r="G1802" s="16" t="s">
        <v>149</v>
      </c>
      <c r="H1802" s="16" t="s">
        <v>35</v>
      </c>
      <c r="I1802" s="48" t="s">
        <v>394</v>
      </c>
      <c r="J1802" s="16" t="s">
        <v>27</v>
      </c>
      <c r="K1802" s="16" t="s">
        <v>9</v>
      </c>
      <c r="L1802" s="16" t="s">
        <v>24</v>
      </c>
      <c r="M1802" s="16"/>
      <c r="N1802" s="16" t="s">
        <v>98</v>
      </c>
      <c r="O1802" s="101"/>
      <c r="P1802" s="101"/>
      <c r="Q1802" s="102"/>
    </row>
    <row r="1803">
      <c r="A1803" s="141"/>
      <c r="B1803" s="134" t="s">
        <v>711</v>
      </c>
      <c r="C1803" s="134" t="s">
        <v>74</v>
      </c>
      <c r="D1803" s="133" t="s">
        <v>710</v>
      </c>
      <c r="E1803" s="241">
        <v>43098.0</v>
      </c>
      <c r="F1803" s="35" t="str">
        <f t="shared" si="166"/>
        <v>Dec-2017</v>
      </c>
      <c r="G1803" s="38" t="s">
        <v>222</v>
      </c>
      <c r="H1803" s="38" t="s">
        <v>35</v>
      </c>
      <c r="I1803" s="122" t="s">
        <v>394</v>
      </c>
      <c r="J1803" s="38" t="s">
        <v>27</v>
      </c>
      <c r="K1803" s="38" t="s">
        <v>9</v>
      </c>
      <c r="L1803" s="38" t="s">
        <v>24</v>
      </c>
      <c r="M1803" s="38"/>
      <c r="N1803" s="38" t="s">
        <v>106</v>
      </c>
      <c r="O1803" s="105"/>
      <c r="P1803" s="105"/>
      <c r="Q1803" s="106"/>
    </row>
    <row r="1804">
      <c r="A1804" s="107"/>
      <c r="B1804" s="95"/>
      <c r="C1804" s="95"/>
      <c r="D1804" s="95"/>
      <c r="E1804" s="95"/>
      <c r="I1804" s="23"/>
      <c r="L1804" s="25"/>
    </row>
    <row r="1805">
      <c r="A1805" s="250" t="s">
        <v>715</v>
      </c>
      <c r="B1805" s="251" t="s">
        <v>73</v>
      </c>
      <c r="C1805" s="251" t="s">
        <v>84</v>
      </c>
      <c r="D1805" s="250" t="s">
        <v>715</v>
      </c>
      <c r="E1805" s="252">
        <v>43099.0</v>
      </c>
      <c r="F1805" s="110" t="str">
        <f t="shared" ref="F1805:F1812" si="167">TEXT(E1797:E1805, "mmm") &amp; "-" &amp; TEXT(E1797:E1805, "yyyy") </f>
        <v>Dec-2017</v>
      </c>
      <c r="G1805" s="70" t="s">
        <v>20</v>
      </c>
      <c r="H1805" s="218" t="s">
        <v>35</v>
      </c>
      <c r="I1805" s="220" t="s">
        <v>716</v>
      </c>
      <c r="J1805" s="218" t="s">
        <v>9</v>
      </c>
      <c r="K1805" s="218" t="s">
        <v>9</v>
      </c>
      <c r="L1805" s="218" t="s">
        <v>717</v>
      </c>
      <c r="M1805" s="218" t="s">
        <v>717</v>
      </c>
      <c r="N1805" s="218" t="s">
        <v>69</v>
      </c>
      <c r="O1805" s="221"/>
      <c r="P1805" s="221"/>
      <c r="Q1805" s="222"/>
      <c r="R1805" s="253" t="s">
        <v>718</v>
      </c>
    </row>
    <row r="1806">
      <c r="A1806" s="251" t="s">
        <v>73</v>
      </c>
      <c r="B1806" s="251" t="s">
        <v>73</v>
      </c>
      <c r="C1806" s="251" t="s">
        <v>84</v>
      </c>
      <c r="D1806" s="250" t="s">
        <v>715</v>
      </c>
      <c r="E1806" s="254">
        <v>43099.0</v>
      </c>
      <c r="F1806" s="13" t="str">
        <f t="shared" si="167"/>
        <v>Dec-2017</v>
      </c>
      <c r="G1806" s="21" t="s">
        <v>25</v>
      </c>
      <c r="H1806" s="119" t="s">
        <v>35</v>
      </c>
      <c r="I1806" s="126" t="s">
        <v>716</v>
      </c>
      <c r="J1806" s="119" t="s">
        <v>9</v>
      </c>
      <c r="K1806" s="119" t="s">
        <v>9</v>
      </c>
      <c r="L1806" s="119" t="s">
        <v>719</v>
      </c>
      <c r="M1806" s="119"/>
      <c r="N1806" s="119" t="s">
        <v>106</v>
      </c>
      <c r="O1806" s="174"/>
      <c r="P1806" s="174"/>
      <c r="Q1806" s="175"/>
    </row>
    <row r="1807">
      <c r="A1807" s="251" t="s">
        <v>720</v>
      </c>
      <c r="B1807" s="251" t="s">
        <v>73</v>
      </c>
      <c r="C1807" s="251" t="s">
        <v>84</v>
      </c>
      <c r="D1807" s="250" t="s">
        <v>715</v>
      </c>
      <c r="E1807" s="254">
        <v>43099.0</v>
      </c>
      <c r="F1807" s="13" t="str">
        <f t="shared" si="167"/>
        <v>Dec-2017</v>
      </c>
      <c r="G1807" s="119" t="s">
        <v>32</v>
      </c>
      <c r="H1807" s="119" t="s">
        <v>35</v>
      </c>
      <c r="I1807" s="126" t="s">
        <v>716</v>
      </c>
      <c r="J1807" s="119" t="s">
        <v>9</v>
      </c>
      <c r="K1807" s="119" t="s">
        <v>9</v>
      </c>
      <c r="L1807" s="119" t="s">
        <v>717</v>
      </c>
      <c r="M1807" s="119"/>
      <c r="N1807" s="119" t="s">
        <v>29</v>
      </c>
      <c r="O1807" s="174"/>
      <c r="P1807" s="174"/>
      <c r="Q1807" s="175"/>
    </row>
    <row r="1808">
      <c r="A1808" s="255">
        <v>43099.0</v>
      </c>
      <c r="B1808" s="251" t="s">
        <v>73</v>
      </c>
      <c r="C1808" s="251" t="s">
        <v>84</v>
      </c>
      <c r="D1808" s="250" t="s">
        <v>715</v>
      </c>
      <c r="E1808" s="254">
        <v>43099.0</v>
      </c>
      <c r="F1808" s="13" t="str">
        <f t="shared" si="167"/>
        <v>Dec-2017</v>
      </c>
      <c r="G1808" s="13" t="s">
        <v>20</v>
      </c>
      <c r="H1808" s="16" t="s">
        <v>35</v>
      </c>
      <c r="I1808" s="48" t="s">
        <v>721</v>
      </c>
      <c r="J1808" s="16" t="s">
        <v>9</v>
      </c>
      <c r="K1808" s="16" t="s">
        <v>9</v>
      </c>
      <c r="L1808" s="16" t="s">
        <v>719</v>
      </c>
      <c r="M1808" s="16" t="s">
        <v>719</v>
      </c>
      <c r="N1808" s="16" t="s">
        <v>98</v>
      </c>
      <c r="O1808" s="101"/>
      <c r="P1808" s="101"/>
      <c r="Q1808" s="102"/>
    </row>
    <row r="1809">
      <c r="A1809" s="256" t="s">
        <v>722</v>
      </c>
      <c r="B1809" s="251" t="s">
        <v>73</v>
      </c>
      <c r="C1809" s="251" t="s">
        <v>84</v>
      </c>
      <c r="D1809" s="250" t="s">
        <v>715</v>
      </c>
      <c r="E1809" s="254">
        <v>43099.0</v>
      </c>
      <c r="F1809" s="13" t="str">
        <f t="shared" si="167"/>
        <v>Dec-2017</v>
      </c>
      <c r="G1809" s="13" t="s">
        <v>25</v>
      </c>
      <c r="H1809" s="16" t="s">
        <v>35</v>
      </c>
      <c r="I1809" s="48" t="s">
        <v>721</v>
      </c>
      <c r="J1809" s="16" t="s">
        <v>9</v>
      </c>
      <c r="K1809" s="16" t="s">
        <v>9</v>
      </c>
      <c r="L1809" s="16" t="s">
        <v>719</v>
      </c>
      <c r="M1809" s="16"/>
      <c r="N1809" s="16" t="s">
        <v>99</v>
      </c>
      <c r="O1809" s="101"/>
      <c r="P1809" s="101"/>
      <c r="Q1809" s="102"/>
    </row>
    <row r="1810">
      <c r="A1810" s="251" t="s">
        <v>84</v>
      </c>
      <c r="B1810" s="251" t="s">
        <v>73</v>
      </c>
      <c r="C1810" s="251" t="s">
        <v>84</v>
      </c>
      <c r="D1810" s="250" t="s">
        <v>715</v>
      </c>
      <c r="E1810" s="254">
        <v>43099.0</v>
      </c>
      <c r="F1810" s="13" t="str">
        <f t="shared" si="167"/>
        <v>Dec-2017</v>
      </c>
      <c r="G1810" s="21" t="s">
        <v>20</v>
      </c>
      <c r="H1810" s="119" t="s">
        <v>35</v>
      </c>
      <c r="I1810" s="126" t="s">
        <v>364</v>
      </c>
      <c r="J1810" s="119" t="s">
        <v>9</v>
      </c>
      <c r="K1810" s="119" t="s">
        <v>27</v>
      </c>
      <c r="L1810" s="119" t="s">
        <v>717</v>
      </c>
      <c r="M1810" s="119" t="s">
        <v>717</v>
      </c>
      <c r="N1810" s="119" t="s">
        <v>69</v>
      </c>
      <c r="O1810" s="174"/>
      <c r="P1810" s="174"/>
      <c r="Q1810" s="175"/>
    </row>
    <row r="1811">
      <c r="A1811" s="251" t="s">
        <v>723</v>
      </c>
      <c r="B1811" s="251" t="s">
        <v>73</v>
      </c>
      <c r="C1811" s="251" t="s">
        <v>84</v>
      </c>
      <c r="D1811" s="250" t="s">
        <v>715</v>
      </c>
      <c r="E1811" s="254">
        <v>43099.0</v>
      </c>
      <c r="F1811" s="13" t="str">
        <f t="shared" si="167"/>
        <v>Dec-2017</v>
      </c>
      <c r="G1811" s="21" t="s">
        <v>25</v>
      </c>
      <c r="H1811" s="119" t="s">
        <v>35</v>
      </c>
      <c r="I1811" s="126" t="s">
        <v>364</v>
      </c>
      <c r="J1811" s="119" t="s">
        <v>9</v>
      </c>
      <c r="K1811" s="119" t="s">
        <v>27</v>
      </c>
      <c r="L1811" s="119" t="s">
        <v>719</v>
      </c>
      <c r="M1811" s="119"/>
      <c r="N1811" s="119" t="s">
        <v>106</v>
      </c>
      <c r="O1811" s="174"/>
      <c r="P1811" s="174"/>
      <c r="Q1811" s="175"/>
    </row>
    <row r="1812">
      <c r="A1812" s="257" t="s">
        <v>724</v>
      </c>
      <c r="B1812" s="251" t="s">
        <v>73</v>
      </c>
      <c r="C1812" s="251" t="s">
        <v>84</v>
      </c>
      <c r="D1812" s="250" t="s">
        <v>715</v>
      </c>
      <c r="E1812" s="258">
        <v>43099.0</v>
      </c>
      <c r="F1812" s="35" t="str">
        <f t="shared" si="167"/>
        <v>Dec-2017</v>
      </c>
      <c r="G1812" s="114" t="s">
        <v>32</v>
      </c>
      <c r="H1812" s="114" t="s">
        <v>35</v>
      </c>
      <c r="I1812" s="130" t="s">
        <v>364</v>
      </c>
      <c r="J1812" s="114" t="s">
        <v>9</v>
      </c>
      <c r="K1812" s="114" t="s">
        <v>27</v>
      </c>
      <c r="L1812" s="114" t="s">
        <v>717</v>
      </c>
      <c r="M1812" s="114"/>
      <c r="N1812" s="114" t="s">
        <v>29</v>
      </c>
      <c r="O1812" s="202"/>
      <c r="P1812" s="202"/>
      <c r="Q1812" s="203"/>
    </row>
    <row r="1813">
      <c r="A1813" s="259"/>
      <c r="B1813" s="95"/>
      <c r="C1813" s="95"/>
      <c r="D1813" s="95"/>
      <c r="E1813" s="95"/>
      <c r="I1813" s="23"/>
    </row>
    <row r="1814">
      <c r="A1814" s="133" t="s">
        <v>725</v>
      </c>
      <c r="B1814" s="134" t="s">
        <v>609</v>
      </c>
      <c r="C1814" s="134" t="s">
        <v>84</v>
      </c>
      <c r="D1814" s="133" t="s">
        <v>725</v>
      </c>
      <c r="E1814" s="239">
        <v>43106.0</v>
      </c>
      <c r="F1814" s="110" t="str">
        <f t="shared" ref="F1814:F1827" si="168">TEXT(E1806:E1814, "mmm") &amp; "-" &amp; TEXT(E1806:E1814, "yyyy") </f>
        <v>Jan-2018</v>
      </c>
      <c r="G1814" s="110" t="s">
        <v>20</v>
      </c>
      <c r="H1814" s="47" t="s">
        <v>273</v>
      </c>
      <c r="I1814" s="79" t="s">
        <v>726</v>
      </c>
      <c r="J1814" s="47" t="s">
        <v>216</v>
      </c>
      <c r="K1814" s="47" t="s">
        <v>9</v>
      </c>
      <c r="L1814" s="47" t="s">
        <v>30</v>
      </c>
      <c r="M1814" s="47" t="s">
        <v>30</v>
      </c>
      <c r="N1814" s="47" t="s">
        <v>37</v>
      </c>
      <c r="O1814" s="152"/>
      <c r="P1814" s="152"/>
      <c r="Q1814" s="153"/>
    </row>
    <row r="1815">
      <c r="A1815" s="134" t="s">
        <v>609</v>
      </c>
      <c r="B1815" s="134" t="s">
        <v>609</v>
      </c>
      <c r="C1815" s="134" t="s">
        <v>84</v>
      </c>
      <c r="D1815" s="133" t="s">
        <v>725</v>
      </c>
      <c r="E1815" s="240">
        <v>43106.0</v>
      </c>
      <c r="F1815" s="13" t="str">
        <f t="shared" si="168"/>
        <v>Jan-2018</v>
      </c>
      <c r="G1815" s="13" t="s">
        <v>25</v>
      </c>
      <c r="H1815" s="16" t="s">
        <v>273</v>
      </c>
      <c r="I1815" s="48" t="s">
        <v>726</v>
      </c>
      <c r="J1815" s="16" t="s">
        <v>216</v>
      </c>
      <c r="K1815" s="16" t="s">
        <v>9</v>
      </c>
      <c r="L1815" s="16" t="s">
        <v>30</v>
      </c>
      <c r="M1815" s="16"/>
      <c r="N1815" s="16" t="s">
        <v>99</v>
      </c>
      <c r="O1815" s="101"/>
      <c r="P1815" s="101"/>
      <c r="Q1815" s="102"/>
    </row>
    <row r="1816">
      <c r="A1816" s="134" t="s">
        <v>496</v>
      </c>
      <c r="B1816" s="134" t="s">
        <v>609</v>
      </c>
      <c r="C1816" s="134" t="s">
        <v>84</v>
      </c>
      <c r="D1816" s="133" t="s">
        <v>725</v>
      </c>
      <c r="E1816" s="240">
        <v>43106.0</v>
      </c>
      <c r="F1816" s="13" t="str">
        <f t="shared" si="168"/>
        <v>Jan-2018</v>
      </c>
      <c r="G1816" s="21" t="s">
        <v>20</v>
      </c>
      <c r="H1816" s="25" t="s">
        <v>273</v>
      </c>
      <c r="I1816" s="80" t="s">
        <v>716</v>
      </c>
      <c r="J1816" s="25" t="s">
        <v>64</v>
      </c>
      <c r="K1816" s="119" t="s">
        <v>9</v>
      </c>
      <c r="L1816" s="25" t="s">
        <v>24</v>
      </c>
      <c r="M1816" s="25" t="s">
        <v>30</v>
      </c>
      <c r="N1816" s="25" t="s">
        <v>98</v>
      </c>
      <c r="O1816" s="25">
        <v>10.0</v>
      </c>
      <c r="P1816" s="25" t="s">
        <v>596</v>
      </c>
      <c r="Q1816" s="99"/>
    </row>
    <row r="1817">
      <c r="A1817" s="168">
        <v>43106.0</v>
      </c>
      <c r="B1817" s="134" t="s">
        <v>609</v>
      </c>
      <c r="C1817" s="134" t="s">
        <v>84</v>
      </c>
      <c r="D1817" s="133" t="s">
        <v>725</v>
      </c>
      <c r="E1817" s="240">
        <v>43106.0</v>
      </c>
      <c r="F1817" s="13" t="str">
        <f t="shared" si="168"/>
        <v>Jan-2018</v>
      </c>
      <c r="G1817" s="21" t="s">
        <v>25</v>
      </c>
      <c r="H1817" s="25" t="s">
        <v>273</v>
      </c>
      <c r="I1817" s="80" t="s">
        <v>716</v>
      </c>
      <c r="J1817" s="25" t="s">
        <v>44</v>
      </c>
      <c r="K1817" s="119" t="s">
        <v>9</v>
      </c>
      <c r="L1817" s="25" t="s">
        <v>30</v>
      </c>
      <c r="M1817" s="25"/>
      <c r="N1817" s="25" t="s">
        <v>106</v>
      </c>
      <c r="O1817" s="25">
        <v>10.0</v>
      </c>
      <c r="P1817" s="25" t="s">
        <v>596</v>
      </c>
      <c r="Q1817" s="99"/>
    </row>
    <row r="1818">
      <c r="A1818" s="134" t="s">
        <v>84</v>
      </c>
      <c r="B1818" s="134" t="s">
        <v>609</v>
      </c>
      <c r="C1818" s="134" t="s">
        <v>84</v>
      </c>
      <c r="D1818" s="133" t="s">
        <v>725</v>
      </c>
      <c r="E1818" s="240">
        <v>43106.0</v>
      </c>
      <c r="F1818" s="13" t="str">
        <f t="shared" si="168"/>
        <v>Jan-2018</v>
      </c>
      <c r="G1818" s="119" t="s">
        <v>32</v>
      </c>
      <c r="H1818" s="25" t="s">
        <v>273</v>
      </c>
      <c r="I1818" s="80" t="s">
        <v>716</v>
      </c>
      <c r="J1818" s="25" t="s">
        <v>64</v>
      </c>
      <c r="K1818" s="119" t="s">
        <v>9</v>
      </c>
      <c r="L1818" s="25" t="s">
        <v>30</v>
      </c>
      <c r="M1818" s="25"/>
      <c r="N1818" s="25" t="s">
        <v>99</v>
      </c>
      <c r="O1818" s="25">
        <v>10.0</v>
      </c>
      <c r="P1818" s="25" t="s">
        <v>596</v>
      </c>
      <c r="Q1818" s="99"/>
    </row>
    <row r="1819">
      <c r="A1819" s="176" t="s">
        <v>727</v>
      </c>
      <c r="B1819" s="134" t="s">
        <v>609</v>
      </c>
      <c r="C1819" s="134" t="s">
        <v>84</v>
      </c>
      <c r="D1819" s="133" t="s">
        <v>725</v>
      </c>
      <c r="E1819" s="240">
        <v>43106.0</v>
      </c>
      <c r="F1819" s="13" t="str">
        <f t="shared" si="168"/>
        <v>Jan-2018</v>
      </c>
      <c r="G1819" s="13" t="s">
        <v>20</v>
      </c>
      <c r="H1819" s="16" t="s">
        <v>273</v>
      </c>
      <c r="I1819" s="48" t="s">
        <v>346</v>
      </c>
      <c r="J1819" s="16" t="s">
        <v>44</v>
      </c>
      <c r="K1819" s="16" t="s">
        <v>9</v>
      </c>
      <c r="L1819" s="16" t="s">
        <v>30</v>
      </c>
      <c r="M1819" s="16" t="s">
        <v>30</v>
      </c>
      <c r="N1819" s="16" t="s">
        <v>69</v>
      </c>
      <c r="O1819" s="101"/>
      <c r="P1819" s="101"/>
      <c r="Q1819" s="102"/>
    </row>
    <row r="1820">
      <c r="A1820" s="134" t="s">
        <v>728</v>
      </c>
      <c r="B1820" s="134" t="s">
        <v>609</v>
      </c>
      <c r="C1820" s="134" t="s">
        <v>84</v>
      </c>
      <c r="D1820" s="133" t="s">
        <v>725</v>
      </c>
      <c r="E1820" s="240">
        <v>43106.0</v>
      </c>
      <c r="F1820" s="13" t="str">
        <f t="shared" si="168"/>
        <v>Jan-2018</v>
      </c>
      <c r="G1820" s="13" t="s">
        <v>25</v>
      </c>
      <c r="H1820" s="16" t="s">
        <v>273</v>
      </c>
      <c r="I1820" s="48" t="s">
        <v>346</v>
      </c>
      <c r="J1820" s="16" t="s">
        <v>44</v>
      </c>
      <c r="K1820" s="16" t="s">
        <v>9</v>
      </c>
      <c r="L1820" s="16" t="s">
        <v>30</v>
      </c>
      <c r="M1820" s="16"/>
      <c r="N1820" s="16" t="s">
        <v>69</v>
      </c>
      <c r="O1820" s="101"/>
      <c r="P1820" s="101"/>
      <c r="Q1820" s="102"/>
    </row>
    <row r="1821">
      <c r="A1821" s="176" t="s">
        <v>729</v>
      </c>
      <c r="B1821" s="134" t="s">
        <v>609</v>
      </c>
      <c r="C1821" s="134" t="s">
        <v>84</v>
      </c>
      <c r="D1821" s="133" t="s">
        <v>725</v>
      </c>
      <c r="E1821" s="240">
        <v>43106.0</v>
      </c>
      <c r="F1821" s="13" t="str">
        <f t="shared" si="168"/>
        <v>Jan-2018</v>
      </c>
      <c r="G1821" s="119" t="s">
        <v>146</v>
      </c>
      <c r="H1821" s="119" t="s">
        <v>35</v>
      </c>
      <c r="I1821" s="80" t="s">
        <v>450</v>
      </c>
      <c r="J1821" s="25" t="s">
        <v>9</v>
      </c>
      <c r="K1821" s="119" t="s">
        <v>9</v>
      </c>
      <c r="L1821" s="25" t="s">
        <v>24</v>
      </c>
      <c r="M1821" s="25" t="s">
        <v>24</v>
      </c>
      <c r="N1821" s="25" t="s">
        <v>69</v>
      </c>
      <c r="Q1821" s="99"/>
    </row>
    <row r="1822">
      <c r="A1822" s="140"/>
      <c r="B1822" s="134" t="s">
        <v>609</v>
      </c>
      <c r="C1822" s="134" t="s">
        <v>84</v>
      </c>
      <c r="D1822" s="133" t="s">
        <v>725</v>
      </c>
      <c r="E1822" s="240">
        <v>43106.0</v>
      </c>
      <c r="F1822" s="13" t="str">
        <f t="shared" si="168"/>
        <v>Jan-2018</v>
      </c>
      <c r="G1822" s="119" t="s">
        <v>149</v>
      </c>
      <c r="H1822" s="119" t="s">
        <v>35</v>
      </c>
      <c r="I1822" s="80" t="s">
        <v>450</v>
      </c>
      <c r="J1822" s="25" t="s">
        <v>9</v>
      </c>
      <c r="K1822" s="119" t="s">
        <v>9</v>
      </c>
      <c r="L1822" s="25" t="s">
        <v>24</v>
      </c>
      <c r="M1822" s="25"/>
      <c r="N1822" s="25" t="s">
        <v>106</v>
      </c>
      <c r="Q1822" s="99"/>
    </row>
    <row r="1823">
      <c r="A1823" s="140"/>
      <c r="B1823" s="134" t="s">
        <v>609</v>
      </c>
      <c r="C1823" s="134" t="s">
        <v>84</v>
      </c>
      <c r="D1823" s="133" t="s">
        <v>725</v>
      </c>
      <c r="E1823" s="240">
        <v>43106.0</v>
      </c>
      <c r="F1823" s="13" t="str">
        <f t="shared" si="168"/>
        <v>Jan-2018</v>
      </c>
      <c r="G1823" s="119" t="s">
        <v>222</v>
      </c>
      <c r="H1823" s="119" t="s">
        <v>35</v>
      </c>
      <c r="I1823" s="80" t="s">
        <v>450</v>
      </c>
      <c r="J1823" s="25" t="s">
        <v>9</v>
      </c>
      <c r="K1823" s="119" t="s">
        <v>9</v>
      </c>
      <c r="L1823" s="25" t="s">
        <v>24</v>
      </c>
      <c r="M1823" s="25"/>
      <c r="N1823" s="25" t="s">
        <v>106</v>
      </c>
      <c r="Q1823" s="99"/>
    </row>
    <row r="1824">
      <c r="A1824" s="140"/>
      <c r="B1824" s="134" t="s">
        <v>609</v>
      </c>
      <c r="C1824" s="134" t="s">
        <v>84</v>
      </c>
      <c r="D1824" s="133" t="s">
        <v>725</v>
      </c>
      <c r="E1824" s="240">
        <v>43106.0</v>
      </c>
      <c r="F1824" s="13" t="str">
        <f t="shared" si="168"/>
        <v>Jan-2018</v>
      </c>
      <c r="G1824" s="16" t="s">
        <v>146</v>
      </c>
      <c r="H1824" s="16" t="s">
        <v>35</v>
      </c>
      <c r="I1824" s="48" t="s">
        <v>364</v>
      </c>
      <c r="J1824" s="16" t="s">
        <v>86</v>
      </c>
      <c r="K1824" s="16" t="s">
        <v>9</v>
      </c>
      <c r="L1824" s="16" t="s">
        <v>30</v>
      </c>
      <c r="M1824" s="16" t="s">
        <v>24</v>
      </c>
      <c r="N1824" s="16" t="s">
        <v>69</v>
      </c>
      <c r="O1824" s="101"/>
      <c r="P1824" s="101"/>
      <c r="Q1824" s="102"/>
    </row>
    <row r="1825">
      <c r="A1825" s="140"/>
      <c r="B1825" s="134" t="s">
        <v>609</v>
      </c>
      <c r="C1825" s="134" t="s">
        <v>84</v>
      </c>
      <c r="D1825" s="133" t="s">
        <v>725</v>
      </c>
      <c r="E1825" s="240">
        <v>43106.0</v>
      </c>
      <c r="F1825" s="13" t="str">
        <f t="shared" si="168"/>
        <v>Jan-2018</v>
      </c>
      <c r="G1825" s="16" t="s">
        <v>149</v>
      </c>
      <c r="H1825" s="16" t="s">
        <v>35</v>
      </c>
      <c r="I1825" s="48" t="s">
        <v>364</v>
      </c>
      <c r="J1825" s="16" t="s">
        <v>86</v>
      </c>
      <c r="K1825" s="16" t="s">
        <v>9</v>
      </c>
      <c r="L1825" s="16" t="s">
        <v>24</v>
      </c>
      <c r="M1825" s="16"/>
      <c r="N1825" s="16" t="s">
        <v>98</v>
      </c>
      <c r="O1825" s="101"/>
      <c r="P1825" s="101"/>
      <c r="Q1825" s="102"/>
    </row>
    <row r="1826">
      <c r="A1826" s="140"/>
      <c r="B1826" s="134" t="s">
        <v>609</v>
      </c>
      <c r="C1826" s="134" t="s">
        <v>84</v>
      </c>
      <c r="D1826" s="133" t="s">
        <v>725</v>
      </c>
      <c r="E1826" s="240">
        <v>43106.0</v>
      </c>
      <c r="F1826" s="13" t="str">
        <f t="shared" si="168"/>
        <v>Jan-2018</v>
      </c>
      <c r="G1826" s="16" t="s">
        <v>222</v>
      </c>
      <c r="H1826" s="16" t="s">
        <v>35</v>
      </c>
      <c r="I1826" s="48" t="s">
        <v>364</v>
      </c>
      <c r="J1826" s="16" t="s">
        <v>86</v>
      </c>
      <c r="K1826" s="16" t="s">
        <v>9</v>
      </c>
      <c r="L1826" s="16" t="s">
        <v>24</v>
      </c>
      <c r="M1826" s="16"/>
      <c r="N1826" s="16" t="s">
        <v>29</v>
      </c>
      <c r="O1826" s="101"/>
      <c r="P1826" s="101"/>
      <c r="Q1826" s="102"/>
    </row>
    <row r="1827">
      <c r="A1827" s="141"/>
      <c r="B1827" s="134" t="s">
        <v>609</v>
      </c>
      <c r="C1827" s="134" t="s">
        <v>84</v>
      </c>
      <c r="D1827" s="133" t="s">
        <v>725</v>
      </c>
      <c r="E1827" s="241">
        <v>43106.0</v>
      </c>
      <c r="F1827" s="35" t="str">
        <f t="shared" si="168"/>
        <v>Jan-2018</v>
      </c>
      <c r="G1827" s="38" t="s">
        <v>467</v>
      </c>
      <c r="H1827" s="38" t="s">
        <v>35</v>
      </c>
      <c r="I1827" s="122" t="s">
        <v>364</v>
      </c>
      <c r="J1827" s="38" t="s">
        <v>86</v>
      </c>
      <c r="K1827" s="38" t="s">
        <v>9</v>
      </c>
      <c r="L1827" s="38" t="s">
        <v>24</v>
      </c>
      <c r="M1827" s="38"/>
      <c r="N1827" s="38" t="s">
        <v>29</v>
      </c>
      <c r="O1827" s="105"/>
      <c r="P1827" s="105"/>
      <c r="Q1827" s="106"/>
    </row>
    <row r="1828">
      <c r="A1828" s="107"/>
      <c r="B1828" s="95"/>
      <c r="C1828" s="95"/>
      <c r="D1828" s="95"/>
      <c r="E1828" s="95"/>
      <c r="I1828" s="23"/>
      <c r="K1828" s="119"/>
    </row>
    <row r="1829">
      <c r="A1829" s="133" t="s">
        <v>730</v>
      </c>
      <c r="B1829" s="134" t="s">
        <v>18</v>
      </c>
      <c r="C1829" s="134" t="s">
        <v>74</v>
      </c>
      <c r="D1829" s="133" t="s">
        <v>730</v>
      </c>
      <c r="E1829" s="239">
        <v>43107.0</v>
      </c>
      <c r="F1829" s="110" t="str">
        <f t="shared" ref="F1829:F1837" si="169">TEXT(E1821:E1829, "mmm") &amp; "-" &amp; TEXT(E1821:E1829, "yyyy") </f>
        <v>Jan-2018</v>
      </c>
      <c r="G1829" s="70" t="s">
        <v>20</v>
      </c>
      <c r="H1829" s="218" t="s">
        <v>35</v>
      </c>
      <c r="I1829" s="86" t="s">
        <v>731</v>
      </c>
      <c r="J1829" s="73" t="s">
        <v>27</v>
      </c>
      <c r="K1829" s="218" t="s">
        <v>9</v>
      </c>
      <c r="L1829" s="73" t="s">
        <v>30</v>
      </c>
      <c r="M1829" s="73" t="s">
        <v>30</v>
      </c>
      <c r="N1829" s="73" t="s">
        <v>69</v>
      </c>
      <c r="O1829" s="165"/>
      <c r="P1829" s="165"/>
      <c r="Q1829" s="166"/>
    </row>
    <row r="1830">
      <c r="A1830" s="134" t="s">
        <v>18</v>
      </c>
      <c r="B1830" s="134" t="s">
        <v>18</v>
      </c>
      <c r="C1830" s="134" t="s">
        <v>74</v>
      </c>
      <c r="D1830" s="133" t="s">
        <v>730</v>
      </c>
      <c r="E1830" s="240">
        <v>43107.0</v>
      </c>
      <c r="F1830" s="13" t="str">
        <f t="shared" si="169"/>
        <v>Jan-2018</v>
      </c>
      <c r="G1830" s="21" t="s">
        <v>25</v>
      </c>
      <c r="H1830" s="119" t="s">
        <v>35</v>
      </c>
      <c r="I1830" s="80" t="s">
        <v>731</v>
      </c>
      <c r="J1830" s="25" t="s">
        <v>23</v>
      </c>
      <c r="K1830" s="119" t="s">
        <v>9</v>
      </c>
      <c r="L1830" s="25" t="s">
        <v>30</v>
      </c>
      <c r="M1830" s="25"/>
      <c r="N1830" s="25" t="s">
        <v>37</v>
      </c>
      <c r="Q1830" s="99"/>
    </row>
    <row r="1831">
      <c r="A1831" s="134" t="s">
        <v>732</v>
      </c>
      <c r="B1831" s="134" t="s">
        <v>18</v>
      </c>
      <c r="C1831" s="134" t="s">
        <v>74</v>
      </c>
      <c r="D1831" s="133" t="s">
        <v>730</v>
      </c>
      <c r="E1831" s="240">
        <v>43107.0</v>
      </c>
      <c r="F1831" s="13" t="str">
        <f t="shared" si="169"/>
        <v>Jan-2018</v>
      </c>
      <c r="G1831" s="13" t="s">
        <v>20</v>
      </c>
      <c r="H1831" s="16" t="s">
        <v>35</v>
      </c>
      <c r="I1831" s="48" t="s">
        <v>409</v>
      </c>
      <c r="J1831" s="16" t="s">
        <v>27</v>
      </c>
      <c r="K1831" s="16" t="s">
        <v>9</v>
      </c>
      <c r="L1831" s="16" t="s">
        <v>30</v>
      </c>
      <c r="M1831" s="16" t="s">
        <v>30</v>
      </c>
      <c r="N1831" s="16" t="s">
        <v>69</v>
      </c>
      <c r="O1831" s="101"/>
      <c r="P1831" s="101"/>
      <c r="Q1831" s="102"/>
    </row>
    <row r="1832">
      <c r="A1832" s="168">
        <v>43107.0</v>
      </c>
      <c r="B1832" s="134" t="s">
        <v>18</v>
      </c>
      <c r="C1832" s="134" t="s">
        <v>74</v>
      </c>
      <c r="D1832" s="133" t="s">
        <v>730</v>
      </c>
      <c r="E1832" s="240">
        <v>43107.0</v>
      </c>
      <c r="F1832" s="13" t="str">
        <f t="shared" si="169"/>
        <v>Jan-2018</v>
      </c>
      <c r="G1832" s="13" t="s">
        <v>25</v>
      </c>
      <c r="H1832" s="16" t="s">
        <v>35</v>
      </c>
      <c r="I1832" s="48" t="s">
        <v>409</v>
      </c>
      <c r="J1832" s="16" t="s">
        <v>27</v>
      </c>
      <c r="K1832" s="16" t="s">
        <v>9</v>
      </c>
      <c r="L1832" s="16" t="s">
        <v>30</v>
      </c>
      <c r="M1832" s="16"/>
      <c r="N1832" s="16" t="s">
        <v>99</v>
      </c>
      <c r="O1832" s="101"/>
      <c r="P1832" s="101"/>
      <c r="Q1832" s="102"/>
    </row>
    <row r="1833">
      <c r="A1833" s="134" t="s">
        <v>74</v>
      </c>
      <c r="B1833" s="134" t="s">
        <v>18</v>
      </c>
      <c r="C1833" s="134" t="s">
        <v>74</v>
      </c>
      <c r="D1833" s="133" t="s">
        <v>730</v>
      </c>
      <c r="E1833" s="240">
        <v>43107.0</v>
      </c>
      <c r="F1833" s="13" t="str">
        <f t="shared" si="169"/>
        <v>Jan-2018</v>
      </c>
      <c r="G1833" s="21" t="s">
        <v>20</v>
      </c>
      <c r="H1833" s="119" t="s">
        <v>35</v>
      </c>
      <c r="I1833" s="80" t="s">
        <v>716</v>
      </c>
      <c r="J1833" s="25" t="s">
        <v>64</v>
      </c>
      <c r="K1833" s="119" t="s">
        <v>9</v>
      </c>
      <c r="L1833" s="25" t="s">
        <v>24</v>
      </c>
      <c r="M1833" s="25" t="s">
        <v>24</v>
      </c>
      <c r="N1833" s="25" t="s">
        <v>98</v>
      </c>
      <c r="Q1833" s="99"/>
    </row>
    <row r="1834">
      <c r="A1834" s="176" t="s">
        <v>733</v>
      </c>
      <c r="B1834" s="134" t="s">
        <v>18</v>
      </c>
      <c r="C1834" s="134" t="s">
        <v>74</v>
      </c>
      <c r="D1834" s="133" t="s">
        <v>730</v>
      </c>
      <c r="E1834" s="240">
        <v>43107.0</v>
      </c>
      <c r="F1834" s="13" t="str">
        <f t="shared" si="169"/>
        <v>Jan-2018</v>
      </c>
      <c r="G1834" s="21" t="s">
        <v>25</v>
      </c>
      <c r="H1834" s="119" t="s">
        <v>35</v>
      </c>
      <c r="I1834" s="80" t="s">
        <v>716</v>
      </c>
      <c r="J1834" s="25" t="s">
        <v>9</v>
      </c>
      <c r="K1834" s="119" t="s">
        <v>9</v>
      </c>
      <c r="L1834" s="25" t="s">
        <v>24</v>
      </c>
      <c r="M1834" s="25"/>
      <c r="N1834" s="25" t="s">
        <v>29</v>
      </c>
      <c r="Q1834" s="99"/>
    </row>
    <row r="1835">
      <c r="A1835" s="140"/>
      <c r="B1835" s="134" t="s">
        <v>18</v>
      </c>
      <c r="C1835" s="134" t="s">
        <v>74</v>
      </c>
      <c r="D1835" s="133" t="s">
        <v>730</v>
      </c>
      <c r="E1835" s="240">
        <v>43107.0</v>
      </c>
      <c r="F1835" s="13" t="str">
        <f t="shared" si="169"/>
        <v>Jan-2018</v>
      </c>
      <c r="G1835" s="13" t="s">
        <v>20</v>
      </c>
      <c r="H1835" s="16" t="s">
        <v>35</v>
      </c>
      <c r="I1835" s="48" t="s">
        <v>93</v>
      </c>
      <c r="J1835" s="16" t="s">
        <v>23</v>
      </c>
      <c r="K1835" s="16" t="s">
        <v>9</v>
      </c>
      <c r="L1835" s="16" t="s">
        <v>24</v>
      </c>
      <c r="M1835" s="16" t="s">
        <v>24</v>
      </c>
      <c r="N1835" s="16" t="s">
        <v>69</v>
      </c>
      <c r="O1835" s="101"/>
      <c r="P1835" s="101"/>
      <c r="Q1835" s="102"/>
    </row>
    <row r="1836">
      <c r="A1836" s="140"/>
      <c r="B1836" s="134" t="s">
        <v>18</v>
      </c>
      <c r="C1836" s="134" t="s">
        <v>74</v>
      </c>
      <c r="D1836" s="133" t="s">
        <v>730</v>
      </c>
      <c r="E1836" s="240">
        <v>43107.0</v>
      </c>
      <c r="F1836" s="13" t="str">
        <f t="shared" si="169"/>
        <v>Jan-2018</v>
      </c>
      <c r="G1836" s="13" t="s">
        <v>25</v>
      </c>
      <c r="H1836" s="16" t="s">
        <v>35</v>
      </c>
      <c r="I1836" s="48" t="s">
        <v>93</v>
      </c>
      <c r="J1836" s="16" t="s">
        <v>23</v>
      </c>
      <c r="K1836" s="16" t="s">
        <v>9</v>
      </c>
      <c r="L1836" s="16" t="s">
        <v>30</v>
      </c>
      <c r="M1836" s="16"/>
      <c r="N1836" s="16" t="s">
        <v>99</v>
      </c>
      <c r="O1836" s="101"/>
      <c r="P1836" s="101"/>
      <c r="Q1836" s="102"/>
    </row>
    <row r="1837">
      <c r="A1837" s="141"/>
      <c r="B1837" s="134" t="s">
        <v>18</v>
      </c>
      <c r="C1837" s="134" t="s">
        <v>74</v>
      </c>
      <c r="D1837" s="133" t="s">
        <v>730</v>
      </c>
      <c r="E1837" s="241">
        <v>43107.0</v>
      </c>
      <c r="F1837" s="35" t="str">
        <f t="shared" si="169"/>
        <v>Jan-2018</v>
      </c>
      <c r="G1837" s="38" t="s">
        <v>32</v>
      </c>
      <c r="H1837" s="38" t="s">
        <v>35</v>
      </c>
      <c r="I1837" s="122" t="s">
        <v>93</v>
      </c>
      <c r="J1837" s="38" t="s">
        <v>23</v>
      </c>
      <c r="K1837" s="38" t="s">
        <v>9</v>
      </c>
      <c r="L1837" s="38" t="s">
        <v>24</v>
      </c>
      <c r="M1837" s="38"/>
      <c r="N1837" s="38" t="s">
        <v>37</v>
      </c>
      <c r="O1837" s="105"/>
      <c r="P1837" s="105"/>
      <c r="Q1837" s="106"/>
    </row>
    <row r="1838">
      <c r="A1838" s="259"/>
      <c r="B1838" s="95"/>
      <c r="C1838" s="95"/>
      <c r="D1838" s="95"/>
      <c r="E1838" s="95"/>
      <c r="I1838" s="23"/>
    </row>
    <row r="1839">
      <c r="A1839" s="133" t="s">
        <v>734</v>
      </c>
      <c r="B1839" s="134" t="s">
        <v>34</v>
      </c>
      <c r="C1839" s="134" t="s">
        <v>74</v>
      </c>
      <c r="D1839" s="133" t="s">
        <v>734</v>
      </c>
      <c r="E1839" s="260">
        <v>43111.0</v>
      </c>
      <c r="F1839" s="110" t="str">
        <f t="shared" ref="F1839:F1853" si="170">TEXT(E1831:E1839, "mmm") &amp; "-" &amp; TEXT(E1831:E1839, "yyyy") </f>
        <v>Jan-2018</v>
      </c>
      <c r="G1839" s="70" t="s">
        <v>20</v>
      </c>
      <c r="H1839" s="218" t="s">
        <v>35</v>
      </c>
      <c r="I1839" s="86" t="s">
        <v>735</v>
      </c>
      <c r="J1839" s="73" t="s">
        <v>23</v>
      </c>
      <c r="K1839" s="73" t="s">
        <v>9</v>
      </c>
      <c r="L1839" s="73" t="s">
        <v>30</v>
      </c>
      <c r="M1839" s="73" t="s">
        <v>30</v>
      </c>
      <c r="N1839" s="73" t="s">
        <v>37</v>
      </c>
      <c r="O1839" s="165"/>
      <c r="P1839" s="165"/>
      <c r="Q1839" s="166"/>
    </row>
    <row r="1840">
      <c r="A1840" s="134" t="s">
        <v>34</v>
      </c>
      <c r="B1840" s="134" t="s">
        <v>34</v>
      </c>
      <c r="C1840" s="134" t="s">
        <v>74</v>
      </c>
      <c r="D1840" s="133" t="s">
        <v>734</v>
      </c>
      <c r="E1840" s="261">
        <v>43111.0</v>
      </c>
      <c r="F1840" s="13" t="str">
        <f t="shared" si="170"/>
        <v>Jan-2018</v>
      </c>
      <c r="G1840" s="21" t="s">
        <v>25</v>
      </c>
      <c r="H1840" s="119" t="s">
        <v>35</v>
      </c>
      <c r="I1840" s="80" t="s">
        <v>735</v>
      </c>
      <c r="J1840" s="25" t="s">
        <v>23</v>
      </c>
      <c r="K1840" s="25" t="s">
        <v>9</v>
      </c>
      <c r="L1840" s="25" t="s">
        <v>30</v>
      </c>
      <c r="M1840" s="25"/>
      <c r="N1840" s="25" t="s">
        <v>37</v>
      </c>
      <c r="Q1840" s="99"/>
    </row>
    <row r="1841">
      <c r="A1841" s="134" t="s">
        <v>736</v>
      </c>
      <c r="B1841" s="134" t="s">
        <v>34</v>
      </c>
      <c r="C1841" s="134" t="s">
        <v>74</v>
      </c>
      <c r="D1841" s="133" t="s">
        <v>734</v>
      </c>
      <c r="E1841" s="261">
        <v>43111.0</v>
      </c>
      <c r="F1841" s="13" t="str">
        <f t="shared" si="170"/>
        <v>Jan-2018</v>
      </c>
      <c r="G1841" s="13" t="s">
        <v>20</v>
      </c>
      <c r="H1841" s="16" t="s">
        <v>35</v>
      </c>
      <c r="I1841" s="48" t="s">
        <v>493</v>
      </c>
      <c r="J1841" s="16" t="s">
        <v>44</v>
      </c>
      <c r="K1841" s="16" t="s">
        <v>9</v>
      </c>
      <c r="L1841" s="16" t="s">
        <v>24</v>
      </c>
      <c r="M1841" s="16" t="s">
        <v>24</v>
      </c>
      <c r="N1841" s="16" t="s">
        <v>98</v>
      </c>
      <c r="O1841" s="101"/>
      <c r="P1841" s="101"/>
      <c r="Q1841" s="102"/>
    </row>
    <row r="1842">
      <c r="A1842" s="189">
        <v>43111.0</v>
      </c>
      <c r="B1842" s="134" t="s">
        <v>34</v>
      </c>
      <c r="C1842" s="134" t="s">
        <v>74</v>
      </c>
      <c r="D1842" s="133" t="s">
        <v>734</v>
      </c>
      <c r="E1842" s="261">
        <v>43111.0</v>
      </c>
      <c r="F1842" s="13" t="str">
        <f t="shared" si="170"/>
        <v>Jan-2018</v>
      </c>
      <c r="G1842" s="13" t="s">
        <v>25</v>
      </c>
      <c r="H1842" s="16" t="s">
        <v>35</v>
      </c>
      <c r="I1842" s="48" t="s">
        <v>493</v>
      </c>
      <c r="J1842" s="16" t="s">
        <v>44</v>
      </c>
      <c r="K1842" s="16" t="s">
        <v>9</v>
      </c>
      <c r="L1842" s="16" t="s">
        <v>24</v>
      </c>
      <c r="M1842" s="16"/>
      <c r="N1842" s="16" t="s">
        <v>106</v>
      </c>
      <c r="O1842" s="101"/>
      <c r="P1842" s="101"/>
      <c r="Q1842" s="102"/>
    </row>
    <row r="1843">
      <c r="A1843" s="134" t="s">
        <v>74</v>
      </c>
      <c r="B1843" s="134" t="s">
        <v>34</v>
      </c>
      <c r="C1843" s="134" t="s">
        <v>74</v>
      </c>
      <c r="D1843" s="133" t="s">
        <v>734</v>
      </c>
      <c r="E1843" s="261">
        <v>43111.0</v>
      </c>
      <c r="F1843" s="13" t="str">
        <f t="shared" si="170"/>
        <v>Jan-2018</v>
      </c>
      <c r="G1843" s="21" t="s">
        <v>20</v>
      </c>
      <c r="H1843" s="119" t="s">
        <v>35</v>
      </c>
      <c r="I1843" s="80" t="s">
        <v>431</v>
      </c>
      <c r="J1843" s="25" t="s">
        <v>23</v>
      </c>
      <c r="K1843" s="25" t="s">
        <v>9</v>
      </c>
      <c r="L1843" s="25" t="s">
        <v>30</v>
      </c>
      <c r="M1843" s="25" t="s">
        <v>30</v>
      </c>
      <c r="N1843" s="25" t="s">
        <v>69</v>
      </c>
      <c r="Q1843" s="99"/>
    </row>
    <row r="1844">
      <c r="A1844" s="176" t="s">
        <v>737</v>
      </c>
      <c r="B1844" s="134" t="s">
        <v>34</v>
      </c>
      <c r="C1844" s="134" t="s">
        <v>74</v>
      </c>
      <c r="D1844" s="133" t="s">
        <v>734</v>
      </c>
      <c r="E1844" s="261">
        <v>43111.0</v>
      </c>
      <c r="F1844" s="13" t="str">
        <f t="shared" si="170"/>
        <v>Jan-2018</v>
      </c>
      <c r="G1844" s="21" t="s">
        <v>25</v>
      </c>
      <c r="H1844" s="119" t="s">
        <v>35</v>
      </c>
      <c r="I1844" s="80" t="s">
        <v>431</v>
      </c>
      <c r="J1844" s="25" t="s">
        <v>23</v>
      </c>
      <c r="K1844" s="25" t="s">
        <v>9</v>
      </c>
      <c r="L1844" s="25" t="s">
        <v>30</v>
      </c>
      <c r="M1844" s="25"/>
      <c r="N1844" s="25" t="s">
        <v>69</v>
      </c>
      <c r="Q1844" s="99"/>
    </row>
    <row r="1845">
      <c r="A1845" s="140"/>
      <c r="B1845" s="134" t="s">
        <v>34</v>
      </c>
      <c r="C1845" s="134" t="s">
        <v>74</v>
      </c>
      <c r="D1845" s="133" t="s">
        <v>734</v>
      </c>
      <c r="E1845" s="261">
        <v>43111.0</v>
      </c>
      <c r="F1845" s="13" t="str">
        <f t="shared" si="170"/>
        <v>Jan-2018</v>
      </c>
      <c r="G1845" s="16" t="s">
        <v>146</v>
      </c>
      <c r="H1845" s="16" t="s">
        <v>35</v>
      </c>
      <c r="I1845" s="48" t="s">
        <v>665</v>
      </c>
      <c r="J1845" s="16" t="s">
        <v>86</v>
      </c>
      <c r="K1845" s="16" t="s">
        <v>9</v>
      </c>
      <c r="L1845" s="16" t="s">
        <v>30</v>
      </c>
      <c r="M1845" s="16" t="s">
        <v>30</v>
      </c>
      <c r="N1845" s="16" t="s">
        <v>69</v>
      </c>
      <c r="O1845" s="101"/>
      <c r="P1845" s="101"/>
      <c r="Q1845" s="102"/>
    </row>
    <row r="1846">
      <c r="A1846" s="140"/>
      <c r="B1846" s="134" t="s">
        <v>34</v>
      </c>
      <c r="C1846" s="134" t="s">
        <v>74</v>
      </c>
      <c r="D1846" s="133" t="s">
        <v>734</v>
      </c>
      <c r="E1846" s="261">
        <v>43111.0</v>
      </c>
      <c r="F1846" s="13" t="str">
        <f t="shared" si="170"/>
        <v>Jan-2018</v>
      </c>
      <c r="G1846" s="16" t="s">
        <v>149</v>
      </c>
      <c r="H1846" s="16" t="s">
        <v>35</v>
      </c>
      <c r="I1846" s="48" t="s">
        <v>665</v>
      </c>
      <c r="J1846" s="16" t="s">
        <v>86</v>
      </c>
      <c r="K1846" s="16" t="s">
        <v>9</v>
      </c>
      <c r="L1846" s="16" t="s">
        <v>24</v>
      </c>
      <c r="M1846" s="16"/>
      <c r="N1846" s="16" t="s">
        <v>37</v>
      </c>
      <c r="O1846" s="101"/>
      <c r="P1846" s="101"/>
      <c r="Q1846" s="102"/>
    </row>
    <row r="1847">
      <c r="A1847" s="140"/>
      <c r="B1847" s="134" t="s">
        <v>34</v>
      </c>
      <c r="C1847" s="134" t="s">
        <v>74</v>
      </c>
      <c r="D1847" s="133" t="s">
        <v>734</v>
      </c>
      <c r="E1847" s="261">
        <v>43111.0</v>
      </c>
      <c r="F1847" s="13" t="str">
        <f t="shared" si="170"/>
        <v>Jan-2018</v>
      </c>
      <c r="G1847" s="16" t="s">
        <v>222</v>
      </c>
      <c r="H1847" s="16" t="s">
        <v>35</v>
      </c>
      <c r="I1847" s="48" t="s">
        <v>665</v>
      </c>
      <c r="J1847" s="16" t="s">
        <v>86</v>
      </c>
      <c r="K1847" s="16" t="s">
        <v>9</v>
      </c>
      <c r="L1847" s="16" t="s">
        <v>30</v>
      </c>
      <c r="M1847" s="16"/>
      <c r="N1847" s="16" t="s">
        <v>29</v>
      </c>
      <c r="O1847" s="101"/>
      <c r="P1847" s="101"/>
      <c r="Q1847" s="102"/>
    </row>
    <row r="1848">
      <c r="A1848" s="140"/>
      <c r="B1848" s="134" t="s">
        <v>34</v>
      </c>
      <c r="C1848" s="134" t="s">
        <v>74</v>
      </c>
      <c r="D1848" s="133" t="s">
        <v>734</v>
      </c>
      <c r="E1848" s="261">
        <v>43111.0</v>
      </c>
      <c r="F1848" s="13" t="str">
        <f t="shared" si="170"/>
        <v>Jan-2018</v>
      </c>
      <c r="G1848" s="16" t="s">
        <v>467</v>
      </c>
      <c r="H1848" s="16" t="s">
        <v>35</v>
      </c>
      <c r="I1848" s="48" t="s">
        <v>665</v>
      </c>
      <c r="J1848" s="16" t="s">
        <v>86</v>
      </c>
      <c r="K1848" s="16" t="s">
        <v>9</v>
      </c>
      <c r="L1848" s="16" t="s">
        <v>30</v>
      </c>
      <c r="M1848" s="16"/>
      <c r="N1848" s="16" t="s">
        <v>98</v>
      </c>
      <c r="O1848" s="101"/>
      <c r="P1848" s="101"/>
      <c r="Q1848" s="102"/>
    </row>
    <row r="1849">
      <c r="A1849" s="140"/>
      <c r="B1849" s="134" t="s">
        <v>34</v>
      </c>
      <c r="C1849" s="134" t="s">
        <v>74</v>
      </c>
      <c r="D1849" s="133" t="s">
        <v>734</v>
      </c>
      <c r="E1849" s="261">
        <v>43111.0</v>
      </c>
      <c r="F1849" s="13" t="str">
        <f t="shared" si="170"/>
        <v>Jan-2018</v>
      </c>
      <c r="G1849" s="119" t="s">
        <v>146</v>
      </c>
      <c r="H1849" s="119" t="s">
        <v>35</v>
      </c>
      <c r="I1849" s="80" t="s">
        <v>296</v>
      </c>
      <c r="J1849" s="25" t="s">
        <v>9</v>
      </c>
      <c r="K1849" s="25" t="s">
        <v>9</v>
      </c>
      <c r="L1849" s="25" t="s">
        <v>30</v>
      </c>
      <c r="M1849" s="25" t="s">
        <v>24</v>
      </c>
      <c r="N1849" s="25" t="s">
        <v>37</v>
      </c>
      <c r="Q1849" s="99"/>
    </row>
    <row r="1850">
      <c r="A1850" s="140"/>
      <c r="B1850" s="134" t="s">
        <v>34</v>
      </c>
      <c r="C1850" s="134" t="s">
        <v>74</v>
      </c>
      <c r="D1850" s="133" t="s">
        <v>734</v>
      </c>
      <c r="E1850" s="261">
        <v>43111.0</v>
      </c>
      <c r="F1850" s="13" t="str">
        <f t="shared" si="170"/>
        <v>Jan-2018</v>
      </c>
      <c r="G1850" s="119" t="s">
        <v>149</v>
      </c>
      <c r="H1850" s="119" t="s">
        <v>35</v>
      </c>
      <c r="I1850" s="80" t="s">
        <v>296</v>
      </c>
      <c r="J1850" s="25" t="s">
        <v>9</v>
      </c>
      <c r="K1850" s="25" t="s">
        <v>9</v>
      </c>
      <c r="L1850" s="25" t="s">
        <v>24</v>
      </c>
      <c r="M1850" s="25"/>
      <c r="N1850" s="25" t="s">
        <v>106</v>
      </c>
      <c r="Q1850" s="99"/>
    </row>
    <row r="1851">
      <c r="A1851" s="140"/>
      <c r="B1851" s="134" t="s">
        <v>34</v>
      </c>
      <c r="C1851" s="134" t="s">
        <v>74</v>
      </c>
      <c r="D1851" s="133" t="s">
        <v>734</v>
      </c>
      <c r="E1851" s="261">
        <v>43111.0</v>
      </c>
      <c r="F1851" s="13" t="str">
        <f t="shared" si="170"/>
        <v>Jan-2018</v>
      </c>
      <c r="G1851" s="119" t="s">
        <v>222</v>
      </c>
      <c r="H1851" s="119" t="s">
        <v>35</v>
      </c>
      <c r="I1851" s="80" t="s">
        <v>296</v>
      </c>
      <c r="J1851" s="25" t="s">
        <v>9</v>
      </c>
      <c r="K1851" s="25" t="s">
        <v>9</v>
      </c>
      <c r="L1851" s="25" t="s">
        <v>30</v>
      </c>
      <c r="M1851" s="25"/>
      <c r="N1851" s="25" t="s">
        <v>69</v>
      </c>
      <c r="Q1851" s="99"/>
    </row>
    <row r="1852">
      <c r="A1852" s="140"/>
      <c r="B1852" s="134" t="s">
        <v>34</v>
      </c>
      <c r="C1852" s="134" t="s">
        <v>74</v>
      </c>
      <c r="D1852" s="133" t="s">
        <v>734</v>
      </c>
      <c r="E1852" s="261">
        <v>43111.0</v>
      </c>
      <c r="F1852" s="13" t="str">
        <f t="shared" si="170"/>
        <v>Jan-2018</v>
      </c>
      <c r="G1852" s="25" t="s">
        <v>467</v>
      </c>
      <c r="H1852" s="119" t="s">
        <v>35</v>
      </c>
      <c r="I1852" s="80" t="s">
        <v>296</v>
      </c>
      <c r="J1852" s="25" t="s">
        <v>9</v>
      </c>
      <c r="K1852" s="25" t="s">
        <v>9</v>
      </c>
      <c r="L1852" s="25" t="s">
        <v>24</v>
      </c>
      <c r="M1852" s="25"/>
      <c r="N1852" s="25" t="s">
        <v>98</v>
      </c>
      <c r="Q1852" s="99"/>
    </row>
    <row r="1853">
      <c r="A1853" s="141"/>
      <c r="B1853" s="134" t="s">
        <v>34</v>
      </c>
      <c r="C1853" s="134" t="s">
        <v>74</v>
      </c>
      <c r="D1853" s="133" t="s">
        <v>734</v>
      </c>
      <c r="E1853" s="262">
        <v>43111.0</v>
      </c>
      <c r="F1853" s="35" t="str">
        <f t="shared" si="170"/>
        <v>Jan-2018</v>
      </c>
      <c r="G1853" s="55" t="s">
        <v>480</v>
      </c>
      <c r="H1853" s="114" t="s">
        <v>35</v>
      </c>
      <c r="I1853" s="113" t="s">
        <v>296</v>
      </c>
      <c r="J1853" s="55" t="s">
        <v>9</v>
      </c>
      <c r="K1853" s="55" t="s">
        <v>9</v>
      </c>
      <c r="L1853" s="55" t="s">
        <v>24</v>
      </c>
      <c r="M1853" s="55"/>
      <c r="N1853" s="55" t="s">
        <v>98</v>
      </c>
      <c r="O1853" s="143"/>
      <c r="P1853" s="143"/>
      <c r="Q1853" s="144"/>
    </row>
    <row r="1854">
      <c r="A1854" s="107"/>
      <c r="B1854" s="95"/>
      <c r="C1854" s="95"/>
      <c r="D1854" s="95"/>
      <c r="E1854" s="95"/>
      <c r="I1854" s="23"/>
    </row>
    <row r="1855">
      <c r="A1855" s="133" t="s">
        <v>738</v>
      </c>
      <c r="B1855" s="134" t="s">
        <v>18</v>
      </c>
      <c r="C1855" s="134" t="s">
        <v>19</v>
      </c>
      <c r="D1855" s="133" t="s">
        <v>738</v>
      </c>
      <c r="E1855" s="239">
        <v>43113.0</v>
      </c>
      <c r="F1855" s="110" t="str">
        <f t="shared" ref="F1855:F1870" si="171">TEXT(E1847:E1855, "mmm") &amp; "-" &amp; TEXT(E1847:E1855, "yyyy") </f>
        <v>Jan-2018</v>
      </c>
      <c r="G1855" s="110" t="s">
        <v>20</v>
      </c>
      <c r="H1855" s="47" t="s">
        <v>287</v>
      </c>
      <c r="I1855" s="79" t="s">
        <v>739</v>
      </c>
      <c r="J1855" s="47" t="s">
        <v>138</v>
      </c>
      <c r="K1855" s="47" t="s">
        <v>9</v>
      </c>
      <c r="L1855" s="47" t="s">
        <v>30</v>
      </c>
      <c r="M1855" s="47" t="s">
        <v>30</v>
      </c>
      <c r="N1855" s="47" t="s">
        <v>99</v>
      </c>
      <c r="O1855" s="152"/>
      <c r="P1855" s="152"/>
      <c r="Q1855" s="153"/>
    </row>
    <row r="1856">
      <c r="A1856" s="134" t="s">
        <v>18</v>
      </c>
      <c r="B1856" s="134" t="s">
        <v>18</v>
      </c>
      <c r="C1856" s="134" t="s">
        <v>19</v>
      </c>
      <c r="D1856" s="133" t="s">
        <v>738</v>
      </c>
      <c r="E1856" s="240">
        <v>43113.0</v>
      </c>
      <c r="F1856" s="13" t="str">
        <f t="shared" si="171"/>
        <v>Jan-2018</v>
      </c>
      <c r="G1856" s="13" t="s">
        <v>25</v>
      </c>
      <c r="H1856" s="16" t="s">
        <v>287</v>
      </c>
      <c r="I1856" s="48" t="s">
        <v>739</v>
      </c>
      <c r="J1856" s="16" t="s">
        <v>138</v>
      </c>
      <c r="K1856" s="16" t="s">
        <v>9</v>
      </c>
      <c r="L1856" s="16" t="s">
        <v>30</v>
      </c>
      <c r="M1856" s="16"/>
      <c r="N1856" s="16" t="s">
        <v>98</v>
      </c>
      <c r="O1856" s="101"/>
      <c r="P1856" s="101"/>
      <c r="Q1856" s="102"/>
    </row>
    <row r="1857">
      <c r="A1857" s="134" t="s">
        <v>740</v>
      </c>
      <c r="B1857" s="134" t="s">
        <v>18</v>
      </c>
      <c r="C1857" s="134" t="s">
        <v>19</v>
      </c>
      <c r="D1857" s="133" t="s">
        <v>738</v>
      </c>
      <c r="E1857" s="240">
        <v>43113.0</v>
      </c>
      <c r="F1857" s="13" t="str">
        <f t="shared" si="171"/>
        <v>Jan-2018</v>
      </c>
      <c r="G1857" s="21" t="s">
        <v>20</v>
      </c>
      <c r="H1857" s="119" t="s">
        <v>287</v>
      </c>
      <c r="I1857" s="80" t="s">
        <v>592</v>
      </c>
      <c r="J1857" s="25" t="s">
        <v>27</v>
      </c>
      <c r="K1857" s="25" t="s">
        <v>9</v>
      </c>
      <c r="L1857" s="25" t="s">
        <v>24</v>
      </c>
      <c r="M1857" s="25" t="s">
        <v>24</v>
      </c>
      <c r="N1857" s="25" t="s">
        <v>98</v>
      </c>
      <c r="Q1857" s="99"/>
    </row>
    <row r="1858">
      <c r="A1858" s="168">
        <v>43113.0</v>
      </c>
      <c r="B1858" s="134" t="s">
        <v>18</v>
      </c>
      <c r="C1858" s="134" t="s">
        <v>19</v>
      </c>
      <c r="D1858" s="133" t="s">
        <v>738</v>
      </c>
      <c r="E1858" s="240">
        <v>43113.0</v>
      </c>
      <c r="F1858" s="13" t="str">
        <f t="shared" si="171"/>
        <v>Jan-2018</v>
      </c>
      <c r="G1858" s="21" t="s">
        <v>25</v>
      </c>
      <c r="H1858" s="119" t="s">
        <v>287</v>
      </c>
      <c r="I1858" s="80" t="s">
        <v>592</v>
      </c>
      <c r="J1858" s="25" t="s">
        <v>27</v>
      </c>
      <c r="K1858" s="25" t="s">
        <v>9</v>
      </c>
      <c r="L1858" s="25" t="s">
        <v>24</v>
      </c>
      <c r="M1858" s="25"/>
      <c r="N1858" s="25" t="s">
        <v>106</v>
      </c>
      <c r="Q1858" s="99"/>
    </row>
    <row r="1859">
      <c r="A1859" s="134" t="s">
        <v>19</v>
      </c>
      <c r="B1859" s="134" t="s">
        <v>18</v>
      </c>
      <c r="C1859" s="134" t="s">
        <v>19</v>
      </c>
      <c r="D1859" s="133" t="s">
        <v>738</v>
      </c>
      <c r="E1859" s="240">
        <v>43113.0</v>
      </c>
      <c r="F1859" s="13" t="str">
        <f t="shared" si="171"/>
        <v>Jan-2018</v>
      </c>
      <c r="G1859" s="13" t="s">
        <v>20</v>
      </c>
      <c r="H1859" s="16" t="s">
        <v>287</v>
      </c>
      <c r="I1859" s="48" t="s">
        <v>452</v>
      </c>
      <c r="J1859" s="16" t="s">
        <v>27</v>
      </c>
      <c r="K1859" s="16" t="s">
        <v>9</v>
      </c>
      <c r="L1859" s="16" t="s">
        <v>24</v>
      </c>
      <c r="M1859" s="16" t="s">
        <v>30</v>
      </c>
      <c r="N1859" s="16" t="s">
        <v>69</v>
      </c>
      <c r="O1859" s="101"/>
      <c r="P1859" s="101"/>
      <c r="Q1859" s="102"/>
    </row>
    <row r="1860">
      <c r="A1860" s="176" t="s">
        <v>741</v>
      </c>
      <c r="B1860" s="134" t="s">
        <v>18</v>
      </c>
      <c r="C1860" s="134" t="s">
        <v>19</v>
      </c>
      <c r="D1860" s="133" t="s">
        <v>738</v>
      </c>
      <c r="E1860" s="240">
        <v>43113.0</v>
      </c>
      <c r="F1860" s="13" t="str">
        <f t="shared" si="171"/>
        <v>Jan-2018</v>
      </c>
      <c r="G1860" s="13" t="s">
        <v>25</v>
      </c>
      <c r="H1860" s="16" t="s">
        <v>287</v>
      </c>
      <c r="I1860" s="48" t="s">
        <v>452</v>
      </c>
      <c r="J1860" s="16" t="s">
        <v>27</v>
      </c>
      <c r="K1860" s="16" t="s">
        <v>9</v>
      </c>
      <c r="L1860" s="16" t="s">
        <v>30</v>
      </c>
      <c r="M1860" s="16"/>
      <c r="N1860" s="16" t="s">
        <v>106</v>
      </c>
      <c r="O1860" s="101"/>
      <c r="P1860" s="101"/>
      <c r="Q1860" s="102"/>
    </row>
    <row r="1861">
      <c r="A1861" s="134" t="s">
        <v>742</v>
      </c>
      <c r="B1861" s="134" t="s">
        <v>18</v>
      </c>
      <c r="C1861" s="134" t="s">
        <v>19</v>
      </c>
      <c r="D1861" s="133" t="s">
        <v>738</v>
      </c>
      <c r="E1861" s="240">
        <v>43113.0</v>
      </c>
      <c r="F1861" s="13" t="str">
        <f t="shared" si="171"/>
        <v>Jan-2018</v>
      </c>
      <c r="G1861" s="16" t="s">
        <v>32</v>
      </c>
      <c r="H1861" s="16" t="s">
        <v>287</v>
      </c>
      <c r="I1861" s="48" t="s">
        <v>452</v>
      </c>
      <c r="J1861" s="16" t="s">
        <v>27</v>
      </c>
      <c r="K1861" s="16" t="s">
        <v>9</v>
      </c>
      <c r="L1861" s="16" t="s">
        <v>30</v>
      </c>
      <c r="M1861" s="16"/>
      <c r="N1861" s="16" t="s">
        <v>99</v>
      </c>
      <c r="O1861" s="101"/>
      <c r="P1861" s="101"/>
      <c r="Q1861" s="102"/>
    </row>
    <row r="1862">
      <c r="A1862" s="140"/>
      <c r="B1862" s="134" t="s">
        <v>18</v>
      </c>
      <c r="C1862" s="134" t="s">
        <v>19</v>
      </c>
      <c r="D1862" s="133" t="s">
        <v>738</v>
      </c>
      <c r="E1862" s="240">
        <v>43113.0</v>
      </c>
      <c r="F1862" s="13" t="str">
        <f t="shared" si="171"/>
        <v>Jan-2018</v>
      </c>
      <c r="G1862" s="21" t="s">
        <v>20</v>
      </c>
      <c r="H1862" s="119" t="s">
        <v>287</v>
      </c>
      <c r="I1862" s="80" t="s">
        <v>743</v>
      </c>
      <c r="J1862" s="25" t="s">
        <v>27</v>
      </c>
      <c r="K1862" s="25" t="s">
        <v>9</v>
      </c>
      <c r="L1862" s="25" t="s">
        <v>30</v>
      </c>
      <c r="M1862" s="25" t="s">
        <v>30</v>
      </c>
      <c r="N1862" s="25" t="s">
        <v>98</v>
      </c>
      <c r="Q1862" s="99"/>
    </row>
    <row r="1863">
      <c r="A1863" s="140"/>
      <c r="B1863" s="134" t="s">
        <v>18</v>
      </c>
      <c r="C1863" s="134" t="s">
        <v>19</v>
      </c>
      <c r="D1863" s="133" t="s">
        <v>738</v>
      </c>
      <c r="E1863" s="240">
        <v>43113.0</v>
      </c>
      <c r="F1863" s="13" t="str">
        <f t="shared" si="171"/>
        <v>Jan-2018</v>
      </c>
      <c r="G1863" s="21" t="s">
        <v>25</v>
      </c>
      <c r="H1863" s="119" t="s">
        <v>287</v>
      </c>
      <c r="I1863" s="80" t="s">
        <v>743</v>
      </c>
      <c r="J1863" s="25" t="s">
        <v>44</v>
      </c>
      <c r="K1863" s="25" t="s">
        <v>9</v>
      </c>
      <c r="L1863" s="25" t="s">
        <v>30</v>
      </c>
      <c r="M1863" s="25"/>
      <c r="N1863" s="25" t="s">
        <v>106</v>
      </c>
      <c r="Q1863" s="99"/>
    </row>
    <row r="1864">
      <c r="A1864" s="140"/>
      <c r="B1864" s="134" t="s">
        <v>18</v>
      </c>
      <c r="C1864" s="134" t="s">
        <v>19</v>
      </c>
      <c r="D1864" s="133" t="s">
        <v>738</v>
      </c>
      <c r="E1864" s="240">
        <v>43113.0</v>
      </c>
      <c r="F1864" s="13" t="str">
        <f t="shared" si="171"/>
        <v>Jan-2018</v>
      </c>
      <c r="G1864" s="13" t="s">
        <v>20</v>
      </c>
      <c r="H1864" s="16" t="s">
        <v>287</v>
      </c>
      <c r="I1864" s="48" t="s">
        <v>460</v>
      </c>
      <c r="J1864" s="16" t="s">
        <v>27</v>
      </c>
      <c r="K1864" s="16" t="s">
        <v>9</v>
      </c>
      <c r="L1864" s="16" t="s">
        <v>30</v>
      </c>
      <c r="M1864" s="16" t="s">
        <v>30</v>
      </c>
      <c r="N1864" s="16" t="s">
        <v>98</v>
      </c>
      <c r="O1864" s="101"/>
      <c r="P1864" s="101"/>
      <c r="Q1864" s="102"/>
    </row>
    <row r="1865">
      <c r="A1865" s="140"/>
      <c r="B1865" s="134" t="s">
        <v>18</v>
      </c>
      <c r="C1865" s="134" t="s">
        <v>19</v>
      </c>
      <c r="D1865" s="133" t="s">
        <v>738</v>
      </c>
      <c r="E1865" s="240">
        <v>43113.0</v>
      </c>
      <c r="F1865" s="13" t="str">
        <f t="shared" si="171"/>
        <v>Jan-2018</v>
      </c>
      <c r="G1865" s="13" t="s">
        <v>25</v>
      </c>
      <c r="H1865" s="16" t="s">
        <v>287</v>
      </c>
      <c r="I1865" s="48" t="s">
        <v>460</v>
      </c>
      <c r="J1865" s="16" t="s">
        <v>27</v>
      </c>
      <c r="K1865" s="16" t="s">
        <v>9</v>
      </c>
      <c r="L1865" s="16" t="s">
        <v>30</v>
      </c>
      <c r="M1865" s="16"/>
      <c r="N1865" s="16" t="s">
        <v>37</v>
      </c>
      <c r="O1865" s="101"/>
      <c r="P1865" s="101"/>
      <c r="Q1865" s="102"/>
    </row>
    <row r="1866">
      <c r="A1866" s="140"/>
      <c r="B1866" s="134" t="s">
        <v>18</v>
      </c>
      <c r="C1866" s="134" t="s">
        <v>19</v>
      </c>
      <c r="D1866" s="133" t="s">
        <v>738</v>
      </c>
      <c r="E1866" s="240">
        <v>43113.0</v>
      </c>
      <c r="F1866" s="13" t="str">
        <f t="shared" si="171"/>
        <v>Jan-2018</v>
      </c>
      <c r="G1866" s="21" t="s">
        <v>20</v>
      </c>
      <c r="H1866" s="119" t="s">
        <v>287</v>
      </c>
      <c r="I1866" s="80" t="s">
        <v>66</v>
      </c>
      <c r="J1866" s="25" t="s">
        <v>27</v>
      </c>
      <c r="K1866" s="25" t="s">
        <v>9</v>
      </c>
      <c r="L1866" s="25" t="s">
        <v>30</v>
      </c>
      <c r="M1866" s="25" t="s">
        <v>30</v>
      </c>
      <c r="N1866" s="25" t="s">
        <v>69</v>
      </c>
      <c r="Q1866" s="99"/>
    </row>
    <row r="1867">
      <c r="A1867" s="140"/>
      <c r="B1867" s="134" t="s">
        <v>18</v>
      </c>
      <c r="C1867" s="134" t="s">
        <v>19</v>
      </c>
      <c r="D1867" s="133" t="s">
        <v>738</v>
      </c>
      <c r="E1867" s="240">
        <v>43113.0</v>
      </c>
      <c r="F1867" s="13" t="str">
        <f t="shared" si="171"/>
        <v>Jan-2018</v>
      </c>
      <c r="G1867" s="21" t="s">
        <v>25</v>
      </c>
      <c r="H1867" s="119" t="s">
        <v>287</v>
      </c>
      <c r="I1867" s="80" t="s">
        <v>66</v>
      </c>
      <c r="J1867" s="25" t="s">
        <v>48</v>
      </c>
      <c r="K1867" s="25" t="s">
        <v>9</v>
      </c>
      <c r="L1867" s="25" t="s">
        <v>30</v>
      </c>
      <c r="M1867" s="25"/>
      <c r="N1867" s="25" t="s">
        <v>37</v>
      </c>
      <c r="Q1867" s="99"/>
    </row>
    <row r="1868">
      <c r="A1868" s="140"/>
      <c r="B1868" s="134" t="s">
        <v>18</v>
      </c>
      <c r="C1868" s="134" t="s">
        <v>19</v>
      </c>
      <c r="D1868" s="133" t="s">
        <v>738</v>
      </c>
      <c r="E1868" s="240">
        <v>43113.0</v>
      </c>
      <c r="F1868" s="13" t="str">
        <f t="shared" si="171"/>
        <v>Jan-2018</v>
      </c>
      <c r="G1868" s="13" t="s">
        <v>20</v>
      </c>
      <c r="H1868" s="16" t="s">
        <v>35</v>
      </c>
      <c r="I1868" s="48" t="s">
        <v>744</v>
      </c>
      <c r="J1868" s="16" t="s">
        <v>27</v>
      </c>
      <c r="K1868" s="16" t="s">
        <v>9</v>
      </c>
      <c r="L1868" s="16" t="s">
        <v>30</v>
      </c>
      <c r="M1868" s="16" t="s">
        <v>24</v>
      </c>
      <c r="N1868" s="16" t="s">
        <v>98</v>
      </c>
      <c r="O1868" s="101"/>
      <c r="P1868" s="101"/>
      <c r="Q1868" s="138" t="s">
        <v>56</v>
      </c>
    </row>
    <row r="1869">
      <c r="A1869" s="140"/>
      <c r="B1869" s="134" t="s">
        <v>18</v>
      </c>
      <c r="C1869" s="134" t="s">
        <v>19</v>
      </c>
      <c r="D1869" s="133" t="s">
        <v>738</v>
      </c>
      <c r="E1869" s="240">
        <v>43113.0</v>
      </c>
      <c r="F1869" s="13" t="str">
        <f t="shared" si="171"/>
        <v>Jan-2018</v>
      </c>
      <c r="G1869" s="13" t="s">
        <v>25</v>
      </c>
      <c r="H1869" s="16" t="s">
        <v>35</v>
      </c>
      <c r="I1869" s="48" t="s">
        <v>744</v>
      </c>
      <c r="J1869" s="16" t="s">
        <v>27</v>
      </c>
      <c r="K1869" s="16" t="s">
        <v>9</v>
      </c>
      <c r="L1869" s="16" t="s">
        <v>24</v>
      </c>
      <c r="M1869" s="16"/>
      <c r="N1869" s="16" t="s">
        <v>37</v>
      </c>
      <c r="O1869" s="101"/>
      <c r="P1869" s="101"/>
      <c r="Q1869" s="138" t="s">
        <v>56</v>
      </c>
    </row>
    <row r="1870">
      <c r="A1870" s="141"/>
      <c r="B1870" s="134" t="s">
        <v>18</v>
      </c>
      <c r="C1870" s="134" t="s">
        <v>19</v>
      </c>
      <c r="D1870" s="133" t="s">
        <v>738</v>
      </c>
      <c r="E1870" s="241">
        <v>43113.0</v>
      </c>
      <c r="F1870" s="35" t="str">
        <f t="shared" si="171"/>
        <v>Jan-2018</v>
      </c>
      <c r="G1870" s="38" t="s">
        <v>32</v>
      </c>
      <c r="H1870" s="38" t="s">
        <v>35</v>
      </c>
      <c r="I1870" s="122" t="s">
        <v>744</v>
      </c>
      <c r="J1870" s="38" t="s">
        <v>27</v>
      </c>
      <c r="K1870" s="38" t="s">
        <v>9</v>
      </c>
      <c r="L1870" s="38" t="s">
        <v>24</v>
      </c>
      <c r="M1870" s="38"/>
      <c r="N1870" s="38" t="s">
        <v>69</v>
      </c>
      <c r="O1870" s="105"/>
      <c r="P1870" s="105"/>
      <c r="Q1870" s="177" t="s">
        <v>56</v>
      </c>
    </row>
    <row r="1871">
      <c r="A1871" s="107"/>
      <c r="B1871" s="95"/>
      <c r="C1871" s="95"/>
      <c r="D1871" s="95"/>
      <c r="E1871" s="95"/>
      <c r="I1871" s="23"/>
    </row>
    <row r="1872">
      <c r="A1872" s="133" t="s">
        <v>745</v>
      </c>
      <c r="B1872" s="134" t="s">
        <v>18</v>
      </c>
      <c r="C1872" s="134" t="s">
        <v>74</v>
      </c>
      <c r="D1872" s="133" t="s">
        <v>745</v>
      </c>
      <c r="E1872" s="239">
        <v>43118.0</v>
      </c>
      <c r="F1872" s="110" t="str">
        <f t="shared" ref="F1872:F1887" si="172">TEXT(E1864:E1872, "mmm") &amp; "-" &amp; TEXT(E1864:E1872, "yyyy") </f>
        <v>Jan-2018</v>
      </c>
      <c r="G1872" s="70" t="s">
        <v>20</v>
      </c>
      <c r="H1872" s="73" t="s">
        <v>35</v>
      </c>
      <c r="I1872" s="86" t="s">
        <v>746</v>
      </c>
      <c r="J1872" s="73" t="s">
        <v>86</v>
      </c>
      <c r="K1872" s="73" t="s">
        <v>9</v>
      </c>
      <c r="L1872" s="73" t="s">
        <v>30</v>
      </c>
      <c r="M1872" s="73" t="s">
        <v>30</v>
      </c>
      <c r="N1872" s="73" t="s">
        <v>29</v>
      </c>
      <c r="O1872" s="165"/>
      <c r="P1872" s="165"/>
      <c r="Q1872" s="166"/>
    </row>
    <row r="1873">
      <c r="A1873" s="134" t="s">
        <v>18</v>
      </c>
      <c r="B1873" s="134" t="s">
        <v>18</v>
      </c>
      <c r="C1873" s="134" t="s">
        <v>74</v>
      </c>
      <c r="D1873" s="133" t="s">
        <v>745</v>
      </c>
      <c r="E1873" s="240">
        <v>43118.0</v>
      </c>
      <c r="F1873" s="13" t="str">
        <f t="shared" si="172"/>
        <v>Jan-2018</v>
      </c>
      <c r="G1873" s="21" t="s">
        <v>25</v>
      </c>
      <c r="H1873" s="25" t="s">
        <v>35</v>
      </c>
      <c r="I1873" s="80" t="s">
        <v>746</v>
      </c>
      <c r="J1873" s="25" t="s">
        <v>86</v>
      </c>
      <c r="K1873" s="25" t="s">
        <v>9</v>
      </c>
      <c r="L1873" s="25" t="s">
        <v>30</v>
      </c>
      <c r="M1873" s="25"/>
      <c r="N1873" s="25" t="s">
        <v>98</v>
      </c>
      <c r="Q1873" s="99"/>
    </row>
    <row r="1874">
      <c r="A1874" s="134" t="s">
        <v>440</v>
      </c>
      <c r="B1874" s="134" t="s">
        <v>18</v>
      </c>
      <c r="C1874" s="134" t="s">
        <v>74</v>
      </c>
      <c r="D1874" s="133" t="s">
        <v>745</v>
      </c>
      <c r="E1874" s="240">
        <v>43118.0</v>
      </c>
      <c r="F1874" s="13" t="str">
        <f t="shared" si="172"/>
        <v>Jan-2018</v>
      </c>
      <c r="G1874" s="13" t="s">
        <v>20</v>
      </c>
      <c r="H1874" s="16" t="s">
        <v>35</v>
      </c>
      <c r="I1874" s="48" t="s">
        <v>93</v>
      </c>
      <c r="J1874" s="16" t="s">
        <v>23</v>
      </c>
      <c r="K1874" s="16" t="s">
        <v>9</v>
      </c>
      <c r="L1874" s="16" t="s">
        <v>24</v>
      </c>
      <c r="M1874" s="16" t="s">
        <v>24</v>
      </c>
      <c r="N1874" s="16" t="s">
        <v>69</v>
      </c>
      <c r="O1874" s="101"/>
      <c r="P1874" s="101"/>
      <c r="Q1874" s="102"/>
    </row>
    <row r="1875">
      <c r="A1875" s="168">
        <v>43118.0</v>
      </c>
      <c r="B1875" s="134" t="s">
        <v>18</v>
      </c>
      <c r="C1875" s="134" t="s">
        <v>74</v>
      </c>
      <c r="D1875" s="133" t="s">
        <v>745</v>
      </c>
      <c r="E1875" s="240">
        <v>43118.0</v>
      </c>
      <c r="F1875" s="13" t="str">
        <f t="shared" si="172"/>
        <v>Jan-2018</v>
      </c>
      <c r="G1875" s="13" t="s">
        <v>25</v>
      </c>
      <c r="H1875" s="16" t="s">
        <v>35</v>
      </c>
      <c r="I1875" s="48" t="s">
        <v>93</v>
      </c>
      <c r="J1875" s="16" t="s">
        <v>23</v>
      </c>
      <c r="K1875" s="16" t="s">
        <v>9</v>
      </c>
      <c r="L1875" s="16" t="s">
        <v>24</v>
      </c>
      <c r="M1875" s="16"/>
      <c r="N1875" s="16" t="s">
        <v>106</v>
      </c>
      <c r="O1875" s="101"/>
      <c r="P1875" s="101"/>
      <c r="Q1875" s="102"/>
    </row>
    <row r="1876">
      <c r="A1876" s="134" t="s">
        <v>74</v>
      </c>
      <c r="B1876" s="134" t="s">
        <v>18</v>
      </c>
      <c r="C1876" s="134" t="s">
        <v>74</v>
      </c>
      <c r="D1876" s="133" t="s">
        <v>745</v>
      </c>
      <c r="E1876" s="240">
        <v>43118.0</v>
      </c>
      <c r="F1876" s="13" t="str">
        <f t="shared" si="172"/>
        <v>Jan-2018</v>
      </c>
      <c r="G1876" s="21" t="s">
        <v>20</v>
      </c>
      <c r="H1876" s="25" t="s">
        <v>35</v>
      </c>
      <c r="I1876" s="80" t="s">
        <v>747</v>
      </c>
      <c r="J1876" s="25" t="s">
        <v>9</v>
      </c>
      <c r="K1876" s="25" t="s">
        <v>9</v>
      </c>
      <c r="L1876" s="25" t="s">
        <v>30</v>
      </c>
      <c r="M1876" s="25" t="s">
        <v>30</v>
      </c>
      <c r="N1876" s="25" t="s">
        <v>69</v>
      </c>
      <c r="Q1876" s="99"/>
    </row>
    <row r="1877">
      <c r="A1877" s="176" t="s">
        <v>748</v>
      </c>
      <c r="B1877" s="134" t="s">
        <v>18</v>
      </c>
      <c r="C1877" s="134" t="s">
        <v>74</v>
      </c>
      <c r="D1877" s="133" t="s">
        <v>745</v>
      </c>
      <c r="E1877" s="240">
        <v>43118.0</v>
      </c>
      <c r="F1877" s="13" t="str">
        <f t="shared" si="172"/>
        <v>Jan-2018</v>
      </c>
      <c r="G1877" s="21" t="s">
        <v>25</v>
      </c>
      <c r="H1877" s="25" t="s">
        <v>35</v>
      </c>
      <c r="I1877" s="80" t="s">
        <v>747</v>
      </c>
      <c r="J1877" s="25" t="s">
        <v>9</v>
      </c>
      <c r="K1877" s="25" t="s">
        <v>9</v>
      </c>
      <c r="L1877" s="25" t="s">
        <v>30</v>
      </c>
      <c r="M1877" s="25"/>
      <c r="N1877" s="25" t="s">
        <v>69</v>
      </c>
      <c r="Q1877" s="99"/>
    </row>
    <row r="1878">
      <c r="A1878" s="140"/>
      <c r="B1878" s="134" t="s">
        <v>18</v>
      </c>
      <c r="C1878" s="134" t="s">
        <v>74</v>
      </c>
      <c r="D1878" s="133" t="s">
        <v>745</v>
      </c>
      <c r="E1878" s="240">
        <v>43118.0</v>
      </c>
      <c r="F1878" s="13" t="str">
        <f t="shared" si="172"/>
        <v>Jan-2018</v>
      </c>
      <c r="G1878" s="13" t="s">
        <v>20</v>
      </c>
      <c r="H1878" s="16" t="s">
        <v>35</v>
      </c>
      <c r="I1878" s="48" t="s">
        <v>569</v>
      </c>
      <c r="J1878" s="16" t="s">
        <v>44</v>
      </c>
      <c r="K1878" s="16" t="s">
        <v>9</v>
      </c>
      <c r="L1878" s="16" t="s">
        <v>30</v>
      </c>
      <c r="M1878" s="16" t="s">
        <v>30</v>
      </c>
      <c r="N1878" s="16" t="s">
        <v>69</v>
      </c>
      <c r="O1878" s="101"/>
      <c r="P1878" s="101"/>
      <c r="Q1878" s="102"/>
    </row>
    <row r="1879">
      <c r="A1879" s="140"/>
      <c r="B1879" s="134" t="s">
        <v>18</v>
      </c>
      <c r="C1879" s="134" t="s">
        <v>74</v>
      </c>
      <c r="D1879" s="133" t="s">
        <v>745</v>
      </c>
      <c r="E1879" s="240">
        <v>43118.0</v>
      </c>
      <c r="F1879" s="13" t="str">
        <f t="shared" si="172"/>
        <v>Jan-2018</v>
      </c>
      <c r="G1879" s="13" t="s">
        <v>25</v>
      </c>
      <c r="H1879" s="16" t="s">
        <v>35</v>
      </c>
      <c r="I1879" s="48" t="s">
        <v>569</v>
      </c>
      <c r="J1879" s="16" t="s">
        <v>44</v>
      </c>
      <c r="K1879" s="16" t="s">
        <v>9</v>
      </c>
      <c r="L1879" s="16" t="s">
        <v>30</v>
      </c>
      <c r="M1879" s="16"/>
      <c r="N1879" s="16" t="s">
        <v>98</v>
      </c>
      <c r="O1879" s="101"/>
      <c r="P1879" s="101"/>
      <c r="Q1879" s="102"/>
    </row>
    <row r="1880">
      <c r="A1880" s="140"/>
      <c r="B1880" s="134" t="s">
        <v>18</v>
      </c>
      <c r="C1880" s="134" t="s">
        <v>74</v>
      </c>
      <c r="D1880" s="133" t="s">
        <v>745</v>
      </c>
      <c r="E1880" s="240">
        <v>43118.0</v>
      </c>
      <c r="F1880" s="13" t="str">
        <f t="shared" si="172"/>
        <v>Jan-2018</v>
      </c>
      <c r="G1880" s="21" t="s">
        <v>20</v>
      </c>
      <c r="H1880" s="25" t="s">
        <v>35</v>
      </c>
      <c r="I1880" s="80" t="s">
        <v>36</v>
      </c>
      <c r="J1880" s="25" t="s">
        <v>27</v>
      </c>
      <c r="K1880" s="25" t="s">
        <v>9</v>
      </c>
      <c r="L1880" s="25" t="s">
        <v>24</v>
      </c>
      <c r="M1880" s="25" t="s">
        <v>30</v>
      </c>
      <c r="N1880" s="25" t="s">
        <v>37</v>
      </c>
      <c r="Q1880" s="99"/>
    </row>
    <row r="1881">
      <c r="A1881" s="140"/>
      <c r="B1881" s="134" t="s">
        <v>18</v>
      </c>
      <c r="C1881" s="134" t="s">
        <v>74</v>
      </c>
      <c r="D1881" s="133" t="s">
        <v>745</v>
      </c>
      <c r="E1881" s="240">
        <v>43118.0</v>
      </c>
      <c r="F1881" s="13" t="str">
        <f t="shared" si="172"/>
        <v>Jan-2018</v>
      </c>
      <c r="G1881" s="21" t="s">
        <v>25</v>
      </c>
      <c r="H1881" s="25" t="s">
        <v>35</v>
      </c>
      <c r="I1881" s="80" t="s">
        <v>36</v>
      </c>
      <c r="J1881" s="25" t="s">
        <v>27</v>
      </c>
      <c r="K1881" s="25" t="s">
        <v>9</v>
      </c>
      <c r="L1881" s="25" t="s">
        <v>30</v>
      </c>
      <c r="M1881" s="25"/>
      <c r="N1881" s="25" t="s">
        <v>69</v>
      </c>
      <c r="Q1881" s="99"/>
    </row>
    <row r="1882">
      <c r="A1882" s="140"/>
      <c r="B1882" s="134" t="s">
        <v>18</v>
      </c>
      <c r="C1882" s="134" t="s">
        <v>74</v>
      </c>
      <c r="D1882" s="133" t="s">
        <v>745</v>
      </c>
      <c r="E1882" s="240">
        <v>43118.0</v>
      </c>
      <c r="F1882" s="13" t="str">
        <f t="shared" si="172"/>
        <v>Jan-2018</v>
      </c>
      <c r="G1882" s="119" t="s">
        <v>32</v>
      </c>
      <c r="H1882" s="25" t="s">
        <v>35</v>
      </c>
      <c r="I1882" s="80" t="s">
        <v>36</v>
      </c>
      <c r="J1882" s="25" t="s">
        <v>27</v>
      </c>
      <c r="K1882" s="25" t="s">
        <v>9</v>
      </c>
      <c r="L1882" s="25" t="s">
        <v>30</v>
      </c>
      <c r="M1882" s="25"/>
      <c r="N1882" s="25" t="s">
        <v>99</v>
      </c>
      <c r="Q1882" s="99"/>
    </row>
    <row r="1883">
      <c r="A1883" s="140"/>
      <c r="B1883" s="134" t="s">
        <v>18</v>
      </c>
      <c r="C1883" s="134" t="s">
        <v>74</v>
      </c>
      <c r="D1883" s="133" t="s">
        <v>745</v>
      </c>
      <c r="E1883" s="240">
        <v>43118.0</v>
      </c>
      <c r="F1883" s="13" t="str">
        <f t="shared" si="172"/>
        <v>Jan-2018</v>
      </c>
      <c r="G1883" s="16" t="s">
        <v>146</v>
      </c>
      <c r="H1883" s="16" t="s">
        <v>35</v>
      </c>
      <c r="I1883" s="48" t="s">
        <v>361</v>
      </c>
      <c r="J1883" s="16" t="s">
        <v>44</v>
      </c>
      <c r="K1883" s="16" t="s">
        <v>9</v>
      </c>
      <c r="L1883" s="16" t="s">
        <v>30</v>
      </c>
      <c r="M1883" s="16" t="s">
        <v>24</v>
      </c>
      <c r="N1883" s="16" t="s">
        <v>69</v>
      </c>
      <c r="O1883" s="101"/>
      <c r="P1883" s="101"/>
      <c r="Q1883" s="102"/>
    </row>
    <row r="1884">
      <c r="A1884" s="140"/>
      <c r="B1884" s="134" t="s">
        <v>18</v>
      </c>
      <c r="C1884" s="134" t="s">
        <v>74</v>
      </c>
      <c r="D1884" s="133" t="s">
        <v>745</v>
      </c>
      <c r="E1884" s="240">
        <v>43118.0</v>
      </c>
      <c r="F1884" s="13" t="str">
        <f t="shared" si="172"/>
        <v>Jan-2018</v>
      </c>
      <c r="G1884" s="16" t="s">
        <v>149</v>
      </c>
      <c r="H1884" s="16" t="s">
        <v>35</v>
      </c>
      <c r="I1884" s="48" t="s">
        <v>361</v>
      </c>
      <c r="J1884" s="16" t="s">
        <v>44</v>
      </c>
      <c r="K1884" s="16" t="s">
        <v>9</v>
      </c>
      <c r="L1884" s="16" t="s">
        <v>24</v>
      </c>
      <c r="M1884" s="16"/>
      <c r="N1884" s="16" t="s">
        <v>29</v>
      </c>
      <c r="O1884" s="101"/>
      <c r="P1884" s="101"/>
      <c r="Q1884" s="102"/>
    </row>
    <row r="1885">
      <c r="A1885" s="140"/>
      <c r="B1885" s="134" t="s">
        <v>18</v>
      </c>
      <c r="C1885" s="134" t="s">
        <v>74</v>
      </c>
      <c r="D1885" s="133" t="s">
        <v>745</v>
      </c>
      <c r="E1885" s="240">
        <v>43118.0</v>
      </c>
      <c r="F1885" s="13" t="str">
        <f t="shared" si="172"/>
        <v>Jan-2018</v>
      </c>
      <c r="G1885" s="16" t="s">
        <v>222</v>
      </c>
      <c r="H1885" s="16" t="s">
        <v>35</v>
      </c>
      <c r="I1885" s="48" t="s">
        <v>361</v>
      </c>
      <c r="J1885" s="16" t="s">
        <v>44</v>
      </c>
      <c r="K1885" s="16" t="s">
        <v>9</v>
      </c>
      <c r="L1885" s="16" t="s">
        <v>30</v>
      </c>
      <c r="M1885" s="16"/>
      <c r="N1885" s="16" t="s">
        <v>37</v>
      </c>
      <c r="O1885" s="101"/>
      <c r="P1885" s="101"/>
      <c r="Q1885" s="102"/>
    </row>
    <row r="1886">
      <c r="A1886" s="140"/>
      <c r="B1886" s="134" t="s">
        <v>18</v>
      </c>
      <c r="C1886" s="134" t="s">
        <v>74</v>
      </c>
      <c r="D1886" s="133" t="s">
        <v>745</v>
      </c>
      <c r="E1886" s="240">
        <v>43118.0</v>
      </c>
      <c r="F1886" s="13" t="str">
        <f t="shared" si="172"/>
        <v>Jan-2018</v>
      </c>
      <c r="G1886" s="16" t="s">
        <v>467</v>
      </c>
      <c r="H1886" s="16" t="s">
        <v>35</v>
      </c>
      <c r="I1886" s="48" t="s">
        <v>361</v>
      </c>
      <c r="J1886" s="16" t="s">
        <v>44</v>
      </c>
      <c r="K1886" s="16" t="s">
        <v>9</v>
      </c>
      <c r="L1886" s="16" t="s">
        <v>24</v>
      </c>
      <c r="M1886" s="16"/>
      <c r="N1886" s="16" t="s">
        <v>106</v>
      </c>
      <c r="O1886" s="101"/>
      <c r="P1886" s="101"/>
      <c r="Q1886" s="102"/>
    </row>
    <row r="1887">
      <c r="A1887" s="141"/>
      <c r="B1887" s="134" t="s">
        <v>18</v>
      </c>
      <c r="C1887" s="134" t="s">
        <v>74</v>
      </c>
      <c r="D1887" s="133" t="s">
        <v>745</v>
      </c>
      <c r="E1887" s="241">
        <v>43118.0</v>
      </c>
      <c r="F1887" s="35" t="str">
        <f t="shared" si="172"/>
        <v>Jan-2018</v>
      </c>
      <c r="G1887" s="38" t="s">
        <v>480</v>
      </c>
      <c r="H1887" s="38" t="s">
        <v>35</v>
      </c>
      <c r="I1887" s="122" t="s">
        <v>361</v>
      </c>
      <c r="J1887" s="38" t="s">
        <v>44</v>
      </c>
      <c r="K1887" s="38" t="s">
        <v>9</v>
      </c>
      <c r="L1887" s="38" t="s">
        <v>24</v>
      </c>
      <c r="M1887" s="38"/>
      <c r="N1887" s="38" t="s">
        <v>98</v>
      </c>
      <c r="O1887" s="105"/>
      <c r="P1887" s="105"/>
      <c r="Q1887" s="106"/>
    </row>
    <row r="1888">
      <c r="A1888" s="107"/>
      <c r="B1888" s="95"/>
      <c r="C1888" s="95"/>
      <c r="D1888" s="95"/>
      <c r="E1888" s="95"/>
      <c r="I1888" s="23"/>
    </row>
    <row r="1889">
      <c r="A1889" s="133" t="s">
        <v>749</v>
      </c>
      <c r="B1889" s="134" t="s">
        <v>527</v>
      </c>
      <c r="C1889" s="134" t="s">
        <v>19</v>
      </c>
      <c r="D1889" s="133" t="s">
        <v>749</v>
      </c>
      <c r="E1889" s="239">
        <v>43127.0</v>
      </c>
      <c r="F1889" s="110" t="str">
        <f t="shared" ref="F1889:F1915" si="173">TEXT(E1881:E1889, "mmm") &amp; "-" &amp; TEXT(E1881:E1889, "yyyy") </f>
        <v>Jan-2018</v>
      </c>
      <c r="G1889" s="70" t="s">
        <v>20</v>
      </c>
      <c r="H1889" s="73" t="s">
        <v>287</v>
      </c>
      <c r="I1889" s="86" t="s">
        <v>750</v>
      </c>
      <c r="J1889" s="73" t="s">
        <v>44</v>
      </c>
      <c r="K1889" s="73" t="s">
        <v>9</v>
      </c>
      <c r="L1889" s="73" t="s">
        <v>30</v>
      </c>
      <c r="M1889" s="73" t="s">
        <v>30</v>
      </c>
      <c r="N1889" s="73" t="s">
        <v>98</v>
      </c>
      <c r="O1889" s="165"/>
      <c r="P1889" s="165"/>
      <c r="Q1889" s="166"/>
    </row>
    <row r="1890">
      <c r="A1890" s="134" t="s">
        <v>527</v>
      </c>
      <c r="B1890" s="134" t="s">
        <v>527</v>
      </c>
      <c r="C1890" s="134" t="s">
        <v>19</v>
      </c>
      <c r="D1890" s="133" t="s">
        <v>749</v>
      </c>
      <c r="E1890" s="240">
        <v>43127.0</v>
      </c>
      <c r="F1890" s="13" t="str">
        <f t="shared" si="173"/>
        <v>Jan-2018</v>
      </c>
      <c r="G1890" s="21" t="s">
        <v>25</v>
      </c>
      <c r="H1890" s="25" t="s">
        <v>287</v>
      </c>
      <c r="I1890" s="80" t="s">
        <v>750</v>
      </c>
      <c r="J1890" s="25" t="s">
        <v>44</v>
      </c>
      <c r="K1890" s="25" t="s">
        <v>9</v>
      </c>
      <c r="L1890" s="25" t="s">
        <v>30</v>
      </c>
      <c r="M1890" s="25"/>
      <c r="N1890" s="25" t="s">
        <v>99</v>
      </c>
      <c r="Q1890" s="99"/>
    </row>
    <row r="1891">
      <c r="A1891" s="134" t="s">
        <v>751</v>
      </c>
      <c r="B1891" s="134" t="s">
        <v>527</v>
      </c>
      <c r="C1891" s="134" t="s">
        <v>19</v>
      </c>
      <c r="D1891" s="133" t="s">
        <v>749</v>
      </c>
      <c r="E1891" s="240">
        <v>43127.0</v>
      </c>
      <c r="F1891" s="13" t="str">
        <f t="shared" si="173"/>
        <v>Jan-2018</v>
      </c>
      <c r="G1891" s="13" t="s">
        <v>20</v>
      </c>
      <c r="H1891" s="16" t="s">
        <v>287</v>
      </c>
      <c r="I1891" s="48" t="s">
        <v>726</v>
      </c>
      <c r="J1891" s="16" t="s">
        <v>216</v>
      </c>
      <c r="K1891" s="16" t="s">
        <v>9</v>
      </c>
      <c r="L1891" s="16" t="s">
        <v>30</v>
      </c>
      <c r="M1891" s="16" t="s">
        <v>30</v>
      </c>
      <c r="N1891" s="16" t="s">
        <v>37</v>
      </c>
      <c r="O1891" s="101"/>
      <c r="P1891" s="101"/>
      <c r="Q1891" s="102"/>
    </row>
    <row r="1892">
      <c r="A1892" s="168">
        <v>43127.0</v>
      </c>
      <c r="B1892" s="134" t="s">
        <v>527</v>
      </c>
      <c r="C1892" s="134" t="s">
        <v>19</v>
      </c>
      <c r="D1892" s="133" t="s">
        <v>749</v>
      </c>
      <c r="E1892" s="240">
        <v>43127.0</v>
      </c>
      <c r="F1892" s="13" t="str">
        <f t="shared" si="173"/>
        <v>Jan-2018</v>
      </c>
      <c r="G1892" s="13" t="s">
        <v>25</v>
      </c>
      <c r="H1892" s="16" t="s">
        <v>287</v>
      </c>
      <c r="I1892" s="48" t="s">
        <v>726</v>
      </c>
      <c r="J1892" s="16" t="s">
        <v>216</v>
      </c>
      <c r="K1892" s="16" t="s">
        <v>9</v>
      </c>
      <c r="L1892" s="16" t="s">
        <v>30</v>
      </c>
      <c r="M1892" s="16"/>
      <c r="N1892" s="16" t="s">
        <v>99</v>
      </c>
      <c r="O1892" s="101"/>
      <c r="P1892" s="101"/>
      <c r="Q1892" s="102"/>
    </row>
    <row r="1893">
      <c r="A1893" s="134" t="s">
        <v>19</v>
      </c>
      <c r="B1893" s="134" t="s">
        <v>527</v>
      </c>
      <c r="C1893" s="134" t="s">
        <v>19</v>
      </c>
      <c r="D1893" s="133" t="s">
        <v>749</v>
      </c>
      <c r="E1893" s="240">
        <v>43127.0</v>
      </c>
      <c r="F1893" s="13" t="str">
        <f t="shared" si="173"/>
        <v>Jan-2018</v>
      </c>
      <c r="G1893" s="21" t="s">
        <v>20</v>
      </c>
      <c r="H1893" s="25" t="s">
        <v>287</v>
      </c>
      <c r="I1893" s="80" t="s">
        <v>528</v>
      </c>
      <c r="J1893" s="25" t="s">
        <v>27</v>
      </c>
      <c r="K1893" s="25" t="s">
        <v>9</v>
      </c>
      <c r="L1893" s="25" t="s">
        <v>30</v>
      </c>
      <c r="M1893" s="25" t="s">
        <v>30</v>
      </c>
      <c r="N1893" s="25" t="s">
        <v>98</v>
      </c>
      <c r="Q1893" s="99"/>
    </row>
    <row r="1894">
      <c r="A1894" s="176" t="s">
        <v>752</v>
      </c>
      <c r="B1894" s="134" t="s">
        <v>527</v>
      </c>
      <c r="C1894" s="134" t="s">
        <v>19</v>
      </c>
      <c r="D1894" s="133" t="s">
        <v>749</v>
      </c>
      <c r="E1894" s="240">
        <v>43127.0</v>
      </c>
      <c r="F1894" s="13" t="str">
        <f t="shared" si="173"/>
        <v>Jan-2018</v>
      </c>
      <c r="G1894" s="21" t="s">
        <v>25</v>
      </c>
      <c r="H1894" s="25" t="s">
        <v>287</v>
      </c>
      <c r="I1894" s="80" t="s">
        <v>528</v>
      </c>
      <c r="J1894" s="25" t="s">
        <v>27</v>
      </c>
      <c r="K1894" s="25" t="s">
        <v>9</v>
      </c>
      <c r="L1894" s="25" t="s">
        <v>30</v>
      </c>
      <c r="M1894" s="25"/>
      <c r="N1894" s="25" t="s">
        <v>98</v>
      </c>
      <c r="Q1894" s="99"/>
    </row>
    <row r="1895">
      <c r="A1895" s="134" t="s">
        <v>753</v>
      </c>
      <c r="B1895" s="134" t="s">
        <v>527</v>
      </c>
      <c r="C1895" s="134" t="s">
        <v>19</v>
      </c>
      <c r="D1895" s="133" t="s">
        <v>749</v>
      </c>
      <c r="E1895" s="240">
        <v>43127.0</v>
      </c>
      <c r="F1895" s="13" t="str">
        <f t="shared" si="173"/>
        <v>Jan-2018</v>
      </c>
      <c r="G1895" s="13" t="s">
        <v>20</v>
      </c>
      <c r="H1895" s="16" t="s">
        <v>287</v>
      </c>
      <c r="I1895" s="48" t="s">
        <v>754</v>
      </c>
      <c r="J1895" s="16" t="s">
        <v>27</v>
      </c>
      <c r="K1895" s="16" t="s">
        <v>9</v>
      </c>
      <c r="L1895" s="16" t="s">
        <v>30</v>
      </c>
      <c r="M1895" s="16" t="s">
        <v>24</v>
      </c>
      <c r="N1895" s="16" t="s">
        <v>69</v>
      </c>
      <c r="O1895" s="101"/>
      <c r="P1895" s="101"/>
      <c r="Q1895" s="102"/>
    </row>
    <row r="1896">
      <c r="A1896" s="176" t="s">
        <v>755</v>
      </c>
      <c r="B1896" s="134" t="s">
        <v>527</v>
      </c>
      <c r="C1896" s="134" t="s">
        <v>19</v>
      </c>
      <c r="D1896" s="133" t="s">
        <v>749</v>
      </c>
      <c r="E1896" s="240">
        <v>43127.0</v>
      </c>
      <c r="F1896" s="13" t="str">
        <f t="shared" si="173"/>
        <v>Jan-2018</v>
      </c>
      <c r="G1896" s="13" t="s">
        <v>25</v>
      </c>
      <c r="H1896" s="16" t="s">
        <v>287</v>
      </c>
      <c r="I1896" s="48" t="s">
        <v>754</v>
      </c>
      <c r="J1896" s="16" t="s">
        <v>27</v>
      </c>
      <c r="K1896" s="16" t="s">
        <v>9</v>
      </c>
      <c r="L1896" s="16" t="s">
        <v>24</v>
      </c>
      <c r="M1896" s="16"/>
      <c r="N1896" s="16" t="s">
        <v>99</v>
      </c>
      <c r="O1896" s="101"/>
      <c r="P1896" s="101"/>
      <c r="Q1896" s="102"/>
    </row>
    <row r="1897">
      <c r="A1897" s="140"/>
      <c r="B1897" s="134" t="s">
        <v>527</v>
      </c>
      <c r="C1897" s="134" t="s">
        <v>19</v>
      </c>
      <c r="D1897" s="133" t="s">
        <v>749</v>
      </c>
      <c r="E1897" s="240">
        <v>43127.0</v>
      </c>
      <c r="F1897" s="13" t="str">
        <f t="shared" si="173"/>
        <v>Jan-2018</v>
      </c>
      <c r="G1897" s="16" t="s">
        <v>32</v>
      </c>
      <c r="H1897" s="16" t="s">
        <v>287</v>
      </c>
      <c r="I1897" s="48" t="s">
        <v>754</v>
      </c>
      <c r="J1897" s="16" t="s">
        <v>27</v>
      </c>
      <c r="K1897" s="16" t="s">
        <v>9</v>
      </c>
      <c r="L1897" s="16" t="s">
        <v>24</v>
      </c>
      <c r="M1897" s="16"/>
      <c r="N1897" s="16" t="s">
        <v>106</v>
      </c>
      <c r="O1897" s="101"/>
      <c r="P1897" s="101"/>
      <c r="Q1897" s="102"/>
    </row>
    <row r="1898">
      <c r="A1898" s="140"/>
      <c r="B1898" s="134" t="s">
        <v>527</v>
      </c>
      <c r="C1898" s="134" t="s">
        <v>19</v>
      </c>
      <c r="D1898" s="133" t="s">
        <v>749</v>
      </c>
      <c r="E1898" s="240">
        <v>43127.0</v>
      </c>
      <c r="F1898" s="13" t="str">
        <f t="shared" si="173"/>
        <v>Jan-2018</v>
      </c>
      <c r="G1898" s="21" t="s">
        <v>20</v>
      </c>
      <c r="H1898" s="25" t="s">
        <v>287</v>
      </c>
      <c r="I1898" s="80" t="s">
        <v>756</v>
      </c>
      <c r="J1898" s="25" t="s">
        <v>9</v>
      </c>
      <c r="K1898" s="25" t="s">
        <v>9</v>
      </c>
      <c r="L1898" s="25" t="s">
        <v>30</v>
      </c>
      <c r="M1898" s="25" t="s">
        <v>30</v>
      </c>
      <c r="N1898" s="25" t="s">
        <v>98</v>
      </c>
      <c r="Q1898" s="99"/>
    </row>
    <row r="1899">
      <c r="A1899" s="140"/>
      <c r="B1899" s="134" t="s">
        <v>527</v>
      </c>
      <c r="C1899" s="134" t="s">
        <v>19</v>
      </c>
      <c r="D1899" s="133" t="s">
        <v>749</v>
      </c>
      <c r="E1899" s="240">
        <v>43127.0</v>
      </c>
      <c r="F1899" s="13" t="str">
        <f t="shared" si="173"/>
        <v>Jan-2018</v>
      </c>
      <c r="G1899" s="21" t="s">
        <v>25</v>
      </c>
      <c r="H1899" s="25" t="s">
        <v>287</v>
      </c>
      <c r="I1899" s="80" t="s">
        <v>756</v>
      </c>
      <c r="J1899" s="25" t="s">
        <v>9</v>
      </c>
      <c r="K1899" s="25" t="s">
        <v>9</v>
      </c>
      <c r="L1899" s="25" t="s">
        <v>30</v>
      </c>
      <c r="M1899" s="25"/>
      <c r="N1899" s="25" t="s">
        <v>98</v>
      </c>
      <c r="Q1899" s="99"/>
    </row>
    <row r="1900">
      <c r="A1900" s="140"/>
      <c r="B1900" s="134" t="s">
        <v>527</v>
      </c>
      <c r="C1900" s="134" t="s">
        <v>19</v>
      </c>
      <c r="D1900" s="133" t="s">
        <v>749</v>
      </c>
      <c r="E1900" s="240">
        <v>43127.0</v>
      </c>
      <c r="F1900" s="13" t="str">
        <f t="shared" si="173"/>
        <v>Jan-2018</v>
      </c>
      <c r="G1900" s="13" t="s">
        <v>20</v>
      </c>
      <c r="H1900" s="16" t="s">
        <v>287</v>
      </c>
      <c r="I1900" s="48" t="s">
        <v>757</v>
      </c>
      <c r="J1900" s="16" t="s">
        <v>9</v>
      </c>
      <c r="K1900" s="16" t="s">
        <v>9</v>
      </c>
      <c r="L1900" s="16" t="s">
        <v>30</v>
      </c>
      <c r="M1900" s="16" t="s">
        <v>30</v>
      </c>
      <c r="N1900" s="16" t="s">
        <v>98</v>
      </c>
      <c r="O1900" s="101"/>
      <c r="P1900" s="101"/>
      <c r="Q1900" s="102"/>
    </row>
    <row r="1901">
      <c r="A1901" s="140"/>
      <c r="B1901" s="134" t="s">
        <v>527</v>
      </c>
      <c r="C1901" s="134" t="s">
        <v>19</v>
      </c>
      <c r="D1901" s="133" t="s">
        <v>749</v>
      </c>
      <c r="E1901" s="240">
        <v>43127.0</v>
      </c>
      <c r="F1901" s="13" t="str">
        <f t="shared" si="173"/>
        <v>Jan-2018</v>
      </c>
      <c r="G1901" s="13" t="s">
        <v>25</v>
      </c>
      <c r="H1901" s="16" t="s">
        <v>287</v>
      </c>
      <c r="I1901" s="48" t="s">
        <v>757</v>
      </c>
      <c r="J1901" s="16" t="s">
        <v>27</v>
      </c>
      <c r="K1901" s="16" t="s">
        <v>9</v>
      </c>
      <c r="L1901" s="16" t="s">
        <v>30</v>
      </c>
      <c r="M1901" s="16"/>
      <c r="N1901" s="16" t="s">
        <v>98</v>
      </c>
      <c r="O1901" s="101"/>
      <c r="P1901" s="101"/>
      <c r="Q1901" s="102"/>
    </row>
    <row r="1902">
      <c r="A1902" s="140"/>
      <c r="B1902" s="134" t="s">
        <v>527</v>
      </c>
      <c r="C1902" s="134" t="s">
        <v>19</v>
      </c>
      <c r="D1902" s="133" t="s">
        <v>749</v>
      </c>
      <c r="E1902" s="240">
        <v>43127.0</v>
      </c>
      <c r="F1902" s="13" t="str">
        <f t="shared" si="173"/>
        <v>Jan-2018</v>
      </c>
      <c r="G1902" s="21" t="s">
        <v>20</v>
      </c>
      <c r="H1902" s="25" t="s">
        <v>287</v>
      </c>
      <c r="I1902" s="80" t="s">
        <v>190</v>
      </c>
      <c r="J1902" s="25" t="s">
        <v>9</v>
      </c>
      <c r="K1902" s="25" t="s">
        <v>9</v>
      </c>
      <c r="L1902" s="25" t="s">
        <v>24</v>
      </c>
      <c r="M1902" s="25" t="s">
        <v>24</v>
      </c>
      <c r="N1902" s="25" t="s">
        <v>98</v>
      </c>
      <c r="Q1902" s="99"/>
    </row>
    <row r="1903">
      <c r="A1903" s="140"/>
      <c r="B1903" s="134" t="s">
        <v>527</v>
      </c>
      <c r="C1903" s="134" t="s">
        <v>19</v>
      </c>
      <c r="D1903" s="133" t="s">
        <v>749</v>
      </c>
      <c r="E1903" s="240">
        <v>43127.0</v>
      </c>
      <c r="F1903" s="13" t="str">
        <f t="shared" si="173"/>
        <v>Jan-2018</v>
      </c>
      <c r="G1903" s="21" t="s">
        <v>25</v>
      </c>
      <c r="H1903" s="25" t="s">
        <v>287</v>
      </c>
      <c r="I1903" s="80" t="s">
        <v>190</v>
      </c>
      <c r="J1903" s="25" t="s">
        <v>9</v>
      </c>
      <c r="K1903" s="25" t="s">
        <v>9</v>
      </c>
      <c r="L1903" s="25" t="s">
        <v>24</v>
      </c>
      <c r="M1903" s="25"/>
      <c r="N1903" s="25" t="s">
        <v>106</v>
      </c>
      <c r="Q1903" s="99"/>
    </row>
    <row r="1904">
      <c r="A1904" s="140"/>
      <c r="B1904" s="134" t="s">
        <v>527</v>
      </c>
      <c r="C1904" s="134" t="s">
        <v>19</v>
      </c>
      <c r="D1904" s="133" t="s">
        <v>749</v>
      </c>
      <c r="E1904" s="240">
        <v>43127.0</v>
      </c>
      <c r="F1904" s="13" t="str">
        <f t="shared" si="173"/>
        <v>Jan-2018</v>
      </c>
      <c r="G1904" s="13" t="s">
        <v>20</v>
      </c>
      <c r="H1904" s="16" t="s">
        <v>287</v>
      </c>
      <c r="I1904" s="48" t="s">
        <v>758</v>
      </c>
      <c r="J1904" s="16" t="s">
        <v>27</v>
      </c>
      <c r="K1904" s="16" t="s">
        <v>9</v>
      </c>
      <c r="L1904" s="16" t="s">
        <v>24</v>
      </c>
      <c r="M1904" s="16" t="s">
        <v>24</v>
      </c>
      <c r="N1904" s="16" t="s">
        <v>98</v>
      </c>
      <c r="O1904" s="101"/>
      <c r="P1904" s="101"/>
      <c r="Q1904" s="102"/>
    </row>
    <row r="1905">
      <c r="A1905" s="140"/>
      <c r="B1905" s="134" t="s">
        <v>527</v>
      </c>
      <c r="C1905" s="134" t="s">
        <v>19</v>
      </c>
      <c r="D1905" s="133" t="s">
        <v>749</v>
      </c>
      <c r="E1905" s="240">
        <v>43127.0</v>
      </c>
      <c r="F1905" s="13" t="str">
        <f t="shared" si="173"/>
        <v>Jan-2018</v>
      </c>
      <c r="G1905" s="13" t="s">
        <v>25</v>
      </c>
      <c r="H1905" s="16" t="s">
        <v>287</v>
      </c>
      <c r="I1905" s="48" t="s">
        <v>758</v>
      </c>
      <c r="J1905" s="16" t="s">
        <v>27</v>
      </c>
      <c r="K1905" s="16" t="s">
        <v>9</v>
      </c>
      <c r="L1905" s="16" t="s">
        <v>24</v>
      </c>
      <c r="M1905" s="16"/>
      <c r="N1905" s="16" t="s">
        <v>106</v>
      </c>
      <c r="O1905" s="101"/>
      <c r="P1905" s="101"/>
      <c r="Q1905" s="102"/>
    </row>
    <row r="1906">
      <c r="A1906" s="140"/>
      <c r="B1906" s="134" t="s">
        <v>527</v>
      </c>
      <c r="C1906" s="134" t="s">
        <v>19</v>
      </c>
      <c r="D1906" s="133" t="s">
        <v>749</v>
      </c>
      <c r="E1906" s="240">
        <v>43127.0</v>
      </c>
      <c r="F1906" s="13" t="str">
        <f t="shared" si="173"/>
        <v>Jan-2018</v>
      </c>
      <c r="G1906" s="21" t="s">
        <v>20</v>
      </c>
      <c r="H1906" s="25" t="s">
        <v>35</v>
      </c>
      <c r="I1906" s="80" t="s">
        <v>361</v>
      </c>
      <c r="J1906" s="25" t="s">
        <v>44</v>
      </c>
      <c r="K1906" s="25" t="s">
        <v>9</v>
      </c>
      <c r="L1906" s="25" t="s">
        <v>30</v>
      </c>
      <c r="M1906" s="25" t="s">
        <v>30</v>
      </c>
      <c r="N1906" s="25" t="s">
        <v>69</v>
      </c>
      <c r="Q1906" s="99"/>
    </row>
    <row r="1907">
      <c r="A1907" s="140"/>
      <c r="B1907" s="134" t="s">
        <v>527</v>
      </c>
      <c r="C1907" s="134" t="s">
        <v>19</v>
      </c>
      <c r="D1907" s="133" t="s">
        <v>749</v>
      </c>
      <c r="E1907" s="240">
        <v>43127.0</v>
      </c>
      <c r="F1907" s="13" t="str">
        <f t="shared" si="173"/>
        <v>Jan-2018</v>
      </c>
      <c r="G1907" s="21" t="s">
        <v>25</v>
      </c>
      <c r="H1907" s="25" t="s">
        <v>35</v>
      </c>
      <c r="I1907" s="80" t="s">
        <v>361</v>
      </c>
      <c r="J1907" s="25" t="s">
        <v>44</v>
      </c>
      <c r="K1907" s="25" t="s">
        <v>9</v>
      </c>
      <c r="L1907" s="25" t="s">
        <v>30</v>
      </c>
      <c r="M1907" s="25"/>
      <c r="N1907" s="25" t="s">
        <v>106</v>
      </c>
      <c r="Q1907" s="99"/>
    </row>
    <row r="1908">
      <c r="A1908" s="140"/>
      <c r="B1908" s="134" t="s">
        <v>527</v>
      </c>
      <c r="C1908" s="134" t="s">
        <v>19</v>
      </c>
      <c r="D1908" s="133" t="s">
        <v>749</v>
      </c>
      <c r="E1908" s="240">
        <v>43127.0</v>
      </c>
      <c r="F1908" s="13" t="str">
        <f t="shared" si="173"/>
        <v>Jan-2018</v>
      </c>
      <c r="G1908" s="13" t="s">
        <v>20</v>
      </c>
      <c r="H1908" s="16" t="s">
        <v>35</v>
      </c>
      <c r="I1908" s="48" t="s">
        <v>360</v>
      </c>
      <c r="J1908" s="16" t="s">
        <v>216</v>
      </c>
      <c r="K1908" s="16" t="s">
        <v>9</v>
      </c>
      <c r="L1908" s="16" t="s">
        <v>24</v>
      </c>
      <c r="M1908" s="16" t="s">
        <v>30</v>
      </c>
      <c r="N1908" s="16" t="s">
        <v>37</v>
      </c>
      <c r="O1908" s="101"/>
      <c r="P1908" s="101"/>
      <c r="Q1908" s="102"/>
    </row>
    <row r="1909">
      <c r="A1909" s="140"/>
      <c r="B1909" s="134" t="s">
        <v>527</v>
      </c>
      <c r="C1909" s="134" t="s">
        <v>19</v>
      </c>
      <c r="D1909" s="133" t="s">
        <v>749</v>
      </c>
      <c r="E1909" s="240">
        <v>43127.0</v>
      </c>
      <c r="F1909" s="13" t="str">
        <f t="shared" si="173"/>
        <v>Jan-2018</v>
      </c>
      <c r="G1909" s="13" t="s">
        <v>25</v>
      </c>
      <c r="H1909" s="16" t="s">
        <v>35</v>
      </c>
      <c r="I1909" s="48" t="s">
        <v>360</v>
      </c>
      <c r="J1909" s="16" t="s">
        <v>216</v>
      </c>
      <c r="K1909" s="16" t="s">
        <v>9</v>
      </c>
      <c r="L1909" s="16" t="s">
        <v>30</v>
      </c>
      <c r="M1909" s="16"/>
      <c r="N1909" s="16" t="s">
        <v>69</v>
      </c>
      <c r="O1909" s="101"/>
      <c r="P1909" s="101"/>
      <c r="Q1909" s="102"/>
    </row>
    <row r="1910">
      <c r="A1910" s="140"/>
      <c r="B1910" s="134" t="s">
        <v>527</v>
      </c>
      <c r="C1910" s="134" t="s">
        <v>19</v>
      </c>
      <c r="D1910" s="133" t="s">
        <v>749</v>
      </c>
      <c r="E1910" s="240">
        <v>43127.0</v>
      </c>
      <c r="F1910" s="13" t="str">
        <f t="shared" si="173"/>
        <v>Jan-2018</v>
      </c>
      <c r="G1910" s="16" t="s">
        <v>32</v>
      </c>
      <c r="H1910" s="16" t="s">
        <v>35</v>
      </c>
      <c r="I1910" s="48" t="s">
        <v>360</v>
      </c>
      <c r="J1910" s="16" t="s">
        <v>216</v>
      </c>
      <c r="K1910" s="16" t="s">
        <v>9</v>
      </c>
      <c r="L1910" s="16" t="s">
        <v>30</v>
      </c>
      <c r="M1910" s="16"/>
      <c r="N1910" s="16" t="s">
        <v>99</v>
      </c>
      <c r="O1910" s="101"/>
      <c r="P1910" s="101"/>
      <c r="Q1910" s="102"/>
    </row>
    <row r="1911">
      <c r="A1911" s="140"/>
      <c r="B1911" s="134" t="s">
        <v>527</v>
      </c>
      <c r="C1911" s="134" t="s">
        <v>19</v>
      </c>
      <c r="D1911" s="133" t="s">
        <v>749</v>
      </c>
      <c r="E1911" s="240">
        <v>43127.0</v>
      </c>
      <c r="F1911" s="13" t="str">
        <f t="shared" si="173"/>
        <v>Jan-2018</v>
      </c>
      <c r="G1911" s="119" t="s">
        <v>146</v>
      </c>
      <c r="H1911" s="25" t="s">
        <v>35</v>
      </c>
      <c r="I1911" s="80" t="s">
        <v>452</v>
      </c>
      <c r="J1911" s="25" t="s">
        <v>27</v>
      </c>
      <c r="K1911" s="25" t="s">
        <v>9</v>
      </c>
      <c r="L1911" s="25" t="s">
        <v>24</v>
      </c>
      <c r="M1911" s="25" t="s">
        <v>24</v>
      </c>
      <c r="N1911" s="25" t="s">
        <v>69</v>
      </c>
      <c r="Q1911" s="99"/>
    </row>
    <row r="1912">
      <c r="A1912" s="140"/>
      <c r="B1912" s="134" t="s">
        <v>527</v>
      </c>
      <c r="C1912" s="134" t="s">
        <v>19</v>
      </c>
      <c r="D1912" s="133" t="s">
        <v>749</v>
      </c>
      <c r="E1912" s="240">
        <v>43127.0</v>
      </c>
      <c r="F1912" s="13" t="str">
        <f t="shared" si="173"/>
        <v>Jan-2018</v>
      </c>
      <c r="G1912" s="119" t="s">
        <v>149</v>
      </c>
      <c r="H1912" s="25" t="s">
        <v>35</v>
      </c>
      <c r="I1912" s="80" t="s">
        <v>452</v>
      </c>
      <c r="J1912" s="25" t="s">
        <v>27</v>
      </c>
      <c r="K1912" s="25" t="s">
        <v>9</v>
      </c>
      <c r="L1912" s="25" t="s">
        <v>30</v>
      </c>
      <c r="M1912" s="25"/>
      <c r="N1912" s="25" t="s">
        <v>106</v>
      </c>
      <c r="Q1912" s="99"/>
    </row>
    <row r="1913">
      <c r="A1913" s="140"/>
      <c r="B1913" s="134" t="s">
        <v>527</v>
      </c>
      <c r="C1913" s="134" t="s">
        <v>19</v>
      </c>
      <c r="D1913" s="133" t="s">
        <v>749</v>
      </c>
      <c r="E1913" s="240">
        <v>43127.0</v>
      </c>
      <c r="F1913" s="13" t="str">
        <f t="shared" si="173"/>
        <v>Jan-2018</v>
      </c>
      <c r="G1913" s="119" t="s">
        <v>222</v>
      </c>
      <c r="H1913" s="25" t="s">
        <v>35</v>
      </c>
      <c r="I1913" s="80" t="s">
        <v>452</v>
      </c>
      <c r="J1913" s="25" t="s">
        <v>27</v>
      </c>
      <c r="K1913" s="25" t="s">
        <v>9</v>
      </c>
      <c r="L1913" s="25" t="s">
        <v>24</v>
      </c>
      <c r="M1913" s="25"/>
      <c r="N1913" s="25" t="s">
        <v>29</v>
      </c>
      <c r="Q1913" s="99"/>
    </row>
    <row r="1914">
      <c r="A1914" s="140"/>
      <c r="B1914" s="134" t="s">
        <v>527</v>
      </c>
      <c r="C1914" s="134" t="s">
        <v>19</v>
      </c>
      <c r="D1914" s="133" t="s">
        <v>749</v>
      </c>
      <c r="E1914" s="240">
        <v>43127.0</v>
      </c>
      <c r="F1914" s="13" t="str">
        <f t="shared" si="173"/>
        <v>Jan-2018</v>
      </c>
      <c r="G1914" s="25" t="s">
        <v>467</v>
      </c>
      <c r="H1914" s="25" t="s">
        <v>35</v>
      </c>
      <c r="I1914" s="80" t="s">
        <v>452</v>
      </c>
      <c r="J1914" s="25" t="s">
        <v>27</v>
      </c>
      <c r="K1914" s="25" t="s">
        <v>9</v>
      </c>
      <c r="L1914" s="25" t="s">
        <v>30</v>
      </c>
      <c r="M1914" s="25"/>
      <c r="N1914" s="25" t="s">
        <v>98</v>
      </c>
      <c r="Q1914" s="99"/>
    </row>
    <row r="1915">
      <c r="A1915" s="141"/>
      <c r="B1915" s="134" t="s">
        <v>527</v>
      </c>
      <c r="C1915" s="134" t="s">
        <v>19</v>
      </c>
      <c r="D1915" s="133" t="s">
        <v>749</v>
      </c>
      <c r="E1915" s="241">
        <v>43127.0</v>
      </c>
      <c r="F1915" s="35" t="str">
        <f t="shared" si="173"/>
        <v>Jan-2018</v>
      </c>
      <c r="G1915" s="55" t="s">
        <v>480</v>
      </c>
      <c r="H1915" s="55" t="s">
        <v>35</v>
      </c>
      <c r="I1915" s="113" t="s">
        <v>452</v>
      </c>
      <c r="J1915" s="55" t="s">
        <v>27</v>
      </c>
      <c r="K1915" s="55" t="s">
        <v>9</v>
      </c>
      <c r="L1915" s="55" t="s">
        <v>24</v>
      </c>
      <c r="M1915" s="55"/>
      <c r="N1915" s="55" t="s">
        <v>99</v>
      </c>
      <c r="O1915" s="143"/>
      <c r="P1915" s="143"/>
      <c r="Q1915" s="144"/>
    </row>
    <row r="1916">
      <c r="A1916" s="107"/>
      <c r="B1916" s="95"/>
      <c r="C1916" s="95"/>
      <c r="D1916" s="95"/>
      <c r="E1916" s="95"/>
      <c r="I1916" s="23"/>
    </row>
    <row r="1917">
      <c r="A1917" s="133" t="s">
        <v>759</v>
      </c>
      <c r="B1917" s="134" t="s">
        <v>760</v>
      </c>
      <c r="C1917" s="134" t="s">
        <v>84</v>
      </c>
      <c r="D1917" s="133" t="s">
        <v>759</v>
      </c>
      <c r="E1917" s="239">
        <v>43134.0</v>
      </c>
      <c r="F1917" s="110" t="str">
        <f t="shared" ref="F1917:F1939" si="174">TEXT(E1909:E1917, "mmm") &amp; "-" &amp; TEXT(E1909:E1917, "yyyy") </f>
        <v>Feb-2018</v>
      </c>
      <c r="G1917" s="110" t="s">
        <v>20</v>
      </c>
      <c r="H1917" s="47" t="s">
        <v>287</v>
      </c>
      <c r="I1917" s="79" t="s">
        <v>325</v>
      </c>
      <c r="J1917" s="47" t="s">
        <v>86</v>
      </c>
      <c r="K1917" s="47" t="s">
        <v>9</v>
      </c>
      <c r="L1917" s="47" t="s">
        <v>30</v>
      </c>
      <c r="M1917" s="47" t="s">
        <v>30</v>
      </c>
      <c r="N1917" s="47" t="s">
        <v>99</v>
      </c>
      <c r="O1917" s="152"/>
      <c r="P1917" s="152"/>
      <c r="Q1917" s="153"/>
    </row>
    <row r="1918">
      <c r="A1918" s="134" t="s">
        <v>760</v>
      </c>
      <c r="B1918" s="134" t="s">
        <v>760</v>
      </c>
      <c r="C1918" s="134" t="s">
        <v>84</v>
      </c>
      <c r="D1918" s="133" t="s">
        <v>759</v>
      </c>
      <c r="E1918" s="240">
        <v>43134.0</v>
      </c>
      <c r="F1918" s="13" t="str">
        <f t="shared" si="174"/>
        <v>Feb-2018</v>
      </c>
      <c r="G1918" s="13" t="s">
        <v>25</v>
      </c>
      <c r="H1918" s="16" t="s">
        <v>287</v>
      </c>
      <c r="I1918" s="48" t="s">
        <v>325</v>
      </c>
      <c r="J1918" s="16" t="s">
        <v>86</v>
      </c>
      <c r="K1918" s="16" t="s">
        <v>9</v>
      </c>
      <c r="L1918" s="16" t="s">
        <v>30</v>
      </c>
      <c r="M1918" s="16"/>
      <c r="N1918" s="16" t="s">
        <v>98</v>
      </c>
      <c r="O1918" s="101"/>
      <c r="P1918" s="101"/>
      <c r="Q1918" s="102"/>
    </row>
    <row r="1919">
      <c r="A1919" s="134" t="s">
        <v>761</v>
      </c>
      <c r="B1919" s="134" t="s">
        <v>760</v>
      </c>
      <c r="C1919" s="134" t="s">
        <v>84</v>
      </c>
      <c r="D1919" s="133" t="s">
        <v>759</v>
      </c>
      <c r="E1919" s="240">
        <v>43134.0</v>
      </c>
      <c r="F1919" s="13" t="str">
        <f t="shared" si="174"/>
        <v>Feb-2018</v>
      </c>
      <c r="G1919" s="21" t="s">
        <v>20</v>
      </c>
      <c r="H1919" s="25" t="s">
        <v>287</v>
      </c>
      <c r="I1919" s="80" t="s">
        <v>762</v>
      </c>
      <c r="J1919" s="25" t="s">
        <v>86</v>
      </c>
      <c r="K1919" s="25" t="s">
        <v>9</v>
      </c>
      <c r="L1919" s="25" t="s">
        <v>30</v>
      </c>
      <c r="M1919" s="25" t="s">
        <v>30</v>
      </c>
      <c r="N1919" s="25" t="s">
        <v>29</v>
      </c>
      <c r="Q1919" s="99"/>
    </row>
    <row r="1920">
      <c r="A1920" s="134" t="s">
        <v>84</v>
      </c>
      <c r="B1920" s="134" t="s">
        <v>760</v>
      </c>
      <c r="C1920" s="134" t="s">
        <v>84</v>
      </c>
      <c r="D1920" s="133" t="s">
        <v>759</v>
      </c>
      <c r="E1920" s="240">
        <v>43134.0</v>
      </c>
      <c r="F1920" s="13" t="str">
        <f t="shared" si="174"/>
        <v>Feb-2018</v>
      </c>
      <c r="G1920" s="21" t="s">
        <v>25</v>
      </c>
      <c r="H1920" s="25" t="s">
        <v>287</v>
      </c>
      <c r="I1920" s="80" t="s">
        <v>762</v>
      </c>
      <c r="J1920" s="25" t="s">
        <v>86</v>
      </c>
      <c r="K1920" s="25" t="s">
        <v>9</v>
      </c>
      <c r="L1920" s="25" t="s">
        <v>30</v>
      </c>
      <c r="M1920" s="25"/>
      <c r="N1920" s="25" t="s">
        <v>98</v>
      </c>
      <c r="Q1920" s="99"/>
    </row>
    <row r="1921">
      <c r="A1921" s="168">
        <v>43134.0</v>
      </c>
      <c r="B1921" s="134" t="s">
        <v>760</v>
      </c>
      <c r="C1921" s="134" t="s">
        <v>84</v>
      </c>
      <c r="D1921" s="133" t="s">
        <v>759</v>
      </c>
      <c r="E1921" s="240">
        <v>43134.0</v>
      </c>
      <c r="F1921" s="13" t="str">
        <f t="shared" si="174"/>
        <v>Feb-2018</v>
      </c>
      <c r="G1921" s="13" t="s">
        <v>20</v>
      </c>
      <c r="H1921" s="16" t="s">
        <v>287</v>
      </c>
      <c r="I1921" s="48" t="s">
        <v>120</v>
      </c>
      <c r="J1921" s="16" t="s">
        <v>9</v>
      </c>
      <c r="K1921" s="16" t="s">
        <v>9</v>
      </c>
      <c r="L1921" s="16" t="s">
        <v>30</v>
      </c>
      <c r="M1921" s="16" t="s">
        <v>30</v>
      </c>
      <c r="N1921" s="16" t="s">
        <v>98</v>
      </c>
      <c r="O1921" s="101"/>
      <c r="P1921" s="101"/>
      <c r="Q1921" s="102"/>
    </row>
    <row r="1922">
      <c r="A1922" s="176" t="s">
        <v>763</v>
      </c>
      <c r="B1922" s="134" t="s">
        <v>760</v>
      </c>
      <c r="C1922" s="134" t="s">
        <v>84</v>
      </c>
      <c r="D1922" s="133" t="s">
        <v>759</v>
      </c>
      <c r="E1922" s="240">
        <v>43134.0</v>
      </c>
      <c r="F1922" s="13" t="str">
        <f t="shared" si="174"/>
        <v>Feb-2018</v>
      </c>
      <c r="G1922" s="13" t="s">
        <v>25</v>
      </c>
      <c r="H1922" s="16" t="s">
        <v>287</v>
      </c>
      <c r="I1922" s="48" t="s">
        <v>120</v>
      </c>
      <c r="J1922" s="16" t="s">
        <v>9</v>
      </c>
      <c r="K1922" s="16" t="s">
        <v>9</v>
      </c>
      <c r="L1922" s="16" t="s">
        <v>24</v>
      </c>
      <c r="M1922" s="16"/>
      <c r="N1922" s="16" t="s">
        <v>98</v>
      </c>
      <c r="O1922" s="101"/>
      <c r="P1922" s="101"/>
      <c r="Q1922" s="102"/>
    </row>
    <row r="1923">
      <c r="A1923" s="140"/>
      <c r="B1923" s="134" t="s">
        <v>760</v>
      </c>
      <c r="C1923" s="134" t="s">
        <v>84</v>
      </c>
      <c r="D1923" s="133" t="s">
        <v>759</v>
      </c>
      <c r="E1923" s="240">
        <v>43134.0</v>
      </c>
      <c r="F1923" s="13" t="str">
        <f t="shared" si="174"/>
        <v>Feb-2018</v>
      </c>
      <c r="G1923" s="16" t="s">
        <v>32</v>
      </c>
      <c r="H1923" s="16" t="s">
        <v>287</v>
      </c>
      <c r="I1923" s="48" t="s">
        <v>120</v>
      </c>
      <c r="J1923" s="16" t="s">
        <v>9</v>
      </c>
      <c r="K1923" s="16" t="s">
        <v>9</v>
      </c>
      <c r="L1923" s="16" t="s">
        <v>30</v>
      </c>
      <c r="M1923" s="16"/>
      <c r="N1923" s="16" t="s">
        <v>99</v>
      </c>
      <c r="O1923" s="101"/>
      <c r="P1923" s="101"/>
      <c r="Q1923" s="102"/>
    </row>
    <row r="1924">
      <c r="A1924" s="140"/>
      <c r="B1924" s="134" t="s">
        <v>760</v>
      </c>
      <c r="C1924" s="134" t="s">
        <v>84</v>
      </c>
      <c r="D1924" s="133" t="s">
        <v>759</v>
      </c>
      <c r="E1924" s="240">
        <v>43134.0</v>
      </c>
      <c r="F1924" s="13" t="str">
        <f t="shared" si="174"/>
        <v>Feb-2018</v>
      </c>
      <c r="G1924" s="21" t="s">
        <v>20</v>
      </c>
      <c r="H1924" s="25" t="s">
        <v>287</v>
      </c>
      <c r="I1924" s="80" t="s">
        <v>764</v>
      </c>
      <c r="J1924" s="25" t="s">
        <v>27</v>
      </c>
      <c r="K1924" s="25" t="s">
        <v>9</v>
      </c>
      <c r="L1924" s="25" t="s">
        <v>30</v>
      </c>
      <c r="M1924" s="25" t="s">
        <v>30</v>
      </c>
      <c r="N1924" s="25" t="s">
        <v>69</v>
      </c>
      <c r="Q1924" s="99"/>
    </row>
    <row r="1925">
      <c r="A1925" s="140"/>
      <c r="B1925" s="134" t="s">
        <v>760</v>
      </c>
      <c r="C1925" s="134" t="s">
        <v>84</v>
      </c>
      <c r="D1925" s="133" t="s">
        <v>759</v>
      </c>
      <c r="E1925" s="240">
        <v>43134.0</v>
      </c>
      <c r="F1925" s="13" t="str">
        <f t="shared" si="174"/>
        <v>Feb-2018</v>
      </c>
      <c r="G1925" s="21" t="s">
        <v>25</v>
      </c>
      <c r="H1925" s="25" t="s">
        <v>287</v>
      </c>
      <c r="I1925" s="80" t="s">
        <v>764</v>
      </c>
      <c r="J1925" s="25" t="s">
        <v>27</v>
      </c>
      <c r="K1925" s="25" t="s">
        <v>9</v>
      </c>
      <c r="L1925" s="25" t="s">
        <v>30</v>
      </c>
      <c r="M1925" s="25"/>
      <c r="N1925" s="25" t="s">
        <v>29</v>
      </c>
      <c r="Q1925" s="99"/>
    </row>
    <row r="1926">
      <c r="A1926" s="140"/>
      <c r="B1926" s="134" t="s">
        <v>760</v>
      </c>
      <c r="C1926" s="134" t="s">
        <v>84</v>
      </c>
      <c r="D1926" s="133" t="s">
        <v>759</v>
      </c>
      <c r="E1926" s="240">
        <v>43134.0</v>
      </c>
      <c r="F1926" s="13" t="str">
        <f t="shared" si="174"/>
        <v>Feb-2018</v>
      </c>
      <c r="G1926" s="13" t="s">
        <v>20</v>
      </c>
      <c r="H1926" s="16" t="s">
        <v>287</v>
      </c>
      <c r="I1926" s="48" t="s">
        <v>765</v>
      </c>
      <c r="J1926" s="16" t="s">
        <v>9</v>
      </c>
      <c r="K1926" s="16" t="s">
        <v>9</v>
      </c>
      <c r="L1926" s="16" t="s">
        <v>30</v>
      </c>
      <c r="M1926" s="16" t="s">
        <v>30</v>
      </c>
      <c r="N1926" s="16" t="s">
        <v>98</v>
      </c>
      <c r="O1926" s="101"/>
      <c r="P1926" s="101"/>
      <c r="Q1926" s="102"/>
    </row>
    <row r="1927">
      <c r="A1927" s="140"/>
      <c r="B1927" s="134" t="s">
        <v>760</v>
      </c>
      <c r="C1927" s="134" t="s">
        <v>84</v>
      </c>
      <c r="D1927" s="133" t="s">
        <v>759</v>
      </c>
      <c r="E1927" s="240">
        <v>43134.0</v>
      </c>
      <c r="F1927" s="13" t="str">
        <f t="shared" si="174"/>
        <v>Feb-2018</v>
      </c>
      <c r="G1927" s="13" t="s">
        <v>25</v>
      </c>
      <c r="H1927" s="16" t="s">
        <v>287</v>
      </c>
      <c r="I1927" s="48" t="s">
        <v>765</v>
      </c>
      <c r="J1927" s="16" t="s">
        <v>9</v>
      </c>
      <c r="K1927" s="16" t="s">
        <v>9</v>
      </c>
      <c r="L1927" s="16" t="s">
        <v>30</v>
      </c>
      <c r="M1927" s="16"/>
      <c r="N1927" s="16" t="s">
        <v>106</v>
      </c>
      <c r="O1927" s="101"/>
      <c r="P1927" s="101"/>
      <c r="Q1927" s="102"/>
    </row>
    <row r="1928">
      <c r="A1928" s="140"/>
      <c r="B1928" s="134" t="s">
        <v>760</v>
      </c>
      <c r="C1928" s="134" t="s">
        <v>84</v>
      </c>
      <c r="D1928" s="133" t="s">
        <v>759</v>
      </c>
      <c r="E1928" s="240">
        <v>43134.0</v>
      </c>
      <c r="F1928" s="13" t="str">
        <f t="shared" si="174"/>
        <v>Feb-2018</v>
      </c>
      <c r="G1928" s="21" t="s">
        <v>20</v>
      </c>
      <c r="H1928" s="25" t="s">
        <v>287</v>
      </c>
      <c r="I1928" s="80" t="s">
        <v>226</v>
      </c>
      <c r="J1928" s="25" t="s">
        <v>9</v>
      </c>
      <c r="K1928" s="25" t="s">
        <v>9</v>
      </c>
      <c r="L1928" s="25" t="s">
        <v>30</v>
      </c>
      <c r="M1928" s="25" t="s">
        <v>30</v>
      </c>
      <c r="N1928" s="25" t="s">
        <v>69</v>
      </c>
      <c r="Q1928" s="99"/>
    </row>
    <row r="1929">
      <c r="A1929" s="140"/>
      <c r="B1929" s="134" t="s">
        <v>760</v>
      </c>
      <c r="C1929" s="134" t="s">
        <v>84</v>
      </c>
      <c r="D1929" s="133" t="s">
        <v>759</v>
      </c>
      <c r="E1929" s="240">
        <v>43134.0</v>
      </c>
      <c r="F1929" s="13" t="str">
        <f t="shared" si="174"/>
        <v>Feb-2018</v>
      </c>
      <c r="G1929" s="21" t="s">
        <v>25</v>
      </c>
      <c r="H1929" s="25" t="s">
        <v>287</v>
      </c>
      <c r="I1929" s="80" t="s">
        <v>226</v>
      </c>
      <c r="J1929" s="25" t="s">
        <v>9</v>
      </c>
      <c r="K1929" s="25" t="s">
        <v>9</v>
      </c>
      <c r="L1929" s="25" t="s">
        <v>30</v>
      </c>
      <c r="M1929" s="25"/>
      <c r="N1929" s="25" t="s">
        <v>106</v>
      </c>
      <c r="Q1929" s="99"/>
    </row>
    <row r="1930">
      <c r="A1930" s="140"/>
      <c r="B1930" s="134" t="s">
        <v>760</v>
      </c>
      <c r="C1930" s="134" t="s">
        <v>84</v>
      </c>
      <c r="D1930" s="133" t="s">
        <v>759</v>
      </c>
      <c r="E1930" s="240">
        <v>43134.0</v>
      </c>
      <c r="F1930" s="13" t="str">
        <f t="shared" si="174"/>
        <v>Feb-2018</v>
      </c>
      <c r="G1930" s="13" t="s">
        <v>20</v>
      </c>
      <c r="H1930" s="16" t="s">
        <v>35</v>
      </c>
      <c r="I1930" s="48" t="s">
        <v>766</v>
      </c>
      <c r="J1930" s="16" t="s">
        <v>9</v>
      </c>
      <c r="K1930" s="16" t="s">
        <v>9</v>
      </c>
      <c r="L1930" s="16" t="s">
        <v>30</v>
      </c>
      <c r="M1930" s="16" t="s">
        <v>30</v>
      </c>
      <c r="N1930" s="16" t="s">
        <v>37</v>
      </c>
      <c r="O1930" s="101"/>
      <c r="P1930" s="101"/>
      <c r="Q1930" s="102"/>
    </row>
    <row r="1931">
      <c r="A1931" s="140"/>
      <c r="B1931" s="134" t="s">
        <v>760</v>
      </c>
      <c r="C1931" s="134" t="s">
        <v>84</v>
      </c>
      <c r="D1931" s="133" t="s">
        <v>759</v>
      </c>
      <c r="E1931" s="240">
        <v>43134.0</v>
      </c>
      <c r="F1931" s="13" t="str">
        <f t="shared" si="174"/>
        <v>Feb-2018</v>
      </c>
      <c r="G1931" s="13" t="s">
        <v>25</v>
      </c>
      <c r="H1931" s="16" t="s">
        <v>35</v>
      </c>
      <c r="I1931" s="48" t="s">
        <v>766</v>
      </c>
      <c r="J1931" s="16" t="s">
        <v>9</v>
      </c>
      <c r="K1931" s="16" t="s">
        <v>9</v>
      </c>
      <c r="L1931" s="16" t="s">
        <v>30</v>
      </c>
      <c r="M1931" s="16"/>
      <c r="N1931" s="16" t="s">
        <v>98</v>
      </c>
      <c r="O1931" s="101"/>
      <c r="P1931" s="101"/>
      <c r="Q1931" s="102"/>
    </row>
    <row r="1932">
      <c r="A1932" s="140"/>
      <c r="B1932" s="134" t="s">
        <v>760</v>
      </c>
      <c r="C1932" s="134" t="s">
        <v>84</v>
      </c>
      <c r="D1932" s="133" t="s">
        <v>759</v>
      </c>
      <c r="E1932" s="240">
        <v>43134.0</v>
      </c>
      <c r="F1932" s="13" t="str">
        <f t="shared" si="174"/>
        <v>Feb-2018</v>
      </c>
      <c r="G1932" s="21" t="s">
        <v>20</v>
      </c>
      <c r="H1932" s="25" t="s">
        <v>35</v>
      </c>
      <c r="I1932" s="80" t="s">
        <v>219</v>
      </c>
      <c r="J1932" s="25" t="s">
        <v>97</v>
      </c>
      <c r="K1932" s="25" t="s">
        <v>9</v>
      </c>
      <c r="L1932" s="25" t="s">
        <v>30</v>
      </c>
      <c r="M1932" s="25" t="s">
        <v>30</v>
      </c>
      <c r="N1932" s="25" t="s">
        <v>98</v>
      </c>
      <c r="Q1932" s="99"/>
    </row>
    <row r="1933">
      <c r="A1933" s="140"/>
      <c r="B1933" s="134" t="s">
        <v>760</v>
      </c>
      <c r="C1933" s="134" t="s">
        <v>84</v>
      </c>
      <c r="D1933" s="133" t="s">
        <v>759</v>
      </c>
      <c r="E1933" s="240">
        <v>43134.0</v>
      </c>
      <c r="F1933" s="13" t="str">
        <f t="shared" si="174"/>
        <v>Feb-2018</v>
      </c>
      <c r="G1933" s="21" t="s">
        <v>25</v>
      </c>
      <c r="H1933" s="25" t="s">
        <v>35</v>
      </c>
      <c r="I1933" s="80" t="s">
        <v>219</v>
      </c>
      <c r="J1933" s="25" t="s">
        <v>97</v>
      </c>
      <c r="K1933" s="25" t="s">
        <v>9</v>
      </c>
      <c r="L1933" s="25" t="s">
        <v>30</v>
      </c>
      <c r="M1933" s="25"/>
      <c r="N1933" s="25" t="s">
        <v>37</v>
      </c>
      <c r="Q1933" s="99"/>
    </row>
    <row r="1934">
      <c r="A1934" s="140"/>
      <c r="B1934" s="134" t="s">
        <v>760</v>
      </c>
      <c r="C1934" s="134" t="s">
        <v>84</v>
      </c>
      <c r="D1934" s="133" t="s">
        <v>759</v>
      </c>
      <c r="E1934" s="240">
        <v>43134.0</v>
      </c>
      <c r="F1934" s="13" t="str">
        <f t="shared" si="174"/>
        <v>Feb-2018</v>
      </c>
      <c r="G1934" s="13" t="s">
        <v>20</v>
      </c>
      <c r="H1934" s="16" t="s">
        <v>35</v>
      </c>
      <c r="I1934" s="48" t="s">
        <v>47</v>
      </c>
      <c r="J1934" s="16" t="s">
        <v>48</v>
      </c>
      <c r="K1934" s="16" t="s">
        <v>9</v>
      </c>
      <c r="L1934" s="16" t="s">
        <v>30</v>
      </c>
      <c r="M1934" s="16" t="s">
        <v>24</v>
      </c>
      <c r="N1934" s="16" t="s">
        <v>29</v>
      </c>
      <c r="O1934" s="101"/>
      <c r="P1934" s="101"/>
      <c r="Q1934" s="102"/>
    </row>
    <row r="1935">
      <c r="A1935" s="140"/>
      <c r="B1935" s="134" t="s">
        <v>760</v>
      </c>
      <c r="C1935" s="134" t="s">
        <v>84</v>
      </c>
      <c r="D1935" s="133" t="s">
        <v>759</v>
      </c>
      <c r="E1935" s="240">
        <v>43134.0</v>
      </c>
      <c r="F1935" s="13" t="str">
        <f t="shared" si="174"/>
        <v>Feb-2018</v>
      </c>
      <c r="G1935" s="13" t="s">
        <v>25</v>
      </c>
      <c r="H1935" s="16" t="s">
        <v>35</v>
      </c>
      <c r="I1935" s="48" t="s">
        <v>47</v>
      </c>
      <c r="J1935" s="16" t="s">
        <v>48</v>
      </c>
      <c r="K1935" s="16" t="s">
        <v>9</v>
      </c>
      <c r="L1935" s="16" t="s">
        <v>24</v>
      </c>
      <c r="M1935" s="16"/>
      <c r="N1935" s="16" t="s">
        <v>99</v>
      </c>
      <c r="O1935" s="101"/>
      <c r="P1935" s="101"/>
      <c r="Q1935" s="102"/>
    </row>
    <row r="1936">
      <c r="A1936" s="140"/>
      <c r="B1936" s="134" t="s">
        <v>760</v>
      </c>
      <c r="C1936" s="134" t="s">
        <v>84</v>
      </c>
      <c r="D1936" s="133" t="s">
        <v>759</v>
      </c>
      <c r="E1936" s="240">
        <v>43134.0</v>
      </c>
      <c r="F1936" s="13" t="str">
        <f t="shared" si="174"/>
        <v>Feb-2018</v>
      </c>
      <c r="G1936" s="16" t="s">
        <v>32</v>
      </c>
      <c r="H1936" s="16" t="s">
        <v>35</v>
      </c>
      <c r="I1936" s="48" t="s">
        <v>47</v>
      </c>
      <c r="J1936" s="16" t="s">
        <v>48</v>
      </c>
      <c r="K1936" s="16" t="s">
        <v>9</v>
      </c>
      <c r="L1936" s="16" t="s">
        <v>24</v>
      </c>
      <c r="M1936" s="16"/>
      <c r="N1936" s="16" t="s">
        <v>106</v>
      </c>
      <c r="O1936" s="101"/>
      <c r="P1936" s="101"/>
      <c r="Q1936" s="102"/>
    </row>
    <row r="1937">
      <c r="A1937" s="140"/>
      <c r="B1937" s="134" t="s">
        <v>760</v>
      </c>
      <c r="C1937" s="134" t="s">
        <v>84</v>
      </c>
      <c r="D1937" s="133" t="s">
        <v>759</v>
      </c>
      <c r="E1937" s="240">
        <v>43134.0</v>
      </c>
      <c r="F1937" s="13" t="str">
        <f t="shared" si="174"/>
        <v>Feb-2018</v>
      </c>
      <c r="G1937" s="21" t="s">
        <v>20</v>
      </c>
      <c r="H1937" s="25" t="s">
        <v>35</v>
      </c>
      <c r="I1937" s="80" t="s">
        <v>190</v>
      </c>
      <c r="J1937" s="25" t="s">
        <v>9</v>
      </c>
      <c r="K1937" s="25" t="s">
        <v>9</v>
      </c>
      <c r="L1937" s="25" t="s">
        <v>24</v>
      </c>
      <c r="M1937" s="25" t="s">
        <v>24</v>
      </c>
      <c r="N1937" s="25" t="s">
        <v>98</v>
      </c>
      <c r="Q1937" s="99"/>
    </row>
    <row r="1938">
      <c r="A1938" s="140"/>
      <c r="B1938" s="134" t="s">
        <v>760</v>
      </c>
      <c r="C1938" s="134" t="s">
        <v>84</v>
      </c>
      <c r="D1938" s="133" t="s">
        <v>759</v>
      </c>
      <c r="E1938" s="240">
        <v>43134.0</v>
      </c>
      <c r="F1938" s="13" t="str">
        <f t="shared" si="174"/>
        <v>Feb-2018</v>
      </c>
      <c r="G1938" s="21" t="s">
        <v>25</v>
      </c>
      <c r="H1938" s="25" t="s">
        <v>35</v>
      </c>
      <c r="I1938" s="80" t="s">
        <v>190</v>
      </c>
      <c r="J1938" s="25" t="s">
        <v>9</v>
      </c>
      <c r="K1938" s="25" t="s">
        <v>9</v>
      </c>
      <c r="L1938" s="25" t="s">
        <v>30</v>
      </c>
      <c r="M1938" s="25"/>
      <c r="N1938" s="25" t="s">
        <v>69</v>
      </c>
      <c r="Q1938" s="99"/>
    </row>
    <row r="1939">
      <c r="A1939" s="141"/>
      <c r="B1939" s="134" t="s">
        <v>760</v>
      </c>
      <c r="C1939" s="134" t="s">
        <v>84</v>
      </c>
      <c r="D1939" s="133" t="s">
        <v>759</v>
      </c>
      <c r="E1939" s="241">
        <v>43134.0</v>
      </c>
      <c r="F1939" s="35" t="str">
        <f t="shared" si="174"/>
        <v>Feb-2018</v>
      </c>
      <c r="G1939" s="114" t="s">
        <v>32</v>
      </c>
      <c r="H1939" s="55" t="s">
        <v>35</v>
      </c>
      <c r="I1939" s="113" t="s">
        <v>190</v>
      </c>
      <c r="J1939" s="55" t="s">
        <v>9</v>
      </c>
      <c r="K1939" s="55" t="s">
        <v>9</v>
      </c>
      <c r="L1939" s="55" t="s">
        <v>24</v>
      </c>
      <c r="M1939" s="55"/>
      <c r="N1939" s="55" t="s">
        <v>37</v>
      </c>
      <c r="O1939" s="143"/>
      <c r="P1939" s="143"/>
      <c r="Q1939" s="144"/>
    </row>
    <row r="1940">
      <c r="A1940" s="107"/>
      <c r="B1940" s="95"/>
      <c r="C1940" s="95"/>
      <c r="D1940" s="95"/>
      <c r="E1940" s="95"/>
      <c r="I1940" s="23"/>
    </row>
    <row r="1941">
      <c r="A1941" s="133" t="s">
        <v>767</v>
      </c>
      <c r="B1941" s="134" t="s">
        <v>203</v>
      </c>
      <c r="C1941" s="134" t="s">
        <v>74</v>
      </c>
      <c r="D1941" s="133" t="s">
        <v>767</v>
      </c>
      <c r="E1941" s="239">
        <v>43136.0</v>
      </c>
      <c r="F1941" s="110" t="str">
        <f t="shared" ref="F1941:F1949" si="175">TEXT(E1933:E1941, "mmm") &amp; "-" &amp; TEXT(E1933:E1941, "yyyy") </f>
        <v>Feb-2018</v>
      </c>
      <c r="G1941" s="110" t="s">
        <v>20</v>
      </c>
      <c r="H1941" s="47" t="s">
        <v>35</v>
      </c>
      <c r="I1941" s="79" t="s">
        <v>112</v>
      </c>
      <c r="J1941" s="47" t="s">
        <v>86</v>
      </c>
      <c r="K1941" s="47" t="s">
        <v>9</v>
      </c>
      <c r="L1941" s="47" t="s">
        <v>24</v>
      </c>
      <c r="M1941" s="47" t="s">
        <v>24</v>
      </c>
      <c r="N1941" s="47" t="s">
        <v>69</v>
      </c>
      <c r="O1941" s="152"/>
      <c r="P1941" s="152"/>
      <c r="Q1941" s="153"/>
    </row>
    <row r="1942">
      <c r="A1942" s="134" t="s">
        <v>203</v>
      </c>
      <c r="B1942" s="134" t="s">
        <v>203</v>
      </c>
      <c r="C1942" s="134" t="s">
        <v>74</v>
      </c>
      <c r="D1942" s="133" t="s">
        <v>767</v>
      </c>
      <c r="E1942" s="240">
        <v>43136.0</v>
      </c>
      <c r="F1942" s="13" t="str">
        <f t="shared" si="175"/>
        <v>Feb-2018</v>
      </c>
      <c r="G1942" s="13" t="s">
        <v>25</v>
      </c>
      <c r="H1942" s="16" t="s">
        <v>35</v>
      </c>
      <c r="I1942" s="48" t="s">
        <v>112</v>
      </c>
      <c r="J1942" s="16" t="s">
        <v>86</v>
      </c>
      <c r="K1942" s="16" t="s">
        <v>9</v>
      </c>
      <c r="L1942" s="16" t="s">
        <v>30</v>
      </c>
      <c r="M1942" s="16"/>
      <c r="N1942" s="16" t="s">
        <v>69</v>
      </c>
      <c r="O1942" s="101"/>
      <c r="P1942" s="101"/>
      <c r="Q1942" s="102"/>
    </row>
    <row r="1943">
      <c r="A1943" s="134" t="s">
        <v>768</v>
      </c>
      <c r="B1943" s="134" t="s">
        <v>203</v>
      </c>
      <c r="C1943" s="134" t="s">
        <v>74</v>
      </c>
      <c r="D1943" s="133" t="s">
        <v>767</v>
      </c>
      <c r="E1943" s="240">
        <v>43136.0</v>
      </c>
      <c r="F1943" s="13" t="str">
        <f t="shared" si="175"/>
        <v>Feb-2018</v>
      </c>
      <c r="G1943" s="16" t="s">
        <v>32</v>
      </c>
      <c r="H1943" s="16" t="s">
        <v>35</v>
      </c>
      <c r="I1943" s="48" t="s">
        <v>112</v>
      </c>
      <c r="J1943" s="16" t="s">
        <v>86</v>
      </c>
      <c r="K1943" s="16" t="s">
        <v>9</v>
      </c>
      <c r="L1943" s="16" t="s">
        <v>24</v>
      </c>
      <c r="M1943" s="16"/>
      <c r="N1943" s="16" t="s">
        <v>98</v>
      </c>
      <c r="O1943" s="101"/>
      <c r="P1943" s="101"/>
      <c r="Q1943" s="102"/>
    </row>
    <row r="1944">
      <c r="A1944" s="168">
        <v>43136.0</v>
      </c>
      <c r="B1944" s="134" t="s">
        <v>203</v>
      </c>
      <c r="C1944" s="134" t="s">
        <v>74</v>
      </c>
      <c r="D1944" s="133" t="s">
        <v>767</v>
      </c>
      <c r="E1944" s="240">
        <v>43136.0</v>
      </c>
      <c r="F1944" s="13" t="str">
        <f t="shared" si="175"/>
        <v>Feb-2018</v>
      </c>
      <c r="G1944" s="21" t="s">
        <v>20</v>
      </c>
      <c r="H1944" s="25" t="s">
        <v>35</v>
      </c>
      <c r="I1944" s="80" t="s">
        <v>245</v>
      </c>
      <c r="J1944" s="25" t="s">
        <v>27</v>
      </c>
      <c r="K1944" s="25" t="s">
        <v>9</v>
      </c>
      <c r="L1944" s="25" t="s">
        <v>30</v>
      </c>
      <c r="M1944" s="25" t="s">
        <v>30</v>
      </c>
      <c r="N1944" s="25" t="s">
        <v>69</v>
      </c>
      <c r="Q1944" s="99"/>
    </row>
    <row r="1945">
      <c r="A1945" s="134" t="s">
        <v>74</v>
      </c>
      <c r="B1945" s="134" t="s">
        <v>203</v>
      </c>
      <c r="C1945" s="134" t="s">
        <v>74</v>
      </c>
      <c r="D1945" s="133" t="s">
        <v>767</v>
      </c>
      <c r="E1945" s="240">
        <v>43136.0</v>
      </c>
      <c r="F1945" s="13" t="str">
        <f t="shared" si="175"/>
        <v>Feb-2018</v>
      </c>
      <c r="G1945" s="21" t="s">
        <v>25</v>
      </c>
      <c r="H1945" s="25" t="s">
        <v>35</v>
      </c>
      <c r="I1945" s="80" t="s">
        <v>245</v>
      </c>
      <c r="J1945" s="25" t="s">
        <v>27</v>
      </c>
      <c r="K1945" s="25" t="s">
        <v>9</v>
      </c>
      <c r="L1945" s="25" t="s">
        <v>30</v>
      </c>
      <c r="M1945" s="25"/>
      <c r="N1945" s="25" t="s">
        <v>106</v>
      </c>
      <c r="Q1945" s="99"/>
    </row>
    <row r="1946">
      <c r="A1946" s="176" t="s">
        <v>769</v>
      </c>
      <c r="B1946" s="134" t="s">
        <v>203</v>
      </c>
      <c r="C1946" s="134" t="s">
        <v>74</v>
      </c>
      <c r="D1946" s="133" t="s">
        <v>767</v>
      </c>
      <c r="E1946" s="240">
        <v>43136.0</v>
      </c>
      <c r="F1946" s="13" t="str">
        <f t="shared" si="175"/>
        <v>Feb-2018</v>
      </c>
      <c r="G1946" s="13" t="s">
        <v>20</v>
      </c>
      <c r="H1946" s="16" t="s">
        <v>35</v>
      </c>
      <c r="I1946" s="48" t="s">
        <v>770</v>
      </c>
      <c r="J1946" s="16" t="s">
        <v>23</v>
      </c>
      <c r="K1946" s="16" t="s">
        <v>9</v>
      </c>
      <c r="L1946" s="16" t="s">
        <v>30</v>
      </c>
      <c r="M1946" s="16" t="s">
        <v>30</v>
      </c>
      <c r="N1946" s="16" t="s">
        <v>37</v>
      </c>
      <c r="O1946" s="101"/>
      <c r="P1946" s="101"/>
      <c r="Q1946" s="102"/>
    </row>
    <row r="1947">
      <c r="A1947" s="140"/>
      <c r="B1947" s="134" t="s">
        <v>203</v>
      </c>
      <c r="C1947" s="134" t="s">
        <v>74</v>
      </c>
      <c r="D1947" s="133" t="s">
        <v>767</v>
      </c>
      <c r="E1947" s="240">
        <v>43136.0</v>
      </c>
      <c r="F1947" s="13" t="str">
        <f t="shared" si="175"/>
        <v>Feb-2018</v>
      </c>
      <c r="G1947" s="13" t="s">
        <v>25</v>
      </c>
      <c r="H1947" s="16" t="s">
        <v>35</v>
      </c>
      <c r="I1947" s="48" t="s">
        <v>770</v>
      </c>
      <c r="J1947" s="16" t="s">
        <v>23</v>
      </c>
      <c r="K1947" s="16" t="s">
        <v>9</v>
      </c>
      <c r="L1947" s="16" t="s">
        <v>30</v>
      </c>
      <c r="M1947" s="16"/>
      <c r="N1947" s="16" t="s">
        <v>99</v>
      </c>
      <c r="O1947" s="101"/>
      <c r="P1947" s="101"/>
      <c r="Q1947" s="102"/>
    </row>
    <row r="1948">
      <c r="A1948" s="140"/>
      <c r="B1948" s="134" t="s">
        <v>203</v>
      </c>
      <c r="C1948" s="134" t="s">
        <v>74</v>
      </c>
      <c r="D1948" s="133" t="s">
        <v>767</v>
      </c>
      <c r="E1948" s="240">
        <v>43136.0</v>
      </c>
      <c r="F1948" s="13" t="str">
        <f t="shared" si="175"/>
        <v>Feb-2018</v>
      </c>
      <c r="G1948" s="21" t="s">
        <v>20</v>
      </c>
      <c r="H1948" s="25" t="s">
        <v>35</v>
      </c>
      <c r="I1948" s="80" t="s">
        <v>771</v>
      </c>
      <c r="J1948" s="25" t="s">
        <v>64</v>
      </c>
      <c r="K1948" s="25" t="s">
        <v>9</v>
      </c>
      <c r="L1948" s="25" t="s">
        <v>24</v>
      </c>
      <c r="M1948" s="25" t="s">
        <v>24</v>
      </c>
      <c r="N1948" s="25" t="s">
        <v>69</v>
      </c>
      <c r="Q1948" s="99"/>
    </row>
    <row r="1949">
      <c r="A1949" s="141"/>
      <c r="B1949" s="134" t="s">
        <v>203</v>
      </c>
      <c r="C1949" s="134" t="s">
        <v>74</v>
      </c>
      <c r="D1949" s="133" t="s">
        <v>767</v>
      </c>
      <c r="E1949" s="241">
        <v>43136.0</v>
      </c>
      <c r="F1949" s="35" t="str">
        <f t="shared" si="175"/>
        <v>Feb-2018</v>
      </c>
      <c r="G1949" s="51" t="s">
        <v>25</v>
      </c>
      <c r="H1949" s="55" t="s">
        <v>35</v>
      </c>
      <c r="I1949" s="113" t="s">
        <v>771</v>
      </c>
      <c r="J1949" s="55" t="s">
        <v>64</v>
      </c>
      <c r="K1949" s="55" t="s">
        <v>9</v>
      </c>
      <c r="L1949" s="55" t="s">
        <v>24</v>
      </c>
      <c r="M1949" s="55"/>
      <c r="N1949" s="55" t="s">
        <v>106</v>
      </c>
      <c r="O1949" s="143"/>
      <c r="P1949" s="143"/>
      <c r="Q1949" s="144"/>
    </row>
    <row r="1950">
      <c r="A1950" s="107"/>
      <c r="B1950" s="95"/>
      <c r="C1950" s="95"/>
      <c r="D1950" s="95"/>
      <c r="E1950" s="95"/>
      <c r="I1950" s="23"/>
    </row>
    <row r="1951">
      <c r="A1951" s="133" t="s">
        <v>772</v>
      </c>
      <c r="B1951" s="134" t="s">
        <v>272</v>
      </c>
      <c r="C1951" s="134" t="s">
        <v>19</v>
      </c>
      <c r="D1951" s="133" t="s">
        <v>772</v>
      </c>
      <c r="E1951" s="239">
        <v>43141.0</v>
      </c>
      <c r="F1951" s="110" t="str">
        <f t="shared" ref="F1951:F1970" si="176">TEXT(E1943:E1951, "mmm") &amp; "-" &amp; TEXT(E1943:E1951, "yyyy") </f>
        <v>Feb-2018</v>
      </c>
      <c r="G1951" s="110" t="s">
        <v>20</v>
      </c>
      <c r="H1951" s="47" t="s">
        <v>35</v>
      </c>
      <c r="I1951" s="79" t="s">
        <v>239</v>
      </c>
      <c r="J1951" s="47" t="s">
        <v>27</v>
      </c>
      <c r="K1951" s="47" t="s">
        <v>9</v>
      </c>
      <c r="L1951" s="47" t="s">
        <v>24</v>
      </c>
      <c r="M1951" s="47" t="s">
        <v>24</v>
      </c>
      <c r="N1951" s="47" t="s">
        <v>106</v>
      </c>
      <c r="O1951" s="152"/>
      <c r="P1951" s="152"/>
      <c r="Q1951" s="153"/>
    </row>
    <row r="1952">
      <c r="A1952" s="134" t="s">
        <v>272</v>
      </c>
      <c r="B1952" s="134" t="s">
        <v>272</v>
      </c>
      <c r="C1952" s="134" t="s">
        <v>19</v>
      </c>
      <c r="D1952" s="133" t="s">
        <v>772</v>
      </c>
      <c r="E1952" s="240">
        <v>43141.0</v>
      </c>
      <c r="F1952" s="13" t="str">
        <f t="shared" si="176"/>
        <v>Feb-2018</v>
      </c>
      <c r="G1952" s="13" t="s">
        <v>25</v>
      </c>
      <c r="H1952" s="16" t="s">
        <v>35</v>
      </c>
      <c r="I1952" s="48" t="s">
        <v>239</v>
      </c>
      <c r="J1952" s="16" t="s">
        <v>27</v>
      </c>
      <c r="K1952" s="16" t="s">
        <v>9</v>
      </c>
      <c r="L1952" s="16" t="s">
        <v>24</v>
      </c>
      <c r="M1952" s="16"/>
      <c r="N1952" s="16" t="s">
        <v>69</v>
      </c>
      <c r="O1952" s="101"/>
      <c r="P1952" s="101"/>
      <c r="Q1952" s="102"/>
    </row>
    <row r="1953">
      <c r="A1953" s="134" t="s">
        <v>773</v>
      </c>
      <c r="B1953" s="134" t="s">
        <v>272</v>
      </c>
      <c r="C1953" s="134" t="s">
        <v>19</v>
      </c>
      <c r="D1953" s="133" t="s">
        <v>772</v>
      </c>
      <c r="E1953" s="240">
        <v>43141.0</v>
      </c>
      <c r="F1953" s="13" t="str">
        <f t="shared" si="176"/>
        <v>Feb-2018</v>
      </c>
      <c r="G1953" s="21" t="s">
        <v>20</v>
      </c>
      <c r="H1953" s="25" t="s">
        <v>35</v>
      </c>
      <c r="I1953" s="80" t="s">
        <v>190</v>
      </c>
      <c r="J1953" s="25" t="s">
        <v>9</v>
      </c>
      <c r="K1953" s="25" t="s">
        <v>9</v>
      </c>
      <c r="L1953" s="25" t="s">
        <v>24</v>
      </c>
      <c r="M1953" s="25" t="s">
        <v>24</v>
      </c>
      <c r="N1953" s="25" t="s">
        <v>98</v>
      </c>
      <c r="Q1953" s="99"/>
    </row>
    <row r="1954">
      <c r="A1954" s="168">
        <v>43141.0</v>
      </c>
      <c r="B1954" s="134" t="s">
        <v>272</v>
      </c>
      <c r="C1954" s="134" t="s">
        <v>19</v>
      </c>
      <c r="D1954" s="133" t="s">
        <v>772</v>
      </c>
      <c r="E1954" s="240">
        <v>43141.0</v>
      </c>
      <c r="F1954" s="13" t="str">
        <f t="shared" si="176"/>
        <v>Feb-2018</v>
      </c>
      <c r="G1954" s="21" t="s">
        <v>25</v>
      </c>
      <c r="H1954" s="25" t="s">
        <v>35</v>
      </c>
      <c r="I1954" s="80" t="s">
        <v>190</v>
      </c>
      <c r="J1954" s="25" t="s">
        <v>9</v>
      </c>
      <c r="K1954" s="25" t="s">
        <v>9</v>
      </c>
      <c r="L1954" s="25" t="s">
        <v>24</v>
      </c>
      <c r="M1954" s="25"/>
      <c r="N1954" s="25" t="s">
        <v>99</v>
      </c>
      <c r="Q1954" s="99"/>
    </row>
    <row r="1955">
      <c r="A1955" s="134" t="s">
        <v>19</v>
      </c>
      <c r="B1955" s="134" t="s">
        <v>272</v>
      </c>
      <c r="C1955" s="134" t="s">
        <v>19</v>
      </c>
      <c r="D1955" s="133" t="s">
        <v>772</v>
      </c>
      <c r="E1955" s="240">
        <v>43141.0</v>
      </c>
      <c r="F1955" s="13" t="str">
        <f t="shared" si="176"/>
        <v>Feb-2018</v>
      </c>
      <c r="G1955" s="13" t="s">
        <v>20</v>
      </c>
      <c r="H1955" s="16" t="s">
        <v>35</v>
      </c>
      <c r="I1955" s="48" t="s">
        <v>774</v>
      </c>
      <c r="J1955" s="16" t="s">
        <v>23</v>
      </c>
      <c r="K1955" s="16" t="s">
        <v>9</v>
      </c>
      <c r="L1955" s="16" t="s">
        <v>24</v>
      </c>
      <c r="M1955" s="16" t="s">
        <v>30</v>
      </c>
      <c r="N1955" s="16" t="s">
        <v>99</v>
      </c>
      <c r="O1955" s="101"/>
      <c r="P1955" s="101"/>
      <c r="Q1955" s="102"/>
    </row>
    <row r="1956">
      <c r="A1956" s="176" t="s">
        <v>775</v>
      </c>
      <c r="B1956" s="134" t="s">
        <v>272</v>
      </c>
      <c r="C1956" s="134" t="s">
        <v>19</v>
      </c>
      <c r="D1956" s="133" t="s">
        <v>772</v>
      </c>
      <c r="E1956" s="240">
        <v>43141.0</v>
      </c>
      <c r="F1956" s="13" t="str">
        <f t="shared" si="176"/>
        <v>Feb-2018</v>
      </c>
      <c r="G1956" s="13" t="s">
        <v>25</v>
      </c>
      <c r="H1956" s="16" t="s">
        <v>35</v>
      </c>
      <c r="I1956" s="48" t="s">
        <v>774</v>
      </c>
      <c r="J1956" s="16" t="s">
        <v>23</v>
      </c>
      <c r="K1956" s="16" t="s">
        <v>9</v>
      </c>
      <c r="L1956" s="16" t="s">
        <v>30</v>
      </c>
      <c r="M1956" s="16"/>
      <c r="N1956" s="16" t="s">
        <v>106</v>
      </c>
      <c r="O1956" s="101"/>
      <c r="P1956" s="101"/>
      <c r="Q1956" s="102"/>
    </row>
    <row r="1957">
      <c r="A1957" s="134" t="s">
        <v>776</v>
      </c>
      <c r="B1957" s="134" t="s">
        <v>272</v>
      </c>
      <c r="C1957" s="134" t="s">
        <v>19</v>
      </c>
      <c r="D1957" s="133" t="s">
        <v>772</v>
      </c>
      <c r="E1957" s="240">
        <v>43141.0</v>
      </c>
      <c r="F1957" s="13" t="str">
        <f t="shared" si="176"/>
        <v>Feb-2018</v>
      </c>
      <c r="G1957" s="16" t="s">
        <v>32</v>
      </c>
      <c r="H1957" s="16" t="s">
        <v>35</v>
      </c>
      <c r="I1957" s="48" t="s">
        <v>774</v>
      </c>
      <c r="J1957" s="16" t="s">
        <v>23</v>
      </c>
      <c r="K1957" s="16" t="s">
        <v>9</v>
      </c>
      <c r="L1957" s="16" t="s">
        <v>30</v>
      </c>
      <c r="M1957" s="16"/>
      <c r="N1957" s="16" t="s">
        <v>37</v>
      </c>
      <c r="O1957" s="101"/>
      <c r="P1957" s="101"/>
      <c r="Q1957" s="102"/>
    </row>
    <row r="1958">
      <c r="A1958" s="176" t="s">
        <v>777</v>
      </c>
      <c r="B1958" s="134" t="s">
        <v>272</v>
      </c>
      <c r="C1958" s="134" t="s">
        <v>19</v>
      </c>
      <c r="D1958" s="133" t="s">
        <v>772</v>
      </c>
      <c r="E1958" s="240">
        <v>43141.0</v>
      </c>
      <c r="F1958" s="13" t="str">
        <f t="shared" si="176"/>
        <v>Feb-2018</v>
      </c>
      <c r="G1958" s="21" t="s">
        <v>20</v>
      </c>
      <c r="H1958" s="25" t="s">
        <v>35</v>
      </c>
      <c r="I1958" s="80" t="s">
        <v>756</v>
      </c>
      <c r="J1958" s="25" t="s">
        <v>9</v>
      </c>
      <c r="K1958" s="25" t="s">
        <v>9</v>
      </c>
      <c r="L1958" s="25" t="s">
        <v>30</v>
      </c>
      <c r="M1958" s="25" t="s">
        <v>30</v>
      </c>
      <c r="N1958" s="25" t="s">
        <v>98</v>
      </c>
      <c r="Q1958" s="99"/>
    </row>
    <row r="1959">
      <c r="A1959" s="140"/>
      <c r="B1959" s="134" t="s">
        <v>272</v>
      </c>
      <c r="C1959" s="134" t="s">
        <v>19</v>
      </c>
      <c r="D1959" s="133" t="s">
        <v>772</v>
      </c>
      <c r="E1959" s="240">
        <v>43141.0</v>
      </c>
      <c r="F1959" s="13" t="str">
        <f t="shared" si="176"/>
        <v>Feb-2018</v>
      </c>
      <c r="G1959" s="21" t="s">
        <v>25</v>
      </c>
      <c r="H1959" s="25" t="s">
        <v>35</v>
      </c>
      <c r="I1959" s="80" t="s">
        <v>756</v>
      </c>
      <c r="J1959" s="25" t="s">
        <v>9</v>
      </c>
      <c r="K1959" s="25" t="s">
        <v>9</v>
      </c>
      <c r="L1959" s="25" t="s">
        <v>24</v>
      </c>
      <c r="M1959" s="25"/>
      <c r="N1959" s="25" t="s">
        <v>98</v>
      </c>
      <c r="Q1959" s="99"/>
    </row>
    <row r="1960">
      <c r="A1960" s="140"/>
      <c r="B1960" s="134" t="s">
        <v>272</v>
      </c>
      <c r="C1960" s="134" t="s">
        <v>19</v>
      </c>
      <c r="D1960" s="133" t="s">
        <v>772</v>
      </c>
      <c r="E1960" s="240">
        <v>43141.0</v>
      </c>
      <c r="F1960" s="13" t="str">
        <f t="shared" si="176"/>
        <v>Feb-2018</v>
      </c>
      <c r="G1960" s="119" t="s">
        <v>32</v>
      </c>
      <c r="H1960" s="25" t="s">
        <v>35</v>
      </c>
      <c r="I1960" s="80" t="s">
        <v>756</v>
      </c>
      <c r="J1960" s="25" t="s">
        <v>9</v>
      </c>
      <c r="K1960" s="25" t="s">
        <v>9</v>
      </c>
      <c r="L1960" s="25" t="s">
        <v>30</v>
      </c>
      <c r="M1960" s="25"/>
      <c r="N1960" s="25" t="s">
        <v>69</v>
      </c>
      <c r="Q1960" s="99"/>
    </row>
    <row r="1961">
      <c r="A1961" s="140"/>
      <c r="B1961" s="134" t="s">
        <v>272</v>
      </c>
      <c r="C1961" s="134" t="s">
        <v>19</v>
      </c>
      <c r="D1961" s="133" t="s">
        <v>772</v>
      </c>
      <c r="E1961" s="240">
        <v>43141.0</v>
      </c>
      <c r="F1961" s="13" t="str">
        <f t="shared" si="176"/>
        <v>Feb-2018</v>
      </c>
      <c r="G1961" s="13" t="s">
        <v>20</v>
      </c>
      <c r="H1961" s="16" t="s">
        <v>35</v>
      </c>
      <c r="I1961" s="48" t="s">
        <v>778</v>
      </c>
      <c r="J1961" s="16" t="s">
        <v>9</v>
      </c>
      <c r="K1961" s="16" t="s">
        <v>9</v>
      </c>
      <c r="L1961" s="16" t="s">
        <v>30</v>
      </c>
      <c r="M1961" s="16" t="s">
        <v>30</v>
      </c>
      <c r="N1961" s="16" t="s">
        <v>98</v>
      </c>
      <c r="O1961" s="101"/>
      <c r="P1961" s="101"/>
      <c r="Q1961" s="102"/>
    </row>
    <row r="1962">
      <c r="A1962" s="140"/>
      <c r="B1962" s="134" t="s">
        <v>272</v>
      </c>
      <c r="C1962" s="134" t="s">
        <v>19</v>
      </c>
      <c r="D1962" s="133" t="s">
        <v>772</v>
      </c>
      <c r="E1962" s="240">
        <v>43141.0</v>
      </c>
      <c r="F1962" s="13" t="str">
        <f t="shared" si="176"/>
        <v>Feb-2018</v>
      </c>
      <c r="G1962" s="13" t="s">
        <v>25</v>
      </c>
      <c r="H1962" s="16" t="s">
        <v>35</v>
      </c>
      <c r="I1962" s="16" t="s">
        <v>778</v>
      </c>
      <c r="J1962" s="16" t="s">
        <v>9</v>
      </c>
      <c r="K1962" s="16" t="s">
        <v>9</v>
      </c>
      <c r="L1962" s="16" t="s">
        <v>30</v>
      </c>
      <c r="M1962" s="16"/>
      <c r="N1962" s="16" t="s">
        <v>37</v>
      </c>
      <c r="O1962" s="101"/>
      <c r="P1962" s="101"/>
      <c r="Q1962" s="102"/>
    </row>
    <row r="1963">
      <c r="A1963" s="140"/>
      <c r="B1963" s="134" t="s">
        <v>272</v>
      </c>
      <c r="C1963" s="134" t="s">
        <v>19</v>
      </c>
      <c r="D1963" s="133" t="s">
        <v>772</v>
      </c>
      <c r="E1963" s="240">
        <v>43141.0</v>
      </c>
      <c r="F1963" s="13" t="str">
        <f t="shared" si="176"/>
        <v>Feb-2018</v>
      </c>
      <c r="G1963" s="21" t="s">
        <v>20</v>
      </c>
      <c r="H1963" s="25" t="s">
        <v>35</v>
      </c>
      <c r="I1963" s="25" t="s">
        <v>779</v>
      </c>
      <c r="J1963" s="25" t="s">
        <v>71</v>
      </c>
      <c r="K1963" s="25" t="s">
        <v>9</v>
      </c>
      <c r="L1963" s="25" t="s">
        <v>30</v>
      </c>
      <c r="M1963" s="25" t="s">
        <v>30</v>
      </c>
      <c r="N1963" s="25" t="s">
        <v>37</v>
      </c>
      <c r="Q1963" s="99"/>
    </row>
    <row r="1964">
      <c r="A1964" s="140"/>
      <c r="B1964" s="134" t="s">
        <v>272</v>
      </c>
      <c r="C1964" s="134" t="s">
        <v>19</v>
      </c>
      <c r="D1964" s="133" t="s">
        <v>772</v>
      </c>
      <c r="E1964" s="240">
        <v>43141.0</v>
      </c>
      <c r="F1964" s="13" t="str">
        <f t="shared" si="176"/>
        <v>Feb-2018</v>
      </c>
      <c r="G1964" s="21" t="s">
        <v>25</v>
      </c>
      <c r="H1964" s="25" t="s">
        <v>35</v>
      </c>
      <c r="I1964" s="25" t="s">
        <v>779</v>
      </c>
      <c r="J1964" s="25" t="s">
        <v>71</v>
      </c>
      <c r="K1964" s="25" t="s">
        <v>9</v>
      </c>
      <c r="L1964" s="25" t="s">
        <v>30</v>
      </c>
      <c r="M1964" s="25"/>
      <c r="N1964" s="25" t="s">
        <v>99</v>
      </c>
      <c r="Q1964" s="99"/>
    </row>
    <row r="1965">
      <c r="A1965" s="140"/>
      <c r="B1965" s="134" t="s">
        <v>272</v>
      </c>
      <c r="C1965" s="134" t="s">
        <v>19</v>
      </c>
      <c r="D1965" s="133" t="s">
        <v>772</v>
      </c>
      <c r="E1965" s="240">
        <v>43141.0</v>
      </c>
      <c r="F1965" s="13" t="str">
        <f t="shared" si="176"/>
        <v>Feb-2018</v>
      </c>
      <c r="G1965" s="13" t="s">
        <v>20</v>
      </c>
      <c r="H1965" s="16" t="s">
        <v>35</v>
      </c>
      <c r="I1965" s="16" t="s">
        <v>780</v>
      </c>
      <c r="J1965" s="16" t="s">
        <v>9</v>
      </c>
      <c r="K1965" s="16" t="s">
        <v>9</v>
      </c>
      <c r="L1965" s="16" t="s">
        <v>30</v>
      </c>
      <c r="M1965" s="16" t="s">
        <v>30</v>
      </c>
      <c r="N1965" s="16" t="s">
        <v>98</v>
      </c>
      <c r="O1965" s="101"/>
      <c r="P1965" s="101"/>
      <c r="Q1965" s="102"/>
    </row>
    <row r="1966">
      <c r="A1966" s="140"/>
      <c r="B1966" s="134" t="s">
        <v>272</v>
      </c>
      <c r="C1966" s="134" t="s">
        <v>19</v>
      </c>
      <c r="D1966" s="133" t="s">
        <v>772</v>
      </c>
      <c r="E1966" s="240">
        <v>43141.0</v>
      </c>
      <c r="F1966" s="13" t="str">
        <f t="shared" si="176"/>
        <v>Feb-2018</v>
      </c>
      <c r="G1966" s="13" t="s">
        <v>25</v>
      </c>
      <c r="H1966" s="16" t="s">
        <v>35</v>
      </c>
      <c r="I1966" s="16" t="s">
        <v>780</v>
      </c>
      <c r="J1966" s="16" t="s">
        <v>9</v>
      </c>
      <c r="K1966" s="16" t="s">
        <v>9</v>
      </c>
      <c r="L1966" s="16" t="s">
        <v>30</v>
      </c>
      <c r="M1966" s="16"/>
      <c r="N1966" s="16" t="s">
        <v>106</v>
      </c>
      <c r="O1966" s="101"/>
      <c r="P1966" s="101"/>
      <c r="Q1966" s="102"/>
    </row>
    <row r="1967">
      <c r="A1967" s="140"/>
      <c r="B1967" s="134" t="s">
        <v>272</v>
      </c>
      <c r="C1967" s="134" t="s">
        <v>19</v>
      </c>
      <c r="D1967" s="133" t="s">
        <v>772</v>
      </c>
      <c r="E1967" s="240">
        <v>43141.0</v>
      </c>
      <c r="F1967" s="13" t="str">
        <f t="shared" si="176"/>
        <v>Feb-2018</v>
      </c>
      <c r="G1967" s="21" t="s">
        <v>20</v>
      </c>
      <c r="H1967" s="25" t="s">
        <v>35</v>
      </c>
      <c r="I1967" s="25" t="s">
        <v>238</v>
      </c>
      <c r="J1967" s="25" t="s">
        <v>216</v>
      </c>
      <c r="K1967" s="25" t="s">
        <v>9</v>
      </c>
      <c r="L1967" s="25" t="s">
        <v>30</v>
      </c>
      <c r="M1967" s="25" t="s">
        <v>30</v>
      </c>
      <c r="N1967" s="25" t="s">
        <v>99</v>
      </c>
      <c r="Q1967" s="99"/>
    </row>
    <row r="1968">
      <c r="A1968" s="140"/>
      <c r="B1968" s="134" t="s">
        <v>272</v>
      </c>
      <c r="C1968" s="134" t="s">
        <v>19</v>
      </c>
      <c r="D1968" s="133" t="s">
        <v>772</v>
      </c>
      <c r="E1968" s="240">
        <v>43141.0</v>
      </c>
      <c r="F1968" s="13" t="str">
        <f t="shared" si="176"/>
        <v>Feb-2018</v>
      </c>
      <c r="G1968" s="21" t="s">
        <v>25</v>
      </c>
      <c r="H1968" s="25" t="s">
        <v>35</v>
      </c>
      <c r="I1968" s="25" t="s">
        <v>238</v>
      </c>
      <c r="J1968" s="25" t="s">
        <v>216</v>
      </c>
      <c r="K1968" s="25" t="s">
        <v>9</v>
      </c>
      <c r="L1968" s="25" t="s">
        <v>30</v>
      </c>
      <c r="M1968" s="25"/>
      <c r="N1968" s="25" t="s">
        <v>106</v>
      </c>
      <c r="Q1968" s="99"/>
    </row>
    <row r="1969">
      <c r="A1969" s="140"/>
      <c r="B1969" s="134" t="s">
        <v>272</v>
      </c>
      <c r="C1969" s="134" t="s">
        <v>19</v>
      </c>
      <c r="D1969" s="133" t="s">
        <v>772</v>
      </c>
      <c r="E1969" s="240">
        <v>43141.0</v>
      </c>
      <c r="F1969" s="13" t="str">
        <f t="shared" si="176"/>
        <v>Feb-2018</v>
      </c>
      <c r="G1969" s="13" t="s">
        <v>20</v>
      </c>
      <c r="H1969" s="16" t="s">
        <v>35</v>
      </c>
      <c r="I1969" s="16" t="s">
        <v>111</v>
      </c>
      <c r="J1969" s="16" t="s">
        <v>216</v>
      </c>
      <c r="K1969" s="16" t="s">
        <v>9</v>
      </c>
      <c r="L1969" s="16" t="s">
        <v>24</v>
      </c>
      <c r="M1969" s="16" t="s">
        <v>24</v>
      </c>
      <c r="N1969" s="16" t="s">
        <v>98</v>
      </c>
      <c r="O1969" s="101"/>
      <c r="P1969" s="101"/>
      <c r="Q1969" s="102"/>
    </row>
    <row r="1970">
      <c r="A1970" s="141"/>
      <c r="B1970" s="134" t="s">
        <v>272</v>
      </c>
      <c r="C1970" s="134" t="s">
        <v>19</v>
      </c>
      <c r="D1970" s="133" t="s">
        <v>772</v>
      </c>
      <c r="E1970" s="241">
        <v>43141.0</v>
      </c>
      <c r="F1970" s="35" t="str">
        <f t="shared" si="176"/>
        <v>Feb-2018</v>
      </c>
      <c r="G1970" s="35" t="s">
        <v>25</v>
      </c>
      <c r="H1970" s="38" t="s">
        <v>35</v>
      </c>
      <c r="I1970" s="38" t="s">
        <v>111</v>
      </c>
      <c r="J1970" s="38" t="s">
        <v>216</v>
      </c>
      <c r="K1970" s="38" t="s">
        <v>9</v>
      </c>
      <c r="L1970" s="38" t="s">
        <v>24</v>
      </c>
      <c r="M1970" s="38"/>
      <c r="N1970" s="38" t="s">
        <v>106</v>
      </c>
      <c r="O1970" s="105"/>
      <c r="P1970" s="105"/>
      <c r="Q1970" s="106"/>
    </row>
    <row r="1971">
      <c r="A1971" s="94"/>
    </row>
    <row r="1972">
      <c r="A1972" s="133" t="s">
        <v>781</v>
      </c>
      <c r="B1972" s="134" t="s">
        <v>18</v>
      </c>
      <c r="C1972" s="134" t="s">
        <v>427</v>
      </c>
      <c r="D1972" s="133" t="s">
        <v>781</v>
      </c>
      <c r="E1972" s="239">
        <v>43143.0</v>
      </c>
      <c r="F1972" s="110" t="str">
        <f t="shared" ref="F1972:F1980" si="177">TEXT(E1964:E1972, "mmm") &amp; "-" &amp; TEXT(E1964:E1972, "yyyy") </f>
        <v>Feb-2018</v>
      </c>
      <c r="G1972" s="70" t="s">
        <v>20</v>
      </c>
      <c r="H1972" s="73" t="s">
        <v>35</v>
      </c>
      <c r="I1972" s="73" t="s">
        <v>294</v>
      </c>
      <c r="J1972" s="73" t="s">
        <v>27</v>
      </c>
      <c r="K1972" s="73" t="s">
        <v>9</v>
      </c>
      <c r="L1972" s="73" t="s">
        <v>30</v>
      </c>
      <c r="M1972" s="73" t="s">
        <v>30</v>
      </c>
      <c r="N1972" s="73" t="s">
        <v>98</v>
      </c>
      <c r="O1972" s="165"/>
      <c r="P1972" s="165"/>
      <c r="Q1972" s="166"/>
    </row>
    <row r="1973">
      <c r="A1973" s="134" t="s">
        <v>18</v>
      </c>
      <c r="B1973" s="134" t="s">
        <v>18</v>
      </c>
      <c r="C1973" s="134" t="s">
        <v>427</v>
      </c>
      <c r="D1973" s="133" t="s">
        <v>781</v>
      </c>
      <c r="E1973" s="240">
        <v>43143.0</v>
      </c>
      <c r="F1973" s="13" t="str">
        <f t="shared" si="177"/>
        <v>Feb-2018</v>
      </c>
      <c r="G1973" s="21" t="s">
        <v>25</v>
      </c>
      <c r="H1973" s="25" t="s">
        <v>35</v>
      </c>
      <c r="I1973" s="25" t="s">
        <v>294</v>
      </c>
      <c r="J1973" s="25" t="s">
        <v>27</v>
      </c>
      <c r="K1973" s="25" t="s">
        <v>9</v>
      </c>
      <c r="L1973" s="25" t="s">
        <v>30</v>
      </c>
      <c r="M1973" s="25"/>
      <c r="N1973" s="25" t="s">
        <v>98</v>
      </c>
      <c r="Q1973" s="99"/>
    </row>
    <row r="1974">
      <c r="A1974" s="134" t="s">
        <v>428</v>
      </c>
      <c r="B1974" s="134" t="s">
        <v>18</v>
      </c>
      <c r="C1974" s="134" t="s">
        <v>427</v>
      </c>
      <c r="D1974" s="133" t="s">
        <v>781</v>
      </c>
      <c r="E1974" s="240">
        <v>43143.0</v>
      </c>
      <c r="F1974" s="13" t="str">
        <f t="shared" si="177"/>
        <v>Feb-2018</v>
      </c>
      <c r="G1974" s="13" t="s">
        <v>20</v>
      </c>
      <c r="H1974" s="16" t="s">
        <v>35</v>
      </c>
      <c r="I1974" s="16" t="s">
        <v>782</v>
      </c>
      <c r="J1974" s="16" t="s">
        <v>9</v>
      </c>
      <c r="K1974" s="16" t="s">
        <v>9</v>
      </c>
      <c r="L1974" s="16" t="s">
        <v>24</v>
      </c>
      <c r="M1974" s="16" t="s">
        <v>30</v>
      </c>
      <c r="N1974" s="16" t="s">
        <v>98</v>
      </c>
      <c r="O1974" s="101"/>
      <c r="P1974" s="101"/>
      <c r="Q1974" s="102"/>
    </row>
    <row r="1975">
      <c r="A1975" s="168">
        <v>43143.0</v>
      </c>
      <c r="B1975" s="134" t="s">
        <v>18</v>
      </c>
      <c r="C1975" s="134" t="s">
        <v>427</v>
      </c>
      <c r="D1975" s="133" t="s">
        <v>781</v>
      </c>
      <c r="E1975" s="240">
        <v>43143.0</v>
      </c>
      <c r="F1975" s="13" t="str">
        <f t="shared" si="177"/>
        <v>Feb-2018</v>
      </c>
      <c r="G1975" s="13" t="s">
        <v>25</v>
      </c>
      <c r="H1975" s="16" t="s">
        <v>35</v>
      </c>
      <c r="I1975" s="16" t="s">
        <v>782</v>
      </c>
      <c r="J1975" s="16" t="s">
        <v>9</v>
      </c>
      <c r="K1975" s="16" t="s">
        <v>9</v>
      </c>
      <c r="L1975" s="16" t="s">
        <v>30</v>
      </c>
      <c r="M1975" s="16"/>
      <c r="N1975" s="16" t="s">
        <v>99</v>
      </c>
      <c r="O1975" s="101"/>
      <c r="P1975" s="101"/>
      <c r="Q1975" s="102"/>
    </row>
    <row r="1976">
      <c r="A1976" s="176" t="s">
        <v>783</v>
      </c>
      <c r="B1976" s="134" t="s">
        <v>18</v>
      </c>
      <c r="C1976" s="134" t="s">
        <v>427</v>
      </c>
      <c r="D1976" s="133" t="s">
        <v>781</v>
      </c>
      <c r="E1976" s="240">
        <v>43143.0</v>
      </c>
      <c r="F1976" s="13" t="str">
        <f t="shared" si="177"/>
        <v>Feb-2018</v>
      </c>
      <c r="G1976" s="16" t="s">
        <v>32</v>
      </c>
      <c r="H1976" s="16" t="s">
        <v>35</v>
      </c>
      <c r="I1976" s="16" t="s">
        <v>782</v>
      </c>
      <c r="J1976" s="16" t="s">
        <v>9</v>
      </c>
      <c r="K1976" s="16" t="s">
        <v>9</v>
      </c>
      <c r="L1976" s="16" t="s">
        <v>30</v>
      </c>
      <c r="M1976" s="16"/>
      <c r="N1976" s="16" t="s">
        <v>37</v>
      </c>
      <c r="O1976" s="101"/>
      <c r="P1976" s="101"/>
      <c r="Q1976" s="102"/>
    </row>
    <row r="1977">
      <c r="A1977" s="134" t="s">
        <v>427</v>
      </c>
      <c r="B1977" s="134" t="s">
        <v>18</v>
      </c>
      <c r="C1977" s="134" t="s">
        <v>427</v>
      </c>
      <c r="D1977" s="133" t="s">
        <v>781</v>
      </c>
      <c r="E1977" s="240">
        <v>43143.0</v>
      </c>
      <c r="F1977" s="13" t="str">
        <f t="shared" si="177"/>
        <v>Feb-2018</v>
      </c>
      <c r="G1977" s="21" t="s">
        <v>20</v>
      </c>
      <c r="H1977" s="25" t="s">
        <v>35</v>
      </c>
      <c r="I1977" s="25" t="s">
        <v>784</v>
      </c>
      <c r="J1977" s="25" t="s">
        <v>23</v>
      </c>
      <c r="K1977" s="25" t="s">
        <v>9</v>
      </c>
      <c r="L1977" s="25" t="s">
        <v>24</v>
      </c>
      <c r="M1977" s="25" t="s">
        <v>24</v>
      </c>
      <c r="N1977" s="25" t="s">
        <v>37</v>
      </c>
      <c r="Q1977" s="99"/>
    </row>
    <row r="1978">
      <c r="A1978" s="134" t="s">
        <v>785</v>
      </c>
      <c r="B1978" s="134" t="s">
        <v>18</v>
      </c>
      <c r="C1978" s="134" t="s">
        <v>427</v>
      </c>
      <c r="D1978" s="133" t="s">
        <v>781</v>
      </c>
      <c r="E1978" s="240">
        <v>43143.0</v>
      </c>
      <c r="F1978" s="13" t="str">
        <f t="shared" si="177"/>
        <v>Feb-2018</v>
      </c>
      <c r="G1978" s="21" t="s">
        <v>25</v>
      </c>
      <c r="H1978" s="25" t="s">
        <v>35</v>
      </c>
      <c r="I1978" s="25" t="s">
        <v>784</v>
      </c>
      <c r="J1978" s="25" t="s">
        <v>23</v>
      </c>
      <c r="K1978" s="25" t="s">
        <v>9</v>
      </c>
      <c r="L1978" s="25" t="s">
        <v>24</v>
      </c>
      <c r="M1978" s="25"/>
      <c r="N1978" s="25" t="s">
        <v>106</v>
      </c>
      <c r="Q1978" s="99"/>
    </row>
    <row r="1979">
      <c r="A1979" s="176" t="s">
        <v>786</v>
      </c>
      <c r="B1979" s="134" t="s">
        <v>18</v>
      </c>
      <c r="C1979" s="134" t="s">
        <v>427</v>
      </c>
      <c r="D1979" s="133" t="s">
        <v>781</v>
      </c>
      <c r="E1979" s="240">
        <v>43143.0</v>
      </c>
      <c r="F1979" s="13" t="str">
        <f t="shared" si="177"/>
        <v>Feb-2018</v>
      </c>
      <c r="G1979" s="13" t="s">
        <v>20</v>
      </c>
      <c r="H1979" s="16" t="s">
        <v>35</v>
      </c>
      <c r="I1979" s="16" t="s">
        <v>47</v>
      </c>
      <c r="J1979" s="16" t="s">
        <v>48</v>
      </c>
      <c r="K1979" s="16" t="s">
        <v>9</v>
      </c>
      <c r="L1979" s="16" t="s">
        <v>24</v>
      </c>
      <c r="M1979" s="16" t="s">
        <v>24</v>
      </c>
      <c r="N1979" s="16" t="s">
        <v>29</v>
      </c>
      <c r="O1979" s="101"/>
      <c r="P1979" s="101"/>
      <c r="Q1979" s="102"/>
    </row>
    <row r="1980">
      <c r="A1980" s="141"/>
      <c r="B1980" s="134" t="s">
        <v>18</v>
      </c>
      <c r="C1980" s="134" t="s">
        <v>427</v>
      </c>
      <c r="D1980" s="133" t="s">
        <v>781</v>
      </c>
      <c r="E1980" s="241">
        <v>43143.0</v>
      </c>
      <c r="F1980" s="35" t="str">
        <f t="shared" si="177"/>
        <v>Feb-2018</v>
      </c>
      <c r="G1980" s="35" t="s">
        <v>25</v>
      </c>
      <c r="H1980" s="38" t="s">
        <v>35</v>
      </c>
      <c r="I1980" s="38" t="s">
        <v>47</v>
      </c>
      <c r="J1980" s="38" t="s">
        <v>48</v>
      </c>
      <c r="K1980" s="38" t="s">
        <v>9</v>
      </c>
      <c r="L1980" s="38" t="s">
        <v>24</v>
      </c>
      <c r="M1980" s="38"/>
      <c r="N1980" s="38" t="s">
        <v>99</v>
      </c>
      <c r="O1980" s="105"/>
      <c r="P1980" s="105"/>
      <c r="Q1980" s="106"/>
    </row>
    <row r="1981">
      <c r="A1981" s="94"/>
    </row>
    <row r="1982">
      <c r="A1982" s="133" t="s">
        <v>787</v>
      </c>
      <c r="B1982" s="134" t="s">
        <v>34</v>
      </c>
      <c r="C1982" s="134" t="s">
        <v>74</v>
      </c>
      <c r="D1982" s="133" t="s">
        <v>787</v>
      </c>
      <c r="E1982" s="239">
        <v>43146.0</v>
      </c>
      <c r="F1982" s="110" t="str">
        <f t="shared" ref="F1982:F1993" si="178">TEXT(E1974:E1982, "mmm") &amp; "-" &amp; TEXT(E1974:E1982, "yyyy") </f>
        <v>Feb-2018</v>
      </c>
      <c r="G1982" s="110" t="s">
        <v>20</v>
      </c>
      <c r="H1982" s="47" t="s">
        <v>35</v>
      </c>
      <c r="I1982" s="47" t="s">
        <v>691</v>
      </c>
      <c r="J1982" s="47" t="s">
        <v>48</v>
      </c>
      <c r="K1982" s="47" t="s">
        <v>9</v>
      </c>
      <c r="L1982" s="47" t="s">
        <v>30</v>
      </c>
      <c r="M1982" s="47" t="s">
        <v>30</v>
      </c>
      <c r="N1982" s="47" t="s">
        <v>98</v>
      </c>
      <c r="O1982" s="152"/>
      <c r="P1982" s="152"/>
      <c r="Q1982" s="153"/>
    </row>
    <row r="1983">
      <c r="A1983" s="134" t="s">
        <v>34</v>
      </c>
      <c r="B1983" s="134" t="s">
        <v>34</v>
      </c>
      <c r="C1983" s="134" t="s">
        <v>74</v>
      </c>
      <c r="D1983" s="133" t="s">
        <v>787</v>
      </c>
      <c r="E1983" s="240">
        <v>43146.0</v>
      </c>
      <c r="F1983" s="13" t="str">
        <f t="shared" si="178"/>
        <v>Feb-2018</v>
      </c>
      <c r="G1983" s="13" t="s">
        <v>25</v>
      </c>
      <c r="H1983" s="16" t="s">
        <v>35</v>
      </c>
      <c r="I1983" s="16" t="s">
        <v>691</v>
      </c>
      <c r="J1983" s="16" t="s">
        <v>23</v>
      </c>
      <c r="K1983" s="16" t="s">
        <v>9</v>
      </c>
      <c r="L1983" s="16" t="s">
        <v>30</v>
      </c>
      <c r="M1983" s="16"/>
      <c r="N1983" s="16" t="s">
        <v>99</v>
      </c>
      <c r="O1983" s="101"/>
      <c r="P1983" s="101"/>
      <c r="Q1983" s="102"/>
    </row>
    <row r="1984">
      <c r="A1984" s="134" t="s">
        <v>788</v>
      </c>
      <c r="B1984" s="134" t="s">
        <v>34</v>
      </c>
      <c r="C1984" s="134" t="s">
        <v>74</v>
      </c>
      <c r="D1984" s="133" t="s">
        <v>787</v>
      </c>
      <c r="E1984" s="240">
        <v>43146.0</v>
      </c>
      <c r="F1984" s="13" t="str">
        <f t="shared" si="178"/>
        <v>Feb-2018</v>
      </c>
      <c r="G1984" s="21" t="s">
        <v>20</v>
      </c>
      <c r="H1984" s="25" t="s">
        <v>35</v>
      </c>
      <c r="I1984" s="25" t="s">
        <v>726</v>
      </c>
      <c r="J1984" s="25" t="s">
        <v>216</v>
      </c>
      <c r="K1984" s="25" t="s">
        <v>9</v>
      </c>
      <c r="L1984" s="25" t="s">
        <v>30</v>
      </c>
      <c r="M1984" s="25" t="s">
        <v>30</v>
      </c>
      <c r="N1984" s="25" t="s">
        <v>99</v>
      </c>
      <c r="Q1984" s="99"/>
    </row>
    <row r="1985">
      <c r="A1985" s="168">
        <v>43146.0</v>
      </c>
      <c r="B1985" s="134" t="s">
        <v>34</v>
      </c>
      <c r="C1985" s="134" t="s">
        <v>74</v>
      </c>
      <c r="D1985" s="133" t="s">
        <v>787</v>
      </c>
      <c r="E1985" s="240">
        <v>43146.0</v>
      </c>
      <c r="F1985" s="13" t="str">
        <f t="shared" si="178"/>
        <v>Feb-2018</v>
      </c>
      <c r="G1985" s="21" t="s">
        <v>25</v>
      </c>
      <c r="H1985" s="25" t="s">
        <v>35</v>
      </c>
      <c r="I1985" s="25" t="s">
        <v>726</v>
      </c>
      <c r="J1985" s="25" t="s">
        <v>216</v>
      </c>
      <c r="K1985" s="25" t="s">
        <v>9</v>
      </c>
      <c r="L1985" s="25" t="s">
        <v>30</v>
      </c>
      <c r="M1985" s="25"/>
      <c r="N1985" s="25" t="s">
        <v>106</v>
      </c>
      <c r="Q1985" s="99"/>
    </row>
    <row r="1986">
      <c r="A1986" s="176" t="s">
        <v>789</v>
      </c>
      <c r="B1986" s="134" t="s">
        <v>34</v>
      </c>
      <c r="C1986" s="134" t="s">
        <v>74</v>
      </c>
      <c r="D1986" s="133" t="s">
        <v>787</v>
      </c>
      <c r="E1986" s="240">
        <v>43146.0</v>
      </c>
      <c r="F1986" s="13" t="str">
        <f t="shared" si="178"/>
        <v>Feb-2018</v>
      </c>
      <c r="G1986" s="13" t="s">
        <v>20</v>
      </c>
      <c r="H1986" s="16" t="s">
        <v>35</v>
      </c>
      <c r="I1986" s="16" t="s">
        <v>47</v>
      </c>
      <c r="J1986" s="16" t="s">
        <v>48</v>
      </c>
      <c r="K1986" s="16" t="s">
        <v>9</v>
      </c>
      <c r="L1986" s="16" t="s">
        <v>24</v>
      </c>
      <c r="M1986" s="16" t="s">
        <v>24</v>
      </c>
      <c r="N1986" s="16" t="s">
        <v>99</v>
      </c>
      <c r="O1986" s="101"/>
      <c r="P1986" s="101"/>
      <c r="Q1986" s="102"/>
    </row>
    <row r="1987">
      <c r="A1987" s="134" t="s">
        <v>74</v>
      </c>
      <c r="B1987" s="134" t="s">
        <v>34</v>
      </c>
      <c r="C1987" s="134" t="s">
        <v>74</v>
      </c>
      <c r="D1987" s="133" t="s">
        <v>787</v>
      </c>
      <c r="E1987" s="240">
        <v>43146.0</v>
      </c>
      <c r="F1987" s="13" t="str">
        <f t="shared" si="178"/>
        <v>Feb-2018</v>
      </c>
      <c r="G1987" s="13" t="s">
        <v>25</v>
      </c>
      <c r="H1987" s="16" t="s">
        <v>35</v>
      </c>
      <c r="I1987" s="16" t="s">
        <v>47</v>
      </c>
      <c r="J1987" s="16" t="s">
        <v>48</v>
      </c>
      <c r="K1987" s="16" t="s">
        <v>9</v>
      </c>
      <c r="L1987" s="16" t="s">
        <v>24</v>
      </c>
      <c r="M1987" s="16"/>
      <c r="N1987" s="16" t="s">
        <v>106</v>
      </c>
      <c r="O1987" s="101"/>
      <c r="P1987" s="101"/>
      <c r="Q1987" s="102"/>
    </row>
    <row r="1988">
      <c r="A1988" s="140"/>
      <c r="B1988" s="134" t="s">
        <v>34</v>
      </c>
      <c r="C1988" s="134" t="s">
        <v>74</v>
      </c>
      <c r="D1988" s="133" t="s">
        <v>787</v>
      </c>
      <c r="E1988" s="240">
        <v>43146.0</v>
      </c>
      <c r="F1988" s="13" t="str">
        <f t="shared" si="178"/>
        <v>Feb-2018</v>
      </c>
      <c r="G1988" s="21" t="s">
        <v>20</v>
      </c>
      <c r="H1988" s="25" t="s">
        <v>35</v>
      </c>
      <c r="I1988" s="25" t="s">
        <v>100</v>
      </c>
      <c r="J1988" s="25" t="s">
        <v>9</v>
      </c>
      <c r="K1988" s="25" t="s">
        <v>9</v>
      </c>
      <c r="L1988" s="25" t="s">
        <v>24</v>
      </c>
      <c r="M1988" s="25" t="s">
        <v>30</v>
      </c>
      <c r="N1988" s="25" t="s">
        <v>69</v>
      </c>
      <c r="Q1988" s="99"/>
    </row>
    <row r="1989">
      <c r="A1989" s="140"/>
      <c r="B1989" s="134" t="s">
        <v>34</v>
      </c>
      <c r="C1989" s="134" t="s">
        <v>74</v>
      </c>
      <c r="D1989" s="133" t="s">
        <v>787</v>
      </c>
      <c r="E1989" s="240">
        <v>43146.0</v>
      </c>
      <c r="F1989" s="13" t="str">
        <f t="shared" si="178"/>
        <v>Feb-2018</v>
      </c>
      <c r="G1989" s="21" t="s">
        <v>25</v>
      </c>
      <c r="H1989" s="25" t="s">
        <v>35</v>
      </c>
      <c r="I1989" s="25" t="s">
        <v>100</v>
      </c>
      <c r="J1989" s="25" t="s">
        <v>9</v>
      </c>
      <c r="K1989" s="25" t="s">
        <v>9</v>
      </c>
      <c r="L1989" s="25" t="s">
        <v>30</v>
      </c>
      <c r="M1989" s="25"/>
      <c r="N1989" s="25" t="s">
        <v>106</v>
      </c>
      <c r="Q1989" s="99"/>
    </row>
    <row r="1990">
      <c r="A1990" s="140"/>
      <c r="B1990" s="134" t="s">
        <v>34</v>
      </c>
      <c r="C1990" s="134" t="s">
        <v>74</v>
      </c>
      <c r="D1990" s="133" t="s">
        <v>787</v>
      </c>
      <c r="E1990" s="240">
        <v>43146.0</v>
      </c>
      <c r="F1990" s="13" t="str">
        <f t="shared" si="178"/>
        <v>Feb-2018</v>
      </c>
      <c r="G1990" s="119" t="s">
        <v>32</v>
      </c>
      <c r="H1990" s="25" t="s">
        <v>35</v>
      </c>
      <c r="I1990" s="25" t="s">
        <v>100</v>
      </c>
      <c r="J1990" s="25" t="s">
        <v>9</v>
      </c>
      <c r="K1990" s="25" t="s">
        <v>9</v>
      </c>
      <c r="L1990" s="25" t="s">
        <v>30</v>
      </c>
      <c r="M1990" s="25"/>
      <c r="N1990" s="25" t="s">
        <v>98</v>
      </c>
      <c r="Q1990" s="99"/>
    </row>
    <row r="1991">
      <c r="A1991" s="140"/>
      <c r="B1991" s="134" t="s">
        <v>34</v>
      </c>
      <c r="C1991" s="134" t="s">
        <v>74</v>
      </c>
      <c r="D1991" s="133" t="s">
        <v>787</v>
      </c>
      <c r="E1991" s="240">
        <v>43146.0</v>
      </c>
      <c r="F1991" s="13" t="str">
        <f t="shared" si="178"/>
        <v>Feb-2018</v>
      </c>
      <c r="G1991" s="16" t="s">
        <v>146</v>
      </c>
      <c r="H1991" s="16" t="s">
        <v>35</v>
      </c>
      <c r="I1991" s="16" t="s">
        <v>790</v>
      </c>
      <c r="J1991" s="16" t="s">
        <v>27</v>
      </c>
      <c r="K1991" s="16" t="s">
        <v>9</v>
      </c>
      <c r="L1991" s="16" t="s">
        <v>24</v>
      </c>
      <c r="M1991" s="16" t="s">
        <v>24</v>
      </c>
      <c r="N1991" s="16" t="s">
        <v>98</v>
      </c>
      <c r="O1991" s="101"/>
      <c r="P1991" s="101"/>
      <c r="Q1991" s="102"/>
    </row>
    <row r="1992">
      <c r="A1992" s="140"/>
      <c r="B1992" s="134" t="s">
        <v>34</v>
      </c>
      <c r="C1992" s="134" t="s">
        <v>74</v>
      </c>
      <c r="D1992" s="133" t="s">
        <v>787</v>
      </c>
      <c r="E1992" s="240">
        <v>43146.0</v>
      </c>
      <c r="F1992" s="13" t="str">
        <f t="shared" si="178"/>
        <v>Feb-2018</v>
      </c>
      <c r="G1992" s="16" t="s">
        <v>149</v>
      </c>
      <c r="H1992" s="16" t="s">
        <v>35</v>
      </c>
      <c r="I1992" s="16" t="s">
        <v>790</v>
      </c>
      <c r="J1992" s="16" t="s">
        <v>27</v>
      </c>
      <c r="K1992" s="16" t="s">
        <v>9</v>
      </c>
      <c r="L1992" s="16" t="s">
        <v>24</v>
      </c>
      <c r="M1992" s="16"/>
      <c r="N1992" s="16" t="s">
        <v>69</v>
      </c>
      <c r="O1992" s="101"/>
      <c r="P1992" s="101"/>
      <c r="Q1992" s="102"/>
    </row>
    <row r="1993">
      <c r="A1993" s="141"/>
      <c r="B1993" s="134" t="s">
        <v>34</v>
      </c>
      <c r="C1993" s="134" t="s">
        <v>74</v>
      </c>
      <c r="D1993" s="133" t="s">
        <v>787</v>
      </c>
      <c r="E1993" s="241">
        <v>43146.0</v>
      </c>
      <c r="F1993" s="35" t="str">
        <f t="shared" si="178"/>
        <v>Feb-2018</v>
      </c>
      <c r="G1993" s="38" t="s">
        <v>222</v>
      </c>
      <c r="H1993" s="38" t="s">
        <v>35</v>
      </c>
      <c r="I1993" s="38" t="s">
        <v>790</v>
      </c>
      <c r="J1993" s="38" t="s">
        <v>27</v>
      </c>
      <c r="K1993" s="38" t="s">
        <v>9</v>
      </c>
      <c r="L1993" s="38" t="s">
        <v>24</v>
      </c>
      <c r="M1993" s="38"/>
      <c r="N1993" s="38" t="s">
        <v>106</v>
      </c>
      <c r="O1993" s="105"/>
      <c r="P1993" s="105"/>
      <c r="Q1993" s="106"/>
    </row>
    <row r="1994">
      <c r="A1994" s="94"/>
    </row>
    <row r="1995">
      <c r="A1995" s="133" t="s">
        <v>791</v>
      </c>
      <c r="B1995" s="134" t="s">
        <v>34</v>
      </c>
      <c r="C1995" s="134" t="s">
        <v>74</v>
      </c>
      <c r="D1995" s="133" t="s">
        <v>791</v>
      </c>
      <c r="E1995" s="239">
        <v>43153.0</v>
      </c>
      <c r="F1995" s="110" t="str">
        <f t="shared" ref="F1995:F2005" si="179">TEXT(E1987:E1995, "mmm") &amp; "-" &amp; TEXT(E1987:E1995, "yyyy") </f>
        <v>Feb-2018</v>
      </c>
      <c r="G1995" s="70" t="s">
        <v>20</v>
      </c>
      <c r="H1995" s="73" t="s">
        <v>35</v>
      </c>
      <c r="I1995" s="73" t="s">
        <v>520</v>
      </c>
      <c r="J1995" s="73" t="s">
        <v>86</v>
      </c>
      <c r="K1995" s="73" t="s">
        <v>9</v>
      </c>
      <c r="L1995" s="73" t="s">
        <v>30</v>
      </c>
      <c r="M1995" s="73" t="s">
        <v>30</v>
      </c>
      <c r="N1995" s="73" t="s">
        <v>69</v>
      </c>
      <c r="O1995" s="165"/>
      <c r="P1995" s="165"/>
      <c r="Q1995" s="166"/>
    </row>
    <row r="1996">
      <c r="A1996" s="134" t="s">
        <v>34</v>
      </c>
      <c r="B1996" s="134" t="s">
        <v>34</v>
      </c>
      <c r="C1996" s="134" t="s">
        <v>74</v>
      </c>
      <c r="D1996" s="133" t="s">
        <v>791</v>
      </c>
      <c r="E1996" s="240">
        <v>43153.0</v>
      </c>
      <c r="F1996" s="13" t="str">
        <f t="shared" si="179"/>
        <v>Feb-2018</v>
      </c>
      <c r="G1996" s="21" t="s">
        <v>25</v>
      </c>
      <c r="H1996" s="25" t="s">
        <v>35</v>
      </c>
      <c r="I1996" s="25" t="s">
        <v>520</v>
      </c>
      <c r="J1996" s="25" t="s">
        <v>86</v>
      </c>
      <c r="K1996" s="25" t="s">
        <v>9</v>
      </c>
      <c r="L1996" s="25" t="s">
        <v>30</v>
      </c>
      <c r="M1996" s="25"/>
      <c r="N1996" s="25" t="s">
        <v>98</v>
      </c>
      <c r="Q1996" s="99"/>
    </row>
    <row r="1997">
      <c r="A1997" s="134" t="s">
        <v>788</v>
      </c>
      <c r="B1997" s="134" t="s">
        <v>34</v>
      </c>
      <c r="C1997" s="134" t="s">
        <v>74</v>
      </c>
      <c r="D1997" s="133" t="s">
        <v>791</v>
      </c>
      <c r="E1997" s="240">
        <v>43153.0</v>
      </c>
      <c r="F1997" s="13" t="str">
        <f t="shared" si="179"/>
        <v>Feb-2018</v>
      </c>
      <c r="G1997" s="13" t="s">
        <v>20</v>
      </c>
      <c r="H1997" s="16" t="s">
        <v>35</v>
      </c>
      <c r="I1997" s="16" t="s">
        <v>771</v>
      </c>
      <c r="J1997" s="16" t="s">
        <v>64</v>
      </c>
      <c r="K1997" s="16" t="s">
        <v>9</v>
      </c>
      <c r="L1997" s="16" t="s">
        <v>24</v>
      </c>
      <c r="M1997" s="16" t="s">
        <v>24</v>
      </c>
      <c r="N1997" s="16" t="s">
        <v>98</v>
      </c>
      <c r="O1997" s="101"/>
      <c r="P1997" s="101"/>
      <c r="Q1997" s="102"/>
    </row>
    <row r="1998">
      <c r="A1998" s="168">
        <v>43153.0</v>
      </c>
      <c r="B1998" s="134" t="s">
        <v>34</v>
      </c>
      <c r="C1998" s="134" t="s">
        <v>74</v>
      </c>
      <c r="D1998" s="133" t="s">
        <v>791</v>
      </c>
      <c r="E1998" s="240">
        <v>43153.0</v>
      </c>
      <c r="F1998" s="13" t="str">
        <f t="shared" si="179"/>
        <v>Feb-2018</v>
      </c>
      <c r="G1998" s="13" t="s">
        <v>25</v>
      </c>
      <c r="H1998" s="16" t="s">
        <v>35</v>
      </c>
      <c r="I1998" s="16" t="s">
        <v>771</v>
      </c>
      <c r="J1998" s="16" t="s">
        <v>64</v>
      </c>
      <c r="K1998" s="16" t="s">
        <v>9</v>
      </c>
      <c r="L1998" s="16" t="s">
        <v>30</v>
      </c>
      <c r="M1998" s="16"/>
      <c r="N1998" s="16" t="s">
        <v>106</v>
      </c>
      <c r="O1998" s="101"/>
      <c r="P1998" s="101"/>
      <c r="Q1998" s="102"/>
    </row>
    <row r="1999">
      <c r="A1999" s="176" t="s">
        <v>792</v>
      </c>
      <c r="B1999" s="134" t="s">
        <v>34</v>
      </c>
      <c r="C1999" s="134" t="s">
        <v>74</v>
      </c>
      <c r="D1999" s="133" t="s">
        <v>791</v>
      </c>
      <c r="E1999" s="240">
        <v>43153.0</v>
      </c>
      <c r="F1999" s="13" t="str">
        <f t="shared" si="179"/>
        <v>Feb-2018</v>
      </c>
      <c r="G1999" s="16" t="s">
        <v>32</v>
      </c>
      <c r="H1999" s="16" t="s">
        <v>35</v>
      </c>
      <c r="I1999" s="16" t="s">
        <v>771</v>
      </c>
      <c r="J1999" s="16" t="s">
        <v>64</v>
      </c>
      <c r="K1999" s="16" t="s">
        <v>9</v>
      </c>
      <c r="L1999" s="16" t="s">
        <v>24</v>
      </c>
      <c r="M1999" s="16"/>
      <c r="N1999" s="16" t="s">
        <v>99</v>
      </c>
      <c r="O1999" s="101"/>
      <c r="P1999" s="101"/>
      <c r="Q1999" s="102"/>
    </row>
    <row r="2000">
      <c r="A2000" s="134" t="s">
        <v>74</v>
      </c>
      <c r="B2000" s="134" t="s">
        <v>34</v>
      </c>
      <c r="C2000" s="134" t="s">
        <v>74</v>
      </c>
      <c r="D2000" s="133" t="s">
        <v>791</v>
      </c>
      <c r="E2000" s="240">
        <v>43153.0</v>
      </c>
      <c r="F2000" s="13" t="str">
        <f t="shared" si="179"/>
        <v>Feb-2018</v>
      </c>
      <c r="G2000" s="21" t="s">
        <v>20</v>
      </c>
      <c r="H2000" s="25" t="s">
        <v>35</v>
      </c>
      <c r="I2000" s="25" t="s">
        <v>793</v>
      </c>
      <c r="J2000" s="25" t="s">
        <v>71</v>
      </c>
      <c r="K2000" s="25" t="s">
        <v>9</v>
      </c>
      <c r="L2000" s="25" t="s">
        <v>30</v>
      </c>
      <c r="M2000" s="25" t="s">
        <v>30</v>
      </c>
      <c r="N2000" s="25" t="s">
        <v>98</v>
      </c>
      <c r="Q2000" s="99"/>
    </row>
    <row r="2001">
      <c r="A2001" s="134" t="s">
        <v>794</v>
      </c>
      <c r="B2001" s="134" t="s">
        <v>34</v>
      </c>
      <c r="C2001" s="134" t="s">
        <v>74</v>
      </c>
      <c r="D2001" s="133" t="s">
        <v>791</v>
      </c>
      <c r="E2001" s="240">
        <v>43153.0</v>
      </c>
      <c r="F2001" s="13" t="str">
        <f t="shared" si="179"/>
        <v>Feb-2018</v>
      </c>
      <c r="G2001" s="21" t="s">
        <v>25</v>
      </c>
      <c r="H2001" s="25" t="s">
        <v>35</v>
      </c>
      <c r="I2001" s="25" t="s">
        <v>793</v>
      </c>
      <c r="J2001" s="25" t="s">
        <v>71</v>
      </c>
      <c r="K2001" s="25" t="s">
        <v>9</v>
      </c>
      <c r="L2001" s="25" t="s">
        <v>30</v>
      </c>
      <c r="M2001" s="25"/>
      <c r="N2001" s="25" t="s">
        <v>99</v>
      </c>
      <c r="Q2001" s="99"/>
    </row>
    <row r="2002">
      <c r="A2002" s="140"/>
      <c r="B2002" s="134" t="s">
        <v>34</v>
      </c>
      <c r="C2002" s="134" t="s">
        <v>74</v>
      </c>
      <c r="D2002" s="133" t="s">
        <v>791</v>
      </c>
      <c r="E2002" s="240">
        <v>43153.0</v>
      </c>
      <c r="F2002" s="13" t="str">
        <f t="shared" si="179"/>
        <v>Feb-2018</v>
      </c>
      <c r="G2002" s="13" t="s">
        <v>20</v>
      </c>
      <c r="H2002" s="16" t="s">
        <v>35</v>
      </c>
      <c r="I2002" s="16" t="s">
        <v>795</v>
      </c>
      <c r="J2002" s="16" t="s">
        <v>86</v>
      </c>
      <c r="K2002" s="16" t="s">
        <v>9</v>
      </c>
      <c r="L2002" s="16" t="s">
        <v>30</v>
      </c>
      <c r="M2002" s="16" t="s">
        <v>30</v>
      </c>
      <c r="N2002" s="16" t="s">
        <v>29</v>
      </c>
      <c r="O2002" s="101"/>
      <c r="P2002" s="101"/>
      <c r="Q2002" s="102"/>
    </row>
    <row r="2003">
      <c r="A2003" s="140"/>
      <c r="B2003" s="134" t="s">
        <v>34</v>
      </c>
      <c r="C2003" s="134" t="s">
        <v>74</v>
      </c>
      <c r="D2003" s="133" t="s">
        <v>791</v>
      </c>
      <c r="E2003" s="240">
        <v>43153.0</v>
      </c>
      <c r="F2003" s="13" t="str">
        <f t="shared" si="179"/>
        <v>Feb-2018</v>
      </c>
      <c r="G2003" s="13" t="s">
        <v>25</v>
      </c>
      <c r="H2003" s="16" t="s">
        <v>35</v>
      </c>
      <c r="I2003" s="16" t="s">
        <v>795</v>
      </c>
      <c r="J2003" s="16" t="s">
        <v>86</v>
      </c>
      <c r="K2003" s="16" t="s">
        <v>9</v>
      </c>
      <c r="L2003" s="16" t="s">
        <v>30</v>
      </c>
      <c r="M2003" s="16"/>
      <c r="N2003" s="16" t="s">
        <v>98</v>
      </c>
      <c r="O2003" s="101"/>
      <c r="P2003" s="101"/>
      <c r="Q2003" s="102"/>
    </row>
    <row r="2004">
      <c r="A2004" s="140"/>
      <c r="B2004" s="134" t="s">
        <v>34</v>
      </c>
      <c r="C2004" s="134" t="s">
        <v>74</v>
      </c>
      <c r="D2004" s="133" t="s">
        <v>791</v>
      </c>
      <c r="E2004" s="240">
        <v>43153.0</v>
      </c>
      <c r="F2004" s="13" t="str">
        <f t="shared" si="179"/>
        <v>Feb-2018</v>
      </c>
      <c r="G2004" s="21" t="s">
        <v>20</v>
      </c>
      <c r="H2004" s="25" t="s">
        <v>35</v>
      </c>
      <c r="I2004" s="25" t="s">
        <v>112</v>
      </c>
      <c r="J2004" s="25" t="s">
        <v>86</v>
      </c>
      <c r="K2004" s="25" t="s">
        <v>9</v>
      </c>
      <c r="L2004" s="25" t="s">
        <v>24</v>
      </c>
      <c r="M2004" s="25" t="s">
        <v>24</v>
      </c>
      <c r="N2004" s="25" t="s">
        <v>69</v>
      </c>
      <c r="Q2004" s="99"/>
    </row>
    <row r="2005">
      <c r="A2005" s="141"/>
      <c r="B2005" s="134" t="s">
        <v>34</v>
      </c>
      <c r="C2005" s="134" t="s">
        <v>74</v>
      </c>
      <c r="D2005" s="133" t="s">
        <v>791</v>
      </c>
      <c r="E2005" s="241">
        <v>43153.0</v>
      </c>
      <c r="F2005" s="35" t="str">
        <f t="shared" si="179"/>
        <v>Feb-2018</v>
      </c>
      <c r="G2005" s="51" t="s">
        <v>25</v>
      </c>
      <c r="H2005" s="55" t="s">
        <v>35</v>
      </c>
      <c r="I2005" s="55" t="s">
        <v>112</v>
      </c>
      <c r="J2005" s="55" t="s">
        <v>86</v>
      </c>
      <c r="K2005" s="55" t="s">
        <v>9</v>
      </c>
      <c r="L2005" s="55" t="s">
        <v>24</v>
      </c>
      <c r="M2005" s="55"/>
      <c r="N2005" s="55" t="s">
        <v>29</v>
      </c>
      <c r="O2005" s="143"/>
      <c r="P2005" s="143"/>
      <c r="Q2005" s="144"/>
    </row>
    <row r="2006">
      <c r="A2006" s="94"/>
    </row>
    <row r="2007">
      <c r="A2007" s="133" t="s">
        <v>796</v>
      </c>
      <c r="B2007" s="134" t="s">
        <v>18</v>
      </c>
      <c r="C2007" s="134" t="s">
        <v>19</v>
      </c>
      <c r="D2007" s="133" t="s">
        <v>796</v>
      </c>
      <c r="E2007" s="239">
        <v>43155.0</v>
      </c>
      <c r="F2007" s="110" t="str">
        <f t="shared" ref="F2007:F2038" si="180">TEXT(E1999:E2007, "mmm") &amp; "-" &amp; TEXT(E1999:E2007, "yyyy") </f>
        <v>Feb-2018</v>
      </c>
      <c r="G2007" s="110" t="s">
        <v>20</v>
      </c>
      <c r="H2007" s="47" t="s">
        <v>797</v>
      </c>
      <c r="I2007" s="47" t="s">
        <v>497</v>
      </c>
      <c r="J2007" s="47" t="s">
        <v>9</v>
      </c>
      <c r="K2007" s="47" t="s">
        <v>9</v>
      </c>
      <c r="L2007" s="47" t="s">
        <v>30</v>
      </c>
      <c r="M2007" s="47" t="s">
        <v>24</v>
      </c>
      <c r="N2007" s="47" t="s">
        <v>69</v>
      </c>
      <c r="O2007" s="152"/>
      <c r="P2007" s="152"/>
      <c r="Q2007" s="153"/>
    </row>
    <row r="2008">
      <c r="A2008" s="134" t="s">
        <v>18</v>
      </c>
      <c r="B2008" s="134" t="s">
        <v>18</v>
      </c>
      <c r="C2008" s="134" t="s">
        <v>19</v>
      </c>
      <c r="D2008" s="133" t="s">
        <v>796</v>
      </c>
      <c r="E2008" s="240">
        <v>43155.0</v>
      </c>
      <c r="F2008" s="13" t="str">
        <f t="shared" si="180"/>
        <v>Feb-2018</v>
      </c>
      <c r="G2008" s="13" t="s">
        <v>25</v>
      </c>
      <c r="H2008" s="16" t="s">
        <v>797</v>
      </c>
      <c r="I2008" s="16" t="s">
        <v>497</v>
      </c>
      <c r="J2008" s="16" t="s">
        <v>9</v>
      </c>
      <c r="K2008" s="16" t="s">
        <v>9</v>
      </c>
      <c r="L2008" s="16" t="s">
        <v>24</v>
      </c>
      <c r="M2008" s="16"/>
      <c r="N2008" s="16" t="s">
        <v>98</v>
      </c>
      <c r="O2008" s="101"/>
      <c r="P2008" s="101"/>
      <c r="Q2008" s="102"/>
    </row>
    <row r="2009">
      <c r="A2009" s="134" t="s">
        <v>331</v>
      </c>
      <c r="B2009" s="134" t="s">
        <v>18</v>
      </c>
      <c r="C2009" s="134" t="s">
        <v>19</v>
      </c>
      <c r="D2009" s="133" t="s">
        <v>796</v>
      </c>
      <c r="E2009" s="240">
        <v>43155.0</v>
      </c>
      <c r="F2009" s="13" t="str">
        <f t="shared" si="180"/>
        <v>Feb-2018</v>
      </c>
      <c r="G2009" s="16" t="s">
        <v>32</v>
      </c>
      <c r="H2009" s="16" t="s">
        <v>797</v>
      </c>
      <c r="I2009" s="16" t="s">
        <v>497</v>
      </c>
      <c r="J2009" s="16" t="s">
        <v>9</v>
      </c>
      <c r="K2009" s="16" t="s">
        <v>9</v>
      </c>
      <c r="L2009" s="16" t="s">
        <v>24</v>
      </c>
      <c r="M2009" s="16"/>
      <c r="N2009" s="16" t="s">
        <v>106</v>
      </c>
      <c r="O2009" s="101"/>
      <c r="P2009" s="101"/>
      <c r="Q2009" s="102"/>
    </row>
    <row r="2010">
      <c r="A2010" s="168">
        <v>43155.0</v>
      </c>
      <c r="B2010" s="134" t="s">
        <v>18</v>
      </c>
      <c r="C2010" s="134" t="s">
        <v>19</v>
      </c>
      <c r="D2010" s="133" t="s">
        <v>796</v>
      </c>
      <c r="E2010" s="240">
        <v>43155.0</v>
      </c>
      <c r="F2010" s="13" t="str">
        <f t="shared" si="180"/>
        <v>Feb-2018</v>
      </c>
      <c r="G2010" s="21" t="s">
        <v>20</v>
      </c>
      <c r="H2010" s="25" t="s">
        <v>797</v>
      </c>
      <c r="I2010" s="25" t="s">
        <v>442</v>
      </c>
      <c r="J2010" s="25" t="s">
        <v>27</v>
      </c>
      <c r="K2010" s="25" t="s">
        <v>9</v>
      </c>
      <c r="L2010" s="25" t="s">
        <v>30</v>
      </c>
      <c r="M2010" s="25" t="s">
        <v>30</v>
      </c>
      <c r="N2010" s="25" t="s">
        <v>37</v>
      </c>
      <c r="Q2010" s="99"/>
    </row>
    <row r="2011">
      <c r="A2011" s="176" t="s">
        <v>798</v>
      </c>
      <c r="B2011" s="134" t="s">
        <v>18</v>
      </c>
      <c r="C2011" s="134" t="s">
        <v>19</v>
      </c>
      <c r="D2011" s="133" t="s">
        <v>796</v>
      </c>
      <c r="E2011" s="240">
        <v>43155.0</v>
      </c>
      <c r="F2011" s="13" t="str">
        <f t="shared" si="180"/>
        <v>Feb-2018</v>
      </c>
      <c r="G2011" s="21" t="s">
        <v>25</v>
      </c>
      <c r="H2011" s="25" t="s">
        <v>797</v>
      </c>
      <c r="I2011" s="25" t="s">
        <v>442</v>
      </c>
      <c r="J2011" s="25" t="s">
        <v>27</v>
      </c>
      <c r="K2011" s="25" t="s">
        <v>9</v>
      </c>
      <c r="L2011" s="25" t="s">
        <v>30</v>
      </c>
      <c r="M2011" s="25"/>
      <c r="N2011" s="25" t="s">
        <v>106</v>
      </c>
      <c r="Q2011" s="99"/>
    </row>
    <row r="2012">
      <c r="A2012" s="134" t="s">
        <v>19</v>
      </c>
      <c r="B2012" s="134" t="s">
        <v>18</v>
      </c>
      <c r="C2012" s="134" t="s">
        <v>19</v>
      </c>
      <c r="D2012" s="133" t="s">
        <v>796</v>
      </c>
      <c r="E2012" s="240">
        <v>43155.0</v>
      </c>
      <c r="F2012" s="13" t="str">
        <f t="shared" si="180"/>
        <v>Feb-2018</v>
      </c>
      <c r="G2012" s="13" t="s">
        <v>20</v>
      </c>
      <c r="H2012" s="16" t="s">
        <v>797</v>
      </c>
      <c r="I2012" s="16" t="s">
        <v>194</v>
      </c>
      <c r="J2012" s="16" t="s">
        <v>23</v>
      </c>
      <c r="K2012" s="16" t="s">
        <v>9</v>
      </c>
      <c r="L2012" s="16" t="s">
        <v>24</v>
      </c>
      <c r="M2012" s="16" t="s">
        <v>24</v>
      </c>
      <c r="N2012" s="16" t="s">
        <v>37</v>
      </c>
      <c r="O2012" s="101"/>
      <c r="P2012" s="101"/>
      <c r="Q2012" s="102"/>
    </row>
    <row r="2013">
      <c r="A2013" s="134" t="s">
        <v>799</v>
      </c>
      <c r="B2013" s="134" t="s">
        <v>18</v>
      </c>
      <c r="C2013" s="134" t="s">
        <v>19</v>
      </c>
      <c r="D2013" s="133" t="s">
        <v>796</v>
      </c>
      <c r="E2013" s="240">
        <v>43155.0</v>
      </c>
      <c r="F2013" s="13" t="str">
        <f t="shared" si="180"/>
        <v>Feb-2018</v>
      </c>
      <c r="G2013" s="13" t="s">
        <v>25</v>
      </c>
      <c r="H2013" s="16" t="s">
        <v>797</v>
      </c>
      <c r="I2013" s="16" t="s">
        <v>194</v>
      </c>
      <c r="J2013" s="16" t="s">
        <v>23</v>
      </c>
      <c r="K2013" s="16" t="s">
        <v>9</v>
      </c>
      <c r="L2013" s="16" t="s">
        <v>24</v>
      </c>
      <c r="M2013" s="16"/>
      <c r="N2013" s="16" t="s">
        <v>106</v>
      </c>
      <c r="O2013" s="101"/>
      <c r="P2013" s="101"/>
      <c r="Q2013" s="102"/>
    </row>
    <row r="2014">
      <c r="A2014" s="176" t="s">
        <v>800</v>
      </c>
      <c r="B2014" s="134" t="s">
        <v>18</v>
      </c>
      <c r="C2014" s="134" t="s">
        <v>19</v>
      </c>
      <c r="D2014" s="133" t="s">
        <v>796</v>
      </c>
      <c r="E2014" s="240">
        <v>43155.0</v>
      </c>
      <c r="F2014" s="13" t="str">
        <f t="shared" si="180"/>
        <v>Feb-2018</v>
      </c>
      <c r="G2014" s="21" t="s">
        <v>20</v>
      </c>
      <c r="H2014" s="25" t="s">
        <v>797</v>
      </c>
      <c r="I2014" s="25" t="s">
        <v>100</v>
      </c>
      <c r="J2014" s="25" t="s">
        <v>9</v>
      </c>
      <c r="K2014" s="25" t="s">
        <v>9</v>
      </c>
      <c r="L2014" s="25" t="s">
        <v>30</v>
      </c>
      <c r="M2014" s="25" t="s">
        <v>30</v>
      </c>
      <c r="N2014" s="25" t="s">
        <v>69</v>
      </c>
      <c r="Q2014" s="99"/>
    </row>
    <row r="2015">
      <c r="A2015" s="140"/>
      <c r="B2015" s="134" t="s">
        <v>18</v>
      </c>
      <c r="C2015" s="134" t="s">
        <v>19</v>
      </c>
      <c r="D2015" s="133" t="s">
        <v>796</v>
      </c>
      <c r="E2015" s="240">
        <v>43155.0</v>
      </c>
      <c r="F2015" s="13" t="str">
        <f t="shared" si="180"/>
        <v>Feb-2018</v>
      </c>
      <c r="G2015" s="21" t="s">
        <v>25</v>
      </c>
      <c r="H2015" s="25" t="s">
        <v>797</v>
      </c>
      <c r="I2015" s="25" t="s">
        <v>100</v>
      </c>
      <c r="J2015" s="25" t="s">
        <v>9</v>
      </c>
      <c r="K2015" s="25" t="s">
        <v>9</v>
      </c>
      <c r="L2015" s="25" t="s">
        <v>30</v>
      </c>
      <c r="M2015" s="25"/>
      <c r="N2015" s="25" t="s">
        <v>98</v>
      </c>
      <c r="Q2015" s="99"/>
    </row>
    <row r="2016">
      <c r="A2016" s="140"/>
      <c r="B2016" s="134" t="s">
        <v>18</v>
      </c>
      <c r="C2016" s="134" t="s">
        <v>19</v>
      </c>
      <c r="D2016" s="133" t="s">
        <v>796</v>
      </c>
      <c r="E2016" s="240">
        <v>43155.0</v>
      </c>
      <c r="F2016" s="13" t="str">
        <f t="shared" si="180"/>
        <v>Feb-2018</v>
      </c>
      <c r="G2016" s="13" t="s">
        <v>20</v>
      </c>
      <c r="H2016" s="16" t="s">
        <v>797</v>
      </c>
      <c r="I2016" s="16" t="s">
        <v>801</v>
      </c>
      <c r="J2016" s="16" t="s">
        <v>9</v>
      </c>
      <c r="K2016" s="16" t="s">
        <v>9</v>
      </c>
      <c r="L2016" s="16" t="s">
        <v>30</v>
      </c>
      <c r="M2016" s="16" t="s">
        <v>30</v>
      </c>
      <c r="N2016" s="16" t="s">
        <v>69</v>
      </c>
      <c r="O2016" s="101"/>
      <c r="P2016" s="101"/>
      <c r="Q2016" s="102"/>
    </row>
    <row r="2017">
      <c r="A2017" s="140"/>
      <c r="B2017" s="134" t="s">
        <v>18</v>
      </c>
      <c r="C2017" s="134" t="s">
        <v>19</v>
      </c>
      <c r="D2017" s="133" t="s">
        <v>796</v>
      </c>
      <c r="E2017" s="240">
        <v>43155.0</v>
      </c>
      <c r="F2017" s="13" t="str">
        <f t="shared" si="180"/>
        <v>Feb-2018</v>
      </c>
      <c r="G2017" s="13" t="s">
        <v>25</v>
      </c>
      <c r="H2017" s="16" t="s">
        <v>797</v>
      </c>
      <c r="I2017" s="16" t="s">
        <v>801</v>
      </c>
      <c r="J2017" s="16" t="s">
        <v>9</v>
      </c>
      <c r="K2017" s="16" t="s">
        <v>9</v>
      </c>
      <c r="L2017" s="16" t="s">
        <v>30</v>
      </c>
      <c r="M2017" s="16"/>
      <c r="N2017" s="16" t="s">
        <v>99</v>
      </c>
      <c r="O2017" s="101"/>
      <c r="P2017" s="101"/>
      <c r="Q2017" s="102"/>
    </row>
    <row r="2018">
      <c r="A2018" s="140"/>
      <c r="B2018" s="134" t="s">
        <v>18</v>
      </c>
      <c r="C2018" s="134" t="s">
        <v>19</v>
      </c>
      <c r="D2018" s="133" t="s">
        <v>796</v>
      </c>
      <c r="E2018" s="240">
        <v>43155.0</v>
      </c>
      <c r="F2018" s="13" t="str">
        <f t="shared" si="180"/>
        <v>Feb-2018</v>
      </c>
      <c r="G2018" s="21" t="s">
        <v>20</v>
      </c>
      <c r="H2018" s="25" t="s">
        <v>797</v>
      </c>
      <c r="I2018" s="25" t="s">
        <v>802</v>
      </c>
      <c r="J2018" s="25" t="s">
        <v>23</v>
      </c>
      <c r="K2018" s="25" t="s">
        <v>9</v>
      </c>
      <c r="L2018" s="25" t="s">
        <v>30</v>
      </c>
      <c r="M2018" s="25" t="s">
        <v>30</v>
      </c>
      <c r="N2018" s="25" t="s">
        <v>29</v>
      </c>
      <c r="Q2018" s="99"/>
    </row>
    <row r="2019">
      <c r="A2019" s="140"/>
      <c r="B2019" s="134" t="s">
        <v>18</v>
      </c>
      <c r="C2019" s="134" t="s">
        <v>19</v>
      </c>
      <c r="D2019" s="133" t="s">
        <v>796</v>
      </c>
      <c r="E2019" s="240">
        <v>43155.0</v>
      </c>
      <c r="F2019" s="13" t="str">
        <f t="shared" si="180"/>
        <v>Feb-2018</v>
      </c>
      <c r="G2019" s="21" t="s">
        <v>25</v>
      </c>
      <c r="H2019" s="25" t="s">
        <v>797</v>
      </c>
      <c r="I2019" s="25" t="s">
        <v>802</v>
      </c>
      <c r="J2019" s="25" t="s">
        <v>23</v>
      </c>
      <c r="K2019" s="25" t="s">
        <v>9</v>
      </c>
      <c r="L2019" s="25" t="s">
        <v>30</v>
      </c>
      <c r="M2019" s="25"/>
      <c r="N2019" s="25" t="s">
        <v>69</v>
      </c>
      <c r="Q2019" s="99"/>
    </row>
    <row r="2020">
      <c r="A2020" s="140"/>
      <c r="B2020" s="134" t="s">
        <v>18</v>
      </c>
      <c r="C2020" s="134" t="s">
        <v>19</v>
      </c>
      <c r="D2020" s="133" t="s">
        <v>796</v>
      </c>
      <c r="E2020" s="240">
        <v>43155.0</v>
      </c>
      <c r="F2020" s="13" t="str">
        <f t="shared" si="180"/>
        <v>Feb-2018</v>
      </c>
      <c r="G2020" s="13" t="s">
        <v>20</v>
      </c>
      <c r="H2020" s="16" t="s">
        <v>797</v>
      </c>
      <c r="I2020" s="16" t="s">
        <v>218</v>
      </c>
      <c r="J2020" s="16" t="s">
        <v>86</v>
      </c>
      <c r="K2020" s="16" t="s">
        <v>9</v>
      </c>
      <c r="L2020" s="16" t="s">
        <v>24</v>
      </c>
      <c r="M2020" s="16" t="s">
        <v>24</v>
      </c>
      <c r="N2020" s="16" t="s">
        <v>69</v>
      </c>
      <c r="O2020" s="101"/>
      <c r="P2020" s="101"/>
      <c r="Q2020" s="102"/>
    </row>
    <row r="2021">
      <c r="A2021" s="140"/>
      <c r="B2021" s="134" t="s">
        <v>18</v>
      </c>
      <c r="C2021" s="134" t="s">
        <v>19</v>
      </c>
      <c r="D2021" s="133" t="s">
        <v>796</v>
      </c>
      <c r="E2021" s="240">
        <v>43155.0</v>
      </c>
      <c r="F2021" s="13" t="str">
        <f t="shared" si="180"/>
        <v>Feb-2018</v>
      </c>
      <c r="G2021" s="13" t="s">
        <v>25</v>
      </c>
      <c r="H2021" s="16" t="s">
        <v>797</v>
      </c>
      <c r="I2021" s="16" t="s">
        <v>218</v>
      </c>
      <c r="J2021" s="16" t="s">
        <v>86</v>
      </c>
      <c r="K2021" s="16" t="s">
        <v>9</v>
      </c>
      <c r="L2021" s="16" t="s">
        <v>24</v>
      </c>
      <c r="M2021" s="16"/>
      <c r="N2021" s="16" t="s">
        <v>69</v>
      </c>
      <c r="O2021" s="101"/>
      <c r="P2021" s="101"/>
      <c r="Q2021" s="102"/>
    </row>
    <row r="2022">
      <c r="A2022" s="140"/>
      <c r="B2022" s="134" t="s">
        <v>18</v>
      </c>
      <c r="C2022" s="134" t="s">
        <v>19</v>
      </c>
      <c r="D2022" s="133" t="s">
        <v>796</v>
      </c>
      <c r="E2022" s="240">
        <v>43155.0</v>
      </c>
      <c r="F2022" s="13" t="str">
        <f t="shared" si="180"/>
        <v>Feb-2018</v>
      </c>
      <c r="G2022" s="21" t="s">
        <v>20</v>
      </c>
      <c r="H2022" s="25" t="s">
        <v>797</v>
      </c>
      <c r="I2022" s="25" t="s">
        <v>404</v>
      </c>
      <c r="J2022" s="25" t="s">
        <v>27</v>
      </c>
      <c r="K2022" s="25" t="s">
        <v>9</v>
      </c>
      <c r="L2022" s="25" t="s">
        <v>24</v>
      </c>
      <c r="M2022" s="25" t="s">
        <v>30</v>
      </c>
      <c r="N2022" s="25" t="s">
        <v>69</v>
      </c>
      <c r="Q2022" s="99"/>
    </row>
    <row r="2023">
      <c r="A2023" s="140"/>
      <c r="B2023" s="134" t="s">
        <v>18</v>
      </c>
      <c r="C2023" s="134" t="s">
        <v>19</v>
      </c>
      <c r="D2023" s="133" t="s">
        <v>796</v>
      </c>
      <c r="E2023" s="240">
        <v>43155.0</v>
      </c>
      <c r="F2023" s="13" t="str">
        <f t="shared" si="180"/>
        <v>Feb-2018</v>
      </c>
      <c r="G2023" s="21" t="s">
        <v>25</v>
      </c>
      <c r="H2023" s="25" t="s">
        <v>797</v>
      </c>
      <c r="I2023" s="25" t="s">
        <v>404</v>
      </c>
      <c r="J2023" s="25" t="s">
        <v>27</v>
      </c>
      <c r="K2023" s="25" t="s">
        <v>9</v>
      </c>
      <c r="L2023" s="25" t="s">
        <v>30</v>
      </c>
      <c r="M2023" s="25"/>
      <c r="N2023" s="25" t="s">
        <v>98</v>
      </c>
      <c r="Q2023" s="99"/>
    </row>
    <row r="2024">
      <c r="A2024" s="140"/>
      <c r="B2024" s="134" t="s">
        <v>18</v>
      </c>
      <c r="C2024" s="134" t="s">
        <v>19</v>
      </c>
      <c r="D2024" s="133" t="s">
        <v>796</v>
      </c>
      <c r="E2024" s="240">
        <v>43155.0</v>
      </c>
      <c r="F2024" s="13" t="str">
        <f t="shared" si="180"/>
        <v>Feb-2018</v>
      </c>
      <c r="G2024" s="119" t="s">
        <v>32</v>
      </c>
      <c r="H2024" s="25" t="s">
        <v>797</v>
      </c>
      <c r="I2024" s="25" t="s">
        <v>404</v>
      </c>
      <c r="J2024" s="25" t="s">
        <v>27</v>
      </c>
      <c r="K2024" s="25" t="s">
        <v>9</v>
      </c>
      <c r="L2024" s="25" t="s">
        <v>30</v>
      </c>
      <c r="M2024" s="25"/>
      <c r="N2024" s="25" t="s">
        <v>106</v>
      </c>
      <c r="Q2024" s="99"/>
    </row>
    <row r="2025">
      <c r="A2025" s="140"/>
      <c r="B2025" s="134" t="s">
        <v>18</v>
      </c>
      <c r="C2025" s="134" t="s">
        <v>19</v>
      </c>
      <c r="D2025" s="133" t="s">
        <v>796</v>
      </c>
      <c r="E2025" s="240">
        <v>43155.0</v>
      </c>
      <c r="F2025" s="13" t="str">
        <f t="shared" si="180"/>
        <v>Feb-2018</v>
      </c>
      <c r="G2025" s="13" t="s">
        <v>20</v>
      </c>
      <c r="H2025" s="16" t="s">
        <v>797</v>
      </c>
      <c r="I2025" s="16" t="s">
        <v>633</v>
      </c>
      <c r="J2025" s="16" t="s">
        <v>27</v>
      </c>
      <c r="K2025" s="16" t="s">
        <v>9</v>
      </c>
      <c r="L2025" s="16" t="s">
        <v>30</v>
      </c>
      <c r="M2025" s="16" t="s">
        <v>30</v>
      </c>
      <c r="N2025" s="16" t="s">
        <v>69</v>
      </c>
      <c r="O2025" s="101"/>
      <c r="P2025" s="101"/>
      <c r="Q2025" s="102"/>
    </row>
    <row r="2026">
      <c r="A2026" s="140"/>
      <c r="B2026" s="134" t="s">
        <v>18</v>
      </c>
      <c r="C2026" s="134" t="s">
        <v>19</v>
      </c>
      <c r="D2026" s="133" t="s">
        <v>796</v>
      </c>
      <c r="E2026" s="240">
        <v>43155.0</v>
      </c>
      <c r="F2026" s="13" t="str">
        <f t="shared" si="180"/>
        <v>Feb-2018</v>
      </c>
      <c r="G2026" s="13" t="s">
        <v>25</v>
      </c>
      <c r="H2026" s="16" t="s">
        <v>797</v>
      </c>
      <c r="I2026" s="16" t="s">
        <v>633</v>
      </c>
      <c r="J2026" s="16" t="s">
        <v>27</v>
      </c>
      <c r="K2026" s="16" t="s">
        <v>9</v>
      </c>
      <c r="L2026" s="16" t="s">
        <v>30</v>
      </c>
      <c r="M2026" s="16"/>
      <c r="N2026" s="16" t="s">
        <v>99</v>
      </c>
      <c r="O2026" s="101"/>
      <c r="P2026" s="101"/>
      <c r="Q2026" s="102"/>
    </row>
    <row r="2027">
      <c r="A2027" s="140"/>
      <c r="B2027" s="134" t="s">
        <v>18</v>
      </c>
      <c r="C2027" s="134" t="s">
        <v>19</v>
      </c>
      <c r="D2027" s="133" t="s">
        <v>796</v>
      </c>
      <c r="E2027" s="240">
        <v>43155.0</v>
      </c>
      <c r="F2027" s="13" t="str">
        <f t="shared" si="180"/>
        <v>Feb-2018</v>
      </c>
      <c r="G2027" s="21" t="s">
        <v>20</v>
      </c>
      <c r="H2027" s="25" t="s">
        <v>797</v>
      </c>
      <c r="I2027" s="25" t="s">
        <v>680</v>
      </c>
      <c r="J2027" s="25" t="s">
        <v>71</v>
      </c>
      <c r="K2027" s="25" t="s">
        <v>9</v>
      </c>
      <c r="L2027" s="25" t="s">
        <v>24</v>
      </c>
      <c r="M2027" s="25" t="s">
        <v>24</v>
      </c>
      <c r="N2027" s="25" t="s">
        <v>99</v>
      </c>
      <c r="Q2027" s="99"/>
    </row>
    <row r="2028">
      <c r="A2028" s="140"/>
      <c r="B2028" s="134" t="s">
        <v>18</v>
      </c>
      <c r="C2028" s="134" t="s">
        <v>19</v>
      </c>
      <c r="D2028" s="133" t="s">
        <v>796</v>
      </c>
      <c r="E2028" s="240">
        <v>43155.0</v>
      </c>
      <c r="F2028" s="13" t="str">
        <f t="shared" si="180"/>
        <v>Feb-2018</v>
      </c>
      <c r="G2028" s="21" t="s">
        <v>25</v>
      </c>
      <c r="H2028" s="25" t="s">
        <v>797</v>
      </c>
      <c r="I2028" s="25" t="s">
        <v>680</v>
      </c>
      <c r="J2028" s="25" t="s">
        <v>71</v>
      </c>
      <c r="K2028" s="25" t="s">
        <v>9</v>
      </c>
      <c r="L2028" s="25" t="s">
        <v>24</v>
      </c>
      <c r="M2028" s="25"/>
      <c r="N2028" s="25" t="s">
        <v>106</v>
      </c>
      <c r="Q2028" s="99"/>
    </row>
    <row r="2029">
      <c r="A2029" s="140"/>
      <c r="B2029" s="134" t="s">
        <v>18</v>
      </c>
      <c r="C2029" s="134" t="s">
        <v>19</v>
      </c>
      <c r="D2029" s="133" t="s">
        <v>796</v>
      </c>
      <c r="E2029" s="240">
        <v>43155.0</v>
      </c>
      <c r="F2029" s="13" t="str">
        <f t="shared" si="180"/>
        <v>Feb-2018</v>
      </c>
      <c r="G2029" s="13" t="s">
        <v>20</v>
      </c>
      <c r="H2029" s="16" t="s">
        <v>278</v>
      </c>
      <c r="I2029" s="16" t="s">
        <v>803</v>
      </c>
      <c r="J2029" s="16" t="s">
        <v>86</v>
      </c>
      <c r="K2029" s="16" t="s">
        <v>9</v>
      </c>
      <c r="L2029" s="16" t="s">
        <v>30</v>
      </c>
      <c r="M2029" s="16" t="s">
        <v>30</v>
      </c>
      <c r="N2029" s="16" t="s">
        <v>69</v>
      </c>
      <c r="O2029" s="101"/>
      <c r="P2029" s="101"/>
      <c r="Q2029" s="102"/>
    </row>
    <row r="2030">
      <c r="A2030" s="140"/>
      <c r="B2030" s="134" t="s">
        <v>18</v>
      </c>
      <c r="C2030" s="134" t="s">
        <v>19</v>
      </c>
      <c r="D2030" s="133" t="s">
        <v>796</v>
      </c>
      <c r="E2030" s="240">
        <v>43155.0</v>
      </c>
      <c r="F2030" s="13" t="str">
        <f t="shared" si="180"/>
        <v>Feb-2018</v>
      </c>
      <c r="G2030" s="13" t="s">
        <v>25</v>
      </c>
      <c r="H2030" s="16" t="s">
        <v>278</v>
      </c>
      <c r="I2030" s="16" t="s">
        <v>803</v>
      </c>
      <c r="J2030" s="16" t="s">
        <v>86</v>
      </c>
      <c r="K2030" s="16" t="s">
        <v>9</v>
      </c>
      <c r="L2030" s="16" t="s">
        <v>24</v>
      </c>
      <c r="M2030" s="16"/>
      <c r="N2030" s="16" t="s">
        <v>98</v>
      </c>
      <c r="O2030" s="101"/>
      <c r="P2030" s="101"/>
      <c r="Q2030" s="102"/>
    </row>
    <row r="2031">
      <c r="A2031" s="140"/>
      <c r="B2031" s="134" t="s">
        <v>18</v>
      </c>
      <c r="C2031" s="134" t="s">
        <v>19</v>
      </c>
      <c r="D2031" s="133" t="s">
        <v>796</v>
      </c>
      <c r="E2031" s="240">
        <v>43155.0</v>
      </c>
      <c r="F2031" s="13" t="str">
        <f t="shared" si="180"/>
        <v>Feb-2018</v>
      </c>
      <c r="G2031" s="16" t="s">
        <v>32</v>
      </c>
      <c r="H2031" s="16" t="s">
        <v>278</v>
      </c>
      <c r="I2031" s="16" t="s">
        <v>803</v>
      </c>
      <c r="J2031" s="16" t="s">
        <v>86</v>
      </c>
      <c r="K2031" s="16" t="s">
        <v>9</v>
      </c>
      <c r="L2031" s="16" t="s">
        <v>30</v>
      </c>
      <c r="M2031" s="16"/>
      <c r="N2031" s="16" t="s">
        <v>99</v>
      </c>
      <c r="O2031" s="101"/>
      <c r="P2031" s="101"/>
      <c r="Q2031" s="102"/>
    </row>
    <row r="2032">
      <c r="A2032" s="140"/>
      <c r="B2032" s="134" t="s">
        <v>18</v>
      </c>
      <c r="C2032" s="134" t="s">
        <v>19</v>
      </c>
      <c r="D2032" s="133" t="s">
        <v>796</v>
      </c>
      <c r="E2032" s="240">
        <v>43155.0</v>
      </c>
      <c r="F2032" s="13" t="str">
        <f t="shared" si="180"/>
        <v>Feb-2018</v>
      </c>
      <c r="G2032" s="21" t="s">
        <v>20</v>
      </c>
      <c r="H2032" s="25" t="s">
        <v>278</v>
      </c>
      <c r="I2032" s="25" t="s">
        <v>793</v>
      </c>
      <c r="J2032" s="25" t="s">
        <v>71</v>
      </c>
      <c r="K2032" s="25" t="s">
        <v>9</v>
      </c>
      <c r="L2032" s="25" t="s">
        <v>30</v>
      </c>
      <c r="M2032" s="25" t="s">
        <v>30</v>
      </c>
      <c r="N2032" s="25" t="s">
        <v>99</v>
      </c>
      <c r="Q2032" s="99"/>
    </row>
    <row r="2033">
      <c r="A2033" s="140"/>
      <c r="B2033" s="134" t="s">
        <v>18</v>
      </c>
      <c r="C2033" s="134" t="s">
        <v>19</v>
      </c>
      <c r="D2033" s="133" t="s">
        <v>796</v>
      </c>
      <c r="E2033" s="240">
        <v>43155.0</v>
      </c>
      <c r="F2033" s="13" t="str">
        <f t="shared" si="180"/>
        <v>Feb-2018</v>
      </c>
      <c r="G2033" s="21" t="s">
        <v>25</v>
      </c>
      <c r="H2033" s="25" t="s">
        <v>278</v>
      </c>
      <c r="I2033" s="25" t="s">
        <v>793</v>
      </c>
      <c r="J2033" s="25" t="s">
        <v>71</v>
      </c>
      <c r="K2033" s="25" t="s">
        <v>9</v>
      </c>
      <c r="L2033" s="25" t="s">
        <v>30</v>
      </c>
      <c r="M2033" s="25"/>
      <c r="N2033" s="25" t="s">
        <v>37</v>
      </c>
      <c r="Q2033" s="99"/>
    </row>
    <row r="2034">
      <c r="A2034" s="140"/>
      <c r="B2034" s="134" t="s">
        <v>18</v>
      </c>
      <c r="C2034" s="134" t="s">
        <v>19</v>
      </c>
      <c r="D2034" s="133" t="s">
        <v>796</v>
      </c>
      <c r="E2034" s="240">
        <v>43155.0</v>
      </c>
      <c r="F2034" s="13" t="str">
        <f t="shared" si="180"/>
        <v>Feb-2018</v>
      </c>
      <c r="G2034" s="13" t="s">
        <v>20</v>
      </c>
      <c r="H2034" s="16" t="s">
        <v>278</v>
      </c>
      <c r="I2034" s="16" t="s">
        <v>804</v>
      </c>
      <c r="J2034" s="16" t="s">
        <v>23</v>
      </c>
      <c r="K2034" s="16" t="s">
        <v>9</v>
      </c>
      <c r="L2034" s="16" t="s">
        <v>24</v>
      </c>
      <c r="M2034" s="16" t="s">
        <v>30</v>
      </c>
      <c r="N2034" s="16" t="s">
        <v>69</v>
      </c>
      <c r="O2034" s="101"/>
      <c r="P2034" s="101"/>
      <c r="Q2034" s="102"/>
    </row>
    <row r="2035">
      <c r="A2035" s="140"/>
      <c r="B2035" s="134" t="s">
        <v>18</v>
      </c>
      <c r="C2035" s="134" t="s">
        <v>19</v>
      </c>
      <c r="D2035" s="133" t="s">
        <v>796</v>
      </c>
      <c r="E2035" s="240">
        <v>43155.0</v>
      </c>
      <c r="F2035" s="13" t="str">
        <f t="shared" si="180"/>
        <v>Feb-2018</v>
      </c>
      <c r="G2035" s="13" t="s">
        <v>25</v>
      </c>
      <c r="H2035" s="16" t="s">
        <v>278</v>
      </c>
      <c r="I2035" s="16" t="s">
        <v>804</v>
      </c>
      <c r="J2035" s="16" t="s">
        <v>23</v>
      </c>
      <c r="K2035" s="16" t="s">
        <v>9</v>
      </c>
      <c r="L2035" s="16" t="s">
        <v>30</v>
      </c>
      <c r="M2035" s="16"/>
      <c r="N2035" s="16" t="s">
        <v>106</v>
      </c>
      <c r="O2035" s="101"/>
      <c r="P2035" s="101"/>
      <c r="Q2035" s="102"/>
    </row>
    <row r="2036">
      <c r="A2036" s="140"/>
      <c r="B2036" s="134" t="s">
        <v>18</v>
      </c>
      <c r="C2036" s="134" t="s">
        <v>19</v>
      </c>
      <c r="D2036" s="133" t="s">
        <v>796</v>
      </c>
      <c r="E2036" s="240">
        <v>43155.0</v>
      </c>
      <c r="F2036" s="13" t="str">
        <f t="shared" si="180"/>
        <v>Feb-2018</v>
      </c>
      <c r="G2036" s="16" t="s">
        <v>32</v>
      </c>
      <c r="H2036" s="16" t="s">
        <v>278</v>
      </c>
      <c r="I2036" s="16" t="s">
        <v>804</v>
      </c>
      <c r="J2036" s="16" t="s">
        <v>86</v>
      </c>
      <c r="K2036" s="16" t="s">
        <v>9</v>
      </c>
      <c r="L2036" s="16" t="s">
        <v>30</v>
      </c>
      <c r="M2036" s="16"/>
      <c r="N2036" s="16" t="s">
        <v>99</v>
      </c>
      <c r="O2036" s="101"/>
      <c r="P2036" s="101"/>
      <c r="Q2036" s="102"/>
    </row>
    <row r="2037">
      <c r="A2037" s="140"/>
      <c r="B2037" s="134" t="s">
        <v>18</v>
      </c>
      <c r="C2037" s="134" t="s">
        <v>19</v>
      </c>
      <c r="D2037" s="133" t="s">
        <v>796</v>
      </c>
      <c r="E2037" s="240">
        <v>43155.0</v>
      </c>
      <c r="F2037" s="13" t="str">
        <f t="shared" si="180"/>
        <v>Feb-2018</v>
      </c>
      <c r="G2037" s="21" t="s">
        <v>20</v>
      </c>
      <c r="H2037" s="25" t="s">
        <v>278</v>
      </c>
      <c r="I2037" s="25" t="s">
        <v>449</v>
      </c>
      <c r="J2037" s="25" t="s">
        <v>86</v>
      </c>
      <c r="K2037" s="25" t="s">
        <v>9</v>
      </c>
      <c r="L2037" s="25" t="s">
        <v>24</v>
      </c>
      <c r="M2037" s="25" t="s">
        <v>24</v>
      </c>
      <c r="N2037" s="25" t="s">
        <v>69</v>
      </c>
      <c r="Q2037" s="99"/>
    </row>
    <row r="2038">
      <c r="A2038" s="141"/>
      <c r="B2038" s="134" t="s">
        <v>18</v>
      </c>
      <c r="C2038" s="134" t="s">
        <v>19</v>
      </c>
      <c r="D2038" s="133" t="s">
        <v>796</v>
      </c>
      <c r="E2038" s="241">
        <v>43155.0</v>
      </c>
      <c r="F2038" s="35" t="str">
        <f t="shared" si="180"/>
        <v>Feb-2018</v>
      </c>
      <c r="G2038" s="51" t="s">
        <v>25</v>
      </c>
      <c r="H2038" s="55" t="s">
        <v>278</v>
      </c>
      <c r="I2038" s="55" t="s">
        <v>449</v>
      </c>
      <c r="J2038" s="55" t="s">
        <v>86</v>
      </c>
      <c r="K2038" s="55" t="s">
        <v>9</v>
      </c>
      <c r="L2038" s="55" t="s">
        <v>24</v>
      </c>
      <c r="M2038" s="55"/>
      <c r="N2038" s="55" t="s">
        <v>29</v>
      </c>
      <c r="O2038" s="143"/>
      <c r="P2038" s="143"/>
      <c r="Q2038" s="144"/>
    </row>
    <row r="2039">
      <c r="A2039" s="94"/>
    </row>
    <row r="2040">
      <c r="A2040" s="133" t="s">
        <v>805</v>
      </c>
      <c r="B2040" s="134" t="s">
        <v>546</v>
      </c>
      <c r="C2040" s="134" t="s">
        <v>74</v>
      </c>
      <c r="D2040" s="133" t="s">
        <v>805</v>
      </c>
      <c r="E2040" s="239">
        <v>43158.0</v>
      </c>
      <c r="F2040" s="110" t="str">
        <f t="shared" ref="F2040:F2049" si="181">TEXT(E2032:E2040, "mmm") &amp; "-" &amp; TEXT(E2032:E2040, "yyyy") </f>
        <v>Feb-2018</v>
      </c>
      <c r="G2040" s="110" t="s">
        <v>20</v>
      </c>
      <c r="H2040" s="47" t="s">
        <v>35</v>
      </c>
      <c r="I2040" s="47" t="s">
        <v>806</v>
      </c>
      <c r="J2040" s="47" t="s">
        <v>102</v>
      </c>
      <c r="K2040" s="47" t="s">
        <v>9</v>
      </c>
      <c r="L2040" s="47" t="s">
        <v>30</v>
      </c>
      <c r="M2040" s="47" t="s">
        <v>30</v>
      </c>
      <c r="N2040" s="47" t="s">
        <v>99</v>
      </c>
      <c r="O2040" s="152"/>
      <c r="P2040" s="152"/>
      <c r="Q2040" s="153"/>
    </row>
    <row r="2041">
      <c r="A2041" s="134" t="s">
        <v>546</v>
      </c>
      <c r="B2041" s="134" t="s">
        <v>546</v>
      </c>
      <c r="C2041" s="134" t="s">
        <v>74</v>
      </c>
      <c r="D2041" s="133" t="s">
        <v>805</v>
      </c>
      <c r="E2041" s="240">
        <v>43158.0</v>
      </c>
      <c r="F2041" s="13" t="str">
        <f t="shared" si="181"/>
        <v>Feb-2018</v>
      </c>
      <c r="G2041" s="13" t="s">
        <v>25</v>
      </c>
      <c r="H2041" s="16" t="s">
        <v>35</v>
      </c>
      <c r="I2041" s="16" t="s">
        <v>806</v>
      </c>
      <c r="J2041" s="16" t="s">
        <v>102</v>
      </c>
      <c r="K2041" s="16" t="s">
        <v>9</v>
      </c>
      <c r="L2041" s="16" t="s">
        <v>30</v>
      </c>
      <c r="M2041" s="16"/>
      <c r="N2041" s="16" t="s">
        <v>37</v>
      </c>
      <c r="O2041" s="101"/>
      <c r="P2041" s="101"/>
      <c r="Q2041" s="102"/>
    </row>
    <row r="2042">
      <c r="A2042" s="134" t="s">
        <v>807</v>
      </c>
      <c r="B2042" s="134" t="s">
        <v>546</v>
      </c>
      <c r="C2042" s="134" t="s">
        <v>74</v>
      </c>
      <c r="D2042" s="133" t="s">
        <v>805</v>
      </c>
      <c r="E2042" s="240">
        <v>43158.0</v>
      </c>
      <c r="F2042" s="13" t="str">
        <f t="shared" si="181"/>
        <v>Feb-2018</v>
      </c>
      <c r="G2042" s="21" t="s">
        <v>20</v>
      </c>
      <c r="H2042" s="25" t="s">
        <v>35</v>
      </c>
      <c r="I2042" s="25" t="s">
        <v>112</v>
      </c>
      <c r="J2042" s="25" t="s">
        <v>86</v>
      </c>
      <c r="K2042" s="25" t="s">
        <v>9</v>
      </c>
      <c r="L2042" s="25" t="s">
        <v>24</v>
      </c>
      <c r="M2042" s="25" t="s">
        <v>24</v>
      </c>
      <c r="N2042" s="25" t="s">
        <v>69</v>
      </c>
      <c r="Q2042" s="99"/>
    </row>
    <row r="2043">
      <c r="A2043" s="168">
        <v>43158.0</v>
      </c>
      <c r="B2043" s="134" t="s">
        <v>546</v>
      </c>
      <c r="C2043" s="134" t="s">
        <v>74</v>
      </c>
      <c r="D2043" s="133" t="s">
        <v>805</v>
      </c>
      <c r="E2043" s="240">
        <v>43158.0</v>
      </c>
      <c r="F2043" s="13" t="str">
        <f t="shared" si="181"/>
        <v>Feb-2018</v>
      </c>
      <c r="G2043" s="21" t="s">
        <v>25</v>
      </c>
      <c r="H2043" s="25" t="s">
        <v>35</v>
      </c>
      <c r="I2043" s="25" t="s">
        <v>112</v>
      </c>
      <c r="J2043" s="25" t="s">
        <v>86</v>
      </c>
      <c r="K2043" s="25" t="s">
        <v>9</v>
      </c>
      <c r="L2043" s="25" t="s">
        <v>24</v>
      </c>
      <c r="M2043" s="25"/>
      <c r="N2043" s="25" t="s">
        <v>29</v>
      </c>
      <c r="Q2043" s="99"/>
    </row>
    <row r="2044">
      <c r="A2044" s="134" t="s">
        <v>74</v>
      </c>
      <c r="B2044" s="134" t="s">
        <v>546</v>
      </c>
      <c r="C2044" s="134" t="s">
        <v>74</v>
      </c>
      <c r="D2044" s="133" t="s">
        <v>805</v>
      </c>
      <c r="E2044" s="240">
        <v>43158.0</v>
      </c>
      <c r="F2044" s="13" t="str">
        <f t="shared" si="181"/>
        <v>Feb-2018</v>
      </c>
      <c r="G2044" s="13" t="s">
        <v>20</v>
      </c>
      <c r="H2044" s="16" t="s">
        <v>35</v>
      </c>
      <c r="I2044" s="16" t="s">
        <v>808</v>
      </c>
      <c r="J2044" s="16" t="s">
        <v>23</v>
      </c>
      <c r="K2044" s="16" t="s">
        <v>9</v>
      </c>
      <c r="L2044" s="16" t="s">
        <v>30</v>
      </c>
      <c r="M2044" s="16" t="s">
        <v>30</v>
      </c>
      <c r="N2044" s="16" t="s">
        <v>37</v>
      </c>
      <c r="O2044" s="101"/>
      <c r="P2044" s="101"/>
      <c r="Q2044" s="102"/>
    </row>
    <row r="2045">
      <c r="A2045" s="176" t="s">
        <v>809</v>
      </c>
      <c r="B2045" s="134" t="s">
        <v>546</v>
      </c>
      <c r="C2045" s="134" t="s">
        <v>74</v>
      </c>
      <c r="D2045" s="133" t="s">
        <v>805</v>
      </c>
      <c r="E2045" s="240">
        <v>43158.0</v>
      </c>
      <c r="F2045" s="13" t="str">
        <f t="shared" si="181"/>
        <v>Feb-2018</v>
      </c>
      <c r="G2045" s="13" t="s">
        <v>25</v>
      </c>
      <c r="H2045" s="16" t="s">
        <v>35</v>
      </c>
      <c r="I2045" s="16" t="s">
        <v>808</v>
      </c>
      <c r="J2045" s="16" t="s">
        <v>23</v>
      </c>
      <c r="K2045" s="16" t="s">
        <v>9</v>
      </c>
      <c r="L2045" s="16" t="s">
        <v>30</v>
      </c>
      <c r="M2045" s="16"/>
      <c r="N2045" s="16" t="s">
        <v>37</v>
      </c>
      <c r="O2045" s="101"/>
      <c r="P2045" s="101"/>
      <c r="Q2045" s="102"/>
    </row>
    <row r="2046">
      <c r="A2046" s="140"/>
      <c r="B2046" s="134" t="s">
        <v>546</v>
      </c>
      <c r="C2046" s="134" t="s">
        <v>74</v>
      </c>
      <c r="D2046" s="133" t="s">
        <v>805</v>
      </c>
      <c r="E2046" s="240">
        <v>43158.0</v>
      </c>
      <c r="F2046" s="13" t="str">
        <f t="shared" si="181"/>
        <v>Feb-2018</v>
      </c>
      <c r="G2046" s="21" t="s">
        <v>20</v>
      </c>
      <c r="H2046" s="25" t="s">
        <v>35</v>
      </c>
      <c r="I2046" s="25">
        <v>248.0</v>
      </c>
      <c r="J2046" s="25" t="s">
        <v>27</v>
      </c>
      <c r="K2046" s="25" t="s">
        <v>9</v>
      </c>
      <c r="L2046" s="25" t="s">
        <v>30</v>
      </c>
      <c r="M2046" s="25" t="s">
        <v>30</v>
      </c>
      <c r="N2046" s="25" t="s">
        <v>69</v>
      </c>
      <c r="Q2046" s="99"/>
    </row>
    <row r="2047">
      <c r="A2047" s="140"/>
      <c r="B2047" s="134" t="s">
        <v>546</v>
      </c>
      <c r="C2047" s="134" t="s">
        <v>74</v>
      </c>
      <c r="D2047" s="133" t="s">
        <v>805</v>
      </c>
      <c r="E2047" s="240">
        <v>43158.0</v>
      </c>
      <c r="F2047" s="13" t="str">
        <f t="shared" si="181"/>
        <v>Feb-2018</v>
      </c>
      <c r="G2047" s="21" t="s">
        <v>25</v>
      </c>
      <c r="H2047" s="25" t="s">
        <v>35</v>
      </c>
      <c r="I2047" s="25">
        <v>248.0</v>
      </c>
      <c r="J2047" s="25" t="s">
        <v>27</v>
      </c>
      <c r="K2047" s="25" t="s">
        <v>9</v>
      </c>
      <c r="L2047" s="25" t="s">
        <v>30</v>
      </c>
      <c r="M2047" s="25"/>
      <c r="N2047" s="25" t="s">
        <v>99</v>
      </c>
      <c r="Q2047" s="99"/>
    </row>
    <row r="2048">
      <c r="A2048" s="140"/>
      <c r="B2048" s="134" t="s">
        <v>546</v>
      </c>
      <c r="C2048" s="134" t="s">
        <v>74</v>
      </c>
      <c r="D2048" s="133" t="s">
        <v>805</v>
      </c>
      <c r="E2048" s="240">
        <v>43158.0</v>
      </c>
      <c r="F2048" s="13" t="str">
        <f t="shared" si="181"/>
        <v>Feb-2018</v>
      </c>
      <c r="G2048" s="13" t="s">
        <v>20</v>
      </c>
      <c r="H2048" s="16" t="s">
        <v>35</v>
      </c>
      <c r="I2048" s="16" t="s">
        <v>231</v>
      </c>
      <c r="J2048" s="16" t="s">
        <v>86</v>
      </c>
      <c r="K2048" s="16" t="s">
        <v>9</v>
      </c>
      <c r="L2048" s="16" t="s">
        <v>24</v>
      </c>
      <c r="M2048" s="16" t="s">
        <v>24</v>
      </c>
      <c r="N2048" s="16" t="s">
        <v>69</v>
      </c>
      <c r="O2048" s="101"/>
      <c r="P2048" s="101"/>
      <c r="Q2048" s="102"/>
    </row>
    <row r="2049">
      <c r="A2049" s="141"/>
      <c r="B2049" s="134" t="s">
        <v>546</v>
      </c>
      <c r="C2049" s="134" t="s">
        <v>74</v>
      </c>
      <c r="D2049" s="133" t="s">
        <v>805</v>
      </c>
      <c r="E2049" s="241">
        <v>43158.0</v>
      </c>
      <c r="F2049" s="35" t="str">
        <f t="shared" si="181"/>
        <v>Feb-2018</v>
      </c>
      <c r="G2049" s="35" t="s">
        <v>25</v>
      </c>
      <c r="H2049" s="38" t="s">
        <v>35</v>
      </c>
      <c r="I2049" s="38" t="s">
        <v>231</v>
      </c>
      <c r="J2049" s="38" t="s">
        <v>86</v>
      </c>
      <c r="K2049" s="38" t="s">
        <v>9</v>
      </c>
      <c r="L2049" s="38" t="s">
        <v>24</v>
      </c>
      <c r="M2049" s="38"/>
      <c r="N2049" s="38" t="s">
        <v>29</v>
      </c>
      <c r="O2049" s="105"/>
      <c r="P2049" s="105"/>
      <c r="Q2049" s="106"/>
    </row>
    <row r="2050">
      <c r="A2050" s="94"/>
    </row>
    <row r="2051">
      <c r="A2051" s="133" t="s">
        <v>810</v>
      </c>
      <c r="B2051" s="134" t="s">
        <v>73</v>
      </c>
      <c r="C2051" s="134" t="s">
        <v>84</v>
      </c>
      <c r="D2051" s="133" t="s">
        <v>810</v>
      </c>
      <c r="E2051" s="239">
        <v>43162.0</v>
      </c>
      <c r="F2051" s="110" t="str">
        <f t="shared" ref="F2051:F2065" si="182">TEXT(E2043:E2051, "mmm") &amp; "-" &amp; TEXT(E2043:E2051, "yyyy") </f>
        <v>Mar-2018</v>
      </c>
      <c r="G2051" s="70" t="s">
        <v>20</v>
      </c>
      <c r="H2051" s="73" t="s">
        <v>287</v>
      </c>
      <c r="I2051" s="73" t="s">
        <v>811</v>
      </c>
      <c r="J2051" s="73" t="s">
        <v>9</v>
      </c>
      <c r="K2051" s="73" t="s">
        <v>9</v>
      </c>
      <c r="L2051" s="73" t="s">
        <v>24</v>
      </c>
      <c r="M2051" s="73" t="s">
        <v>24</v>
      </c>
      <c r="N2051" s="73" t="s">
        <v>69</v>
      </c>
      <c r="O2051" s="165"/>
      <c r="P2051" s="165"/>
      <c r="Q2051" s="166"/>
    </row>
    <row r="2052">
      <c r="A2052" s="134" t="s">
        <v>73</v>
      </c>
      <c r="B2052" s="134" t="s">
        <v>73</v>
      </c>
      <c r="C2052" s="134" t="s">
        <v>84</v>
      </c>
      <c r="D2052" s="133" t="s">
        <v>810</v>
      </c>
      <c r="E2052" s="240">
        <v>43162.0</v>
      </c>
      <c r="F2052" s="13" t="str">
        <f t="shared" si="182"/>
        <v>Mar-2018</v>
      </c>
      <c r="G2052" s="21" t="s">
        <v>25</v>
      </c>
      <c r="H2052" s="25" t="s">
        <v>287</v>
      </c>
      <c r="I2052" s="25" t="s">
        <v>811</v>
      </c>
      <c r="J2052" s="25" t="s">
        <v>9</v>
      </c>
      <c r="K2052" s="25" t="s">
        <v>9</v>
      </c>
      <c r="L2052" s="25" t="s">
        <v>24</v>
      </c>
      <c r="M2052" s="25"/>
      <c r="N2052" s="25" t="s">
        <v>69</v>
      </c>
      <c r="Q2052" s="99"/>
    </row>
    <row r="2053">
      <c r="A2053" s="134" t="s">
        <v>812</v>
      </c>
      <c r="B2053" s="134" t="s">
        <v>73</v>
      </c>
      <c r="C2053" s="134" t="s">
        <v>84</v>
      </c>
      <c r="D2053" s="133" t="s">
        <v>810</v>
      </c>
      <c r="E2053" s="240">
        <v>43162.0</v>
      </c>
      <c r="F2053" s="13" t="str">
        <f t="shared" si="182"/>
        <v>Mar-2018</v>
      </c>
      <c r="G2053" s="13" t="s">
        <v>20</v>
      </c>
      <c r="H2053" s="16" t="s">
        <v>287</v>
      </c>
      <c r="I2053" s="16" t="s">
        <v>495</v>
      </c>
      <c r="J2053" s="16" t="s">
        <v>23</v>
      </c>
      <c r="K2053" s="16" t="s">
        <v>9</v>
      </c>
      <c r="L2053" s="16" t="s">
        <v>30</v>
      </c>
      <c r="M2053" s="16" t="s">
        <v>30</v>
      </c>
      <c r="N2053" s="16" t="s">
        <v>37</v>
      </c>
      <c r="O2053" s="101"/>
      <c r="P2053" s="101"/>
      <c r="Q2053" s="102"/>
    </row>
    <row r="2054">
      <c r="A2054" s="168">
        <v>43162.0</v>
      </c>
      <c r="B2054" s="134" t="s">
        <v>73</v>
      </c>
      <c r="C2054" s="134" t="s">
        <v>84</v>
      </c>
      <c r="D2054" s="133" t="s">
        <v>810</v>
      </c>
      <c r="E2054" s="240">
        <v>43162.0</v>
      </c>
      <c r="F2054" s="13" t="str">
        <f t="shared" si="182"/>
        <v>Mar-2018</v>
      </c>
      <c r="G2054" s="13" t="s">
        <v>25</v>
      </c>
      <c r="H2054" s="16" t="s">
        <v>287</v>
      </c>
      <c r="I2054" s="16" t="s">
        <v>495</v>
      </c>
      <c r="J2054" s="16" t="s">
        <v>48</v>
      </c>
      <c r="K2054" s="16" t="s">
        <v>9</v>
      </c>
      <c r="L2054" s="16" t="s">
        <v>30</v>
      </c>
      <c r="M2054" s="16"/>
      <c r="N2054" s="16" t="s">
        <v>37</v>
      </c>
      <c r="O2054" s="101"/>
      <c r="P2054" s="101"/>
      <c r="Q2054" s="102"/>
    </row>
    <row r="2055">
      <c r="A2055" s="134" t="s">
        <v>84</v>
      </c>
      <c r="B2055" s="134" t="s">
        <v>73</v>
      </c>
      <c r="C2055" s="134" t="s">
        <v>84</v>
      </c>
      <c r="D2055" s="133" t="s">
        <v>810</v>
      </c>
      <c r="E2055" s="240">
        <v>43162.0</v>
      </c>
      <c r="F2055" s="13" t="str">
        <f t="shared" si="182"/>
        <v>Mar-2018</v>
      </c>
      <c r="G2055" s="21" t="s">
        <v>20</v>
      </c>
      <c r="H2055" s="25" t="s">
        <v>287</v>
      </c>
      <c r="I2055" s="25" t="s">
        <v>813</v>
      </c>
      <c r="J2055" s="25" t="s">
        <v>102</v>
      </c>
      <c r="K2055" s="25" t="s">
        <v>9</v>
      </c>
      <c r="L2055" s="25" t="s">
        <v>30</v>
      </c>
      <c r="M2055" s="25" t="s">
        <v>30</v>
      </c>
      <c r="N2055" s="25" t="s">
        <v>98</v>
      </c>
      <c r="Q2055" s="99"/>
    </row>
    <row r="2056">
      <c r="A2056" s="176" t="s">
        <v>814</v>
      </c>
      <c r="B2056" s="134" t="s">
        <v>73</v>
      </c>
      <c r="C2056" s="134" t="s">
        <v>84</v>
      </c>
      <c r="D2056" s="133" t="s">
        <v>810</v>
      </c>
      <c r="E2056" s="240">
        <v>43162.0</v>
      </c>
      <c r="F2056" s="13" t="str">
        <f t="shared" si="182"/>
        <v>Mar-2018</v>
      </c>
      <c r="G2056" s="21" t="s">
        <v>25</v>
      </c>
      <c r="H2056" s="25" t="s">
        <v>287</v>
      </c>
      <c r="I2056" s="25" t="s">
        <v>813</v>
      </c>
      <c r="J2056" s="25" t="s">
        <v>102</v>
      </c>
      <c r="K2056" s="25" t="s">
        <v>9</v>
      </c>
      <c r="L2056" s="25" t="s">
        <v>30</v>
      </c>
      <c r="M2056" s="25"/>
      <c r="N2056" s="25" t="s">
        <v>69</v>
      </c>
      <c r="Q2056" s="99"/>
    </row>
    <row r="2057">
      <c r="A2057" s="134" t="s">
        <v>815</v>
      </c>
      <c r="B2057" s="134" t="s">
        <v>73</v>
      </c>
      <c r="C2057" s="134" t="s">
        <v>84</v>
      </c>
      <c r="D2057" s="133" t="s">
        <v>810</v>
      </c>
      <c r="E2057" s="240">
        <v>43162.0</v>
      </c>
      <c r="F2057" s="13" t="str">
        <f t="shared" si="182"/>
        <v>Mar-2018</v>
      </c>
      <c r="G2057" s="13" t="s">
        <v>20</v>
      </c>
      <c r="H2057" s="16" t="s">
        <v>287</v>
      </c>
      <c r="I2057" s="16" t="s">
        <v>100</v>
      </c>
      <c r="J2057" s="16" t="s">
        <v>9</v>
      </c>
      <c r="K2057" s="16" t="s">
        <v>9</v>
      </c>
      <c r="L2057" s="16" t="s">
        <v>24</v>
      </c>
      <c r="M2057" s="16" t="s">
        <v>24</v>
      </c>
      <c r="N2057" s="16" t="s">
        <v>69</v>
      </c>
      <c r="O2057" s="101"/>
      <c r="P2057" s="101"/>
      <c r="Q2057" s="102"/>
    </row>
    <row r="2058">
      <c r="A2058" s="176" t="s">
        <v>816</v>
      </c>
      <c r="B2058" s="134" t="s">
        <v>73</v>
      </c>
      <c r="C2058" s="134" t="s">
        <v>84</v>
      </c>
      <c r="D2058" s="133" t="s">
        <v>810</v>
      </c>
      <c r="E2058" s="240">
        <v>43162.0</v>
      </c>
      <c r="F2058" s="13" t="str">
        <f t="shared" si="182"/>
        <v>Mar-2018</v>
      </c>
      <c r="G2058" s="13" t="s">
        <v>25</v>
      </c>
      <c r="H2058" s="16" t="s">
        <v>287</v>
      </c>
      <c r="I2058" s="16" t="s">
        <v>100</v>
      </c>
      <c r="J2058" s="16" t="s">
        <v>9</v>
      </c>
      <c r="K2058" s="16" t="s">
        <v>9</v>
      </c>
      <c r="L2058" s="16" t="s">
        <v>30</v>
      </c>
      <c r="M2058" s="16"/>
      <c r="N2058" s="16" t="s">
        <v>69</v>
      </c>
      <c r="O2058" s="101"/>
      <c r="P2058" s="101"/>
      <c r="Q2058" s="102"/>
    </row>
    <row r="2059">
      <c r="A2059" s="140"/>
      <c r="B2059" s="134" t="s">
        <v>73</v>
      </c>
      <c r="C2059" s="134" t="s">
        <v>84</v>
      </c>
      <c r="D2059" s="133" t="s">
        <v>810</v>
      </c>
      <c r="E2059" s="240">
        <v>43162.0</v>
      </c>
      <c r="F2059" s="13" t="str">
        <f t="shared" si="182"/>
        <v>Mar-2018</v>
      </c>
      <c r="G2059" s="16" t="s">
        <v>32</v>
      </c>
      <c r="H2059" s="16" t="s">
        <v>287</v>
      </c>
      <c r="I2059" s="16" t="s">
        <v>100</v>
      </c>
      <c r="J2059" s="16" t="s">
        <v>9</v>
      </c>
      <c r="K2059" s="16" t="s">
        <v>9</v>
      </c>
      <c r="L2059" s="16" t="s">
        <v>30</v>
      </c>
      <c r="M2059" s="16"/>
      <c r="N2059" s="16" t="s">
        <v>99</v>
      </c>
      <c r="O2059" s="101"/>
      <c r="P2059" s="101"/>
      <c r="Q2059" s="102"/>
    </row>
    <row r="2060">
      <c r="A2060" s="140"/>
      <c r="B2060" s="134" t="s">
        <v>73</v>
      </c>
      <c r="C2060" s="134" t="s">
        <v>84</v>
      </c>
      <c r="D2060" s="133" t="s">
        <v>810</v>
      </c>
      <c r="E2060" s="240">
        <v>43162.0</v>
      </c>
      <c r="F2060" s="13" t="str">
        <f t="shared" si="182"/>
        <v>Mar-2018</v>
      </c>
      <c r="G2060" s="21" t="s">
        <v>20</v>
      </c>
      <c r="H2060" s="25" t="s">
        <v>35</v>
      </c>
      <c r="I2060" s="25" t="s">
        <v>487</v>
      </c>
      <c r="J2060" s="25" t="s">
        <v>44</v>
      </c>
      <c r="K2060" s="25" t="s">
        <v>9</v>
      </c>
      <c r="L2060" s="25" t="s">
        <v>30</v>
      </c>
      <c r="M2060" s="25" t="s">
        <v>30</v>
      </c>
      <c r="N2060" s="25" t="s">
        <v>69</v>
      </c>
      <c r="Q2060" s="99"/>
    </row>
    <row r="2061">
      <c r="A2061" s="140"/>
      <c r="B2061" s="134" t="s">
        <v>73</v>
      </c>
      <c r="C2061" s="134" t="s">
        <v>84</v>
      </c>
      <c r="D2061" s="133" t="s">
        <v>810</v>
      </c>
      <c r="E2061" s="240">
        <v>43162.0</v>
      </c>
      <c r="F2061" s="13" t="str">
        <f t="shared" si="182"/>
        <v>Mar-2018</v>
      </c>
      <c r="G2061" s="21" t="s">
        <v>25</v>
      </c>
      <c r="H2061" s="25" t="s">
        <v>35</v>
      </c>
      <c r="I2061" s="25" t="s">
        <v>487</v>
      </c>
      <c r="J2061" s="25" t="s">
        <v>44</v>
      </c>
      <c r="K2061" s="25" t="s">
        <v>9</v>
      </c>
      <c r="L2061" s="25" t="s">
        <v>30</v>
      </c>
      <c r="M2061" s="25"/>
      <c r="N2061" s="25" t="s">
        <v>98</v>
      </c>
      <c r="Q2061" s="99"/>
    </row>
    <row r="2062">
      <c r="A2062" s="140"/>
      <c r="B2062" s="134" t="s">
        <v>73</v>
      </c>
      <c r="C2062" s="134" t="s">
        <v>84</v>
      </c>
      <c r="D2062" s="133" t="s">
        <v>810</v>
      </c>
      <c r="E2062" s="240">
        <v>43162.0</v>
      </c>
      <c r="F2062" s="13" t="str">
        <f t="shared" si="182"/>
        <v>Mar-2018</v>
      </c>
      <c r="G2062" s="13" t="s">
        <v>20</v>
      </c>
      <c r="H2062" s="16" t="s">
        <v>35</v>
      </c>
      <c r="I2062" s="16" t="s">
        <v>346</v>
      </c>
      <c r="J2062" s="16" t="s">
        <v>44</v>
      </c>
      <c r="K2062" s="16" t="s">
        <v>9</v>
      </c>
      <c r="L2062" s="16" t="s">
        <v>24</v>
      </c>
      <c r="M2062" s="16" t="s">
        <v>24</v>
      </c>
      <c r="N2062" s="16" t="s">
        <v>37</v>
      </c>
      <c r="O2062" s="101"/>
      <c r="P2062" s="101"/>
      <c r="Q2062" s="102"/>
    </row>
    <row r="2063">
      <c r="A2063" s="140"/>
      <c r="B2063" s="134" t="s">
        <v>73</v>
      </c>
      <c r="C2063" s="134" t="s">
        <v>84</v>
      </c>
      <c r="D2063" s="133" t="s">
        <v>810</v>
      </c>
      <c r="E2063" s="240">
        <v>43162.0</v>
      </c>
      <c r="F2063" s="13" t="str">
        <f t="shared" si="182"/>
        <v>Mar-2018</v>
      </c>
      <c r="G2063" s="13" t="s">
        <v>25</v>
      </c>
      <c r="H2063" s="16" t="s">
        <v>35</v>
      </c>
      <c r="I2063" s="16" t="s">
        <v>346</v>
      </c>
      <c r="J2063" s="16" t="s">
        <v>44</v>
      </c>
      <c r="K2063" s="16" t="s">
        <v>9</v>
      </c>
      <c r="L2063" s="16" t="s">
        <v>24</v>
      </c>
      <c r="M2063" s="16"/>
      <c r="N2063" s="16" t="s">
        <v>69</v>
      </c>
      <c r="O2063" s="101"/>
      <c r="P2063" s="101"/>
      <c r="Q2063" s="102"/>
    </row>
    <row r="2064">
      <c r="A2064" s="140"/>
      <c r="B2064" s="134" t="s">
        <v>73</v>
      </c>
      <c r="C2064" s="134" t="s">
        <v>84</v>
      </c>
      <c r="D2064" s="133" t="s">
        <v>810</v>
      </c>
      <c r="E2064" s="240">
        <v>43162.0</v>
      </c>
      <c r="F2064" s="13" t="str">
        <f t="shared" si="182"/>
        <v>Mar-2018</v>
      </c>
      <c r="G2064" s="21" t="s">
        <v>20</v>
      </c>
      <c r="H2064" s="25" t="s">
        <v>35</v>
      </c>
      <c r="I2064" s="25" t="s">
        <v>620</v>
      </c>
      <c r="J2064" s="25" t="s">
        <v>44</v>
      </c>
      <c r="K2064" s="25" t="s">
        <v>9</v>
      </c>
      <c r="L2064" s="25" t="s">
        <v>24</v>
      </c>
      <c r="M2064" s="25" t="s">
        <v>24</v>
      </c>
      <c r="N2064" s="25" t="s">
        <v>37</v>
      </c>
      <c r="Q2064" s="99"/>
    </row>
    <row r="2065">
      <c r="A2065" s="141"/>
      <c r="B2065" s="134" t="s">
        <v>73</v>
      </c>
      <c r="C2065" s="134" t="s">
        <v>84</v>
      </c>
      <c r="D2065" s="133" t="s">
        <v>810</v>
      </c>
      <c r="E2065" s="241">
        <v>43162.0</v>
      </c>
      <c r="F2065" s="35" t="str">
        <f t="shared" si="182"/>
        <v>Mar-2018</v>
      </c>
      <c r="G2065" s="51" t="s">
        <v>25</v>
      </c>
      <c r="H2065" s="55" t="s">
        <v>35</v>
      </c>
      <c r="I2065" s="55" t="s">
        <v>620</v>
      </c>
      <c r="J2065" s="55" t="s">
        <v>44</v>
      </c>
      <c r="K2065" s="55" t="s">
        <v>9</v>
      </c>
      <c r="L2065" s="55" t="s">
        <v>24</v>
      </c>
      <c r="M2065" s="55"/>
      <c r="N2065" s="55" t="s">
        <v>106</v>
      </c>
      <c r="O2065" s="143"/>
      <c r="P2065" s="143"/>
      <c r="Q2065" s="144"/>
    </row>
    <row r="2066">
      <c r="A2066" s="94"/>
    </row>
    <row r="2067">
      <c r="A2067" s="191" t="s">
        <v>817</v>
      </c>
      <c r="B2067" s="192" t="s">
        <v>818</v>
      </c>
      <c r="C2067" s="192" t="s">
        <v>116</v>
      </c>
      <c r="D2067" s="191" t="s">
        <v>817</v>
      </c>
      <c r="E2067" s="213">
        <v>43170.0</v>
      </c>
      <c r="F2067" s="13" t="str">
        <f t="shared" ref="F2067:F2074" si="183">TEXT(E2059:E2067, "mmm") &amp; "-" &amp; TEXT(E2059:E2067, "yyyy") </f>
        <v>Mar-2018</v>
      </c>
      <c r="G2067" s="110" t="s">
        <v>20</v>
      </c>
      <c r="H2067" s="47" t="s">
        <v>35</v>
      </c>
      <c r="I2067" s="47" t="s">
        <v>819</v>
      </c>
      <c r="J2067" s="47" t="s">
        <v>9</v>
      </c>
      <c r="K2067" s="47" t="s">
        <v>9</v>
      </c>
      <c r="L2067" s="47" t="s">
        <v>30</v>
      </c>
      <c r="M2067" s="47" t="s">
        <v>30</v>
      </c>
      <c r="N2067" s="47" t="s">
        <v>99</v>
      </c>
      <c r="O2067" s="152"/>
      <c r="P2067" s="152"/>
      <c r="Q2067" s="136" t="s">
        <v>820</v>
      </c>
    </row>
    <row r="2068">
      <c r="A2068" s="192" t="s">
        <v>818</v>
      </c>
      <c r="B2068" s="192" t="s">
        <v>818</v>
      </c>
      <c r="C2068" s="192" t="s">
        <v>116</v>
      </c>
      <c r="D2068" s="191" t="s">
        <v>817</v>
      </c>
      <c r="E2068" s="213">
        <v>43170.0</v>
      </c>
      <c r="F2068" s="13" t="str">
        <f t="shared" si="183"/>
        <v>Mar-2018</v>
      </c>
      <c r="G2068" s="13" t="s">
        <v>25</v>
      </c>
      <c r="H2068" s="16" t="s">
        <v>35</v>
      </c>
      <c r="I2068" s="16" t="s">
        <v>819</v>
      </c>
      <c r="J2068" s="16" t="s">
        <v>9</v>
      </c>
      <c r="K2068" s="16" t="s">
        <v>9</v>
      </c>
      <c r="L2068" s="16" t="s">
        <v>30</v>
      </c>
      <c r="M2068" s="16"/>
      <c r="N2068" s="16" t="s">
        <v>98</v>
      </c>
      <c r="O2068" s="101"/>
      <c r="P2068" s="101"/>
      <c r="Q2068" s="138" t="s">
        <v>820</v>
      </c>
    </row>
    <row r="2069">
      <c r="A2069" s="192" t="s">
        <v>821</v>
      </c>
      <c r="B2069" s="192" t="s">
        <v>818</v>
      </c>
      <c r="C2069" s="192" t="s">
        <v>116</v>
      </c>
      <c r="D2069" s="191" t="s">
        <v>817</v>
      </c>
      <c r="E2069" s="213">
        <v>43170.0</v>
      </c>
      <c r="F2069" s="13" t="str">
        <f t="shared" si="183"/>
        <v>Mar-2018</v>
      </c>
      <c r="G2069" s="21" t="s">
        <v>20</v>
      </c>
      <c r="H2069" s="25" t="s">
        <v>35</v>
      </c>
      <c r="I2069" s="25" t="s">
        <v>822</v>
      </c>
      <c r="J2069" s="25" t="s">
        <v>9</v>
      </c>
      <c r="K2069" s="25" t="s">
        <v>9</v>
      </c>
      <c r="L2069" s="25" t="s">
        <v>24</v>
      </c>
      <c r="M2069" s="25" t="s">
        <v>24</v>
      </c>
      <c r="N2069" s="25" t="s">
        <v>98</v>
      </c>
      <c r="O2069" s="25">
        <v>5.0</v>
      </c>
      <c r="Q2069" s="184" t="s">
        <v>650</v>
      </c>
    </row>
    <row r="2070">
      <c r="A2070" s="213">
        <v>43170.0</v>
      </c>
      <c r="B2070" s="192" t="s">
        <v>818</v>
      </c>
      <c r="C2070" s="192" t="s">
        <v>116</v>
      </c>
      <c r="D2070" s="191" t="s">
        <v>817</v>
      </c>
      <c r="E2070" s="213">
        <v>43170.0</v>
      </c>
      <c r="F2070" s="13" t="str">
        <f t="shared" si="183"/>
        <v>Mar-2018</v>
      </c>
      <c r="G2070" s="21" t="s">
        <v>25</v>
      </c>
      <c r="H2070" s="25" t="s">
        <v>35</v>
      </c>
      <c r="I2070" s="25" t="s">
        <v>822</v>
      </c>
      <c r="J2070" s="25" t="s">
        <v>9</v>
      </c>
      <c r="K2070" s="25" t="s">
        <v>9</v>
      </c>
      <c r="L2070" s="25" t="s">
        <v>24</v>
      </c>
      <c r="M2070" s="25"/>
      <c r="N2070" s="25" t="s">
        <v>69</v>
      </c>
      <c r="O2070" s="25">
        <v>5.0</v>
      </c>
      <c r="Q2070" s="184" t="s">
        <v>650</v>
      </c>
    </row>
    <row r="2071">
      <c r="A2071" s="192" t="s">
        <v>116</v>
      </c>
      <c r="B2071" s="192" t="s">
        <v>818</v>
      </c>
      <c r="C2071" s="192" t="s">
        <v>116</v>
      </c>
      <c r="D2071" s="191" t="s">
        <v>817</v>
      </c>
      <c r="E2071" s="213">
        <v>43170.0</v>
      </c>
      <c r="F2071" s="13" t="str">
        <f t="shared" si="183"/>
        <v>Mar-2018</v>
      </c>
      <c r="G2071" s="13" t="s">
        <v>20</v>
      </c>
      <c r="H2071" s="16" t="s">
        <v>35</v>
      </c>
      <c r="I2071" s="16" t="s">
        <v>823</v>
      </c>
      <c r="J2071" s="16" t="s">
        <v>97</v>
      </c>
      <c r="K2071" s="16" t="s">
        <v>9</v>
      </c>
      <c r="L2071" s="16" t="s">
        <v>30</v>
      </c>
      <c r="M2071" s="16" t="s">
        <v>30</v>
      </c>
      <c r="N2071" s="16" t="s">
        <v>98</v>
      </c>
      <c r="O2071" s="101"/>
      <c r="P2071" s="101"/>
      <c r="Q2071" s="138" t="s">
        <v>650</v>
      </c>
    </row>
    <row r="2072">
      <c r="A2072" s="248" t="s">
        <v>824</v>
      </c>
      <c r="B2072" s="192" t="s">
        <v>818</v>
      </c>
      <c r="C2072" s="192" t="s">
        <v>116</v>
      </c>
      <c r="D2072" s="191" t="s">
        <v>817</v>
      </c>
      <c r="E2072" s="213">
        <v>43170.0</v>
      </c>
      <c r="F2072" s="13" t="str">
        <f t="shared" si="183"/>
        <v>Mar-2018</v>
      </c>
      <c r="G2072" s="13" t="s">
        <v>25</v>
      </c>
      <c r="H2072" s="16" t="s">
        <v>35</v>
      </c>
      <c r="I2072" s="16" t="s">
        <v>823</v>
      </c>
      <c r="J2072" s="16" t="s">
        <v>97</v>
      </c>
      <c r="K2072" s="16" t="s">
        <v>9</v>
      </c>
      <c r="L2072" s="16" t="s">
        <v>30</v>
      </c>
      <c r="M2072" s="16"/>
      <c r="N2072" s="16" t="s">
        <v>99</v>
      </c>
      <c r="O2072" s="101"/>
      <c r="P2072" s="101"/>
      <c r="Q2072" s="138" t="s">
        <v>650</v>
      </c>
    </row>
    <row r="2073">
      <c r="A2073" s="195"/>
      <c r="B2073" s="192" t="s">
        <v>818</v>
      </c>
      <c r="C2073" s="192" t="s">
        <v>116</v>
      </c>
      <c r="D2073" s="191" t="s">
        <v>817</v>
      </c>
      <c r="E2073" s="213">
        <v>43170.0</v>
      </c>
      <c r="F2073" s="13" t="str">
        <f t="shared" si="183"/>
        <v>Mar-2018</v>
      </c>
      <c r="G2073" s="21" t="s">
        <v>20</v>
      </c>
      <c r="H2073" s="25" t="s">
        <v>35</v>
      </c>
      <c r="I2073" s="25" t="s">
        <v>825</v>
      </c>
      <c r="J2073" s="25" t="s">
        <v>97</v>
      </c>
      <c r="K2073" s="25" t="s">
        <v>9</v>
      </c>
      <c r="L2073" s="25" t="s">
        <v>24</v>
      </c>
      <c r="M2073" s="25" t="s">
        <v>24</v>
      </c>
      <c r="N2073" s="25" t="s">
        <v>98</v>
      </c>
      <c r="O2073" s="25">
        <v>10.0</v>
      </c>
      <c r="Q2073" s="184" t="s">
        <v>650</v>
      </c>
    </row>
    <row r="2074">
      <c r="A2074" s="196"/>
      <c r="B2074" s="192" t="s">
        <v>818</v>
      </c>
      <c r="C2074" s="192" t="s">
        <v>116</v>
      </c>
      <c r="D2074" s="191" t="s">
        <v>817</v>
      </c>
      <c r="E2074" s="213">
        <v>43170.0</v>
      </c>
      <c r="F2074" s="13" t="str">
        <f t="shared" si="183"/>
        <v>Mar-2018</v>
      </c>
      <c r="G2074" s="51" t="s">
        <v>25</v>
      </c>
      <c r="H2074" s="55" t="s">
        <v>35</v>
      </c>
      <c r="I2074" s="55" t="s">
        <v>825</v>
      </c>
      <c r="J2074" s="55" t="s">
        <v>97</v>
      </c>
      <c r="K2074" s="55" t="s">
        <v>9</v>
      </c>
      <c r="L2074" s="55" t="s">
        <v>24</v>
      </c>
      <c r="M2074" s="55"/>
      <c r="N2074" s="55" t="s">
        <v>69</v>
      </c>
      <c r="O2074" s="55">
        <v>10.0</v>
      </c>
      <c r="P2074" s="143"/>
      <c r="Q2074" s="244" t="s">
        <v>650</v>
      </c>
    </row>
    <row r="2075">
      <c r="A2075" s="94"/>
    </row>
    <row r="2076">
      <c r="A2076" s="133" t="s">
        <v>826</v>
      </c>
      <c r="B2076" s="134" t="s">
        <v>827</v>
      </c>
      <c r="C2076" s="134" t="s">
        <v>74</v>
      </c>
      <c r="D2076" s="133" t="s">
        <v>826</v>
      </c>
      <c r="E2076" s="239">
        <v>43175.0</v>
      </c>
      <c r="F2076" s="110" t="str">
        <f t="shared" ref="F2076:F2091" si="184">TEXT(E2068:E2076, "mmm") &amp; "-" &amp; TEXT(E2068:E2076, "yyyy") </f>
        <v>Mar-2018</v>
      </c>
      <c r="G2076" s="110" t="s">
        <v>20</v>
      </c>
      <c r="H2076" s="47" t="s">
        <v>35</v>
      </c>
      <c r="I2076" s="47" t="s">
        <v>828</v>
      </c>
      <c r="J2076" s="47" t="s">
        <v>9</v>
      </c>
      <c r="K2076" s="47" t="s">
        <v>9</v>
      </c>
      <c r="L2076" s="47" t="s">
        <v>30</v>
      </c>
      <c r="M2076" s="47" t="s">
        <v>30</v>
      </c>
      <c r="N2076" s="47" t="s">
        <v>69</v>
      </c>
      <c r="O2076" s="152"/>
      <c r="P2076" s="152"/>
      <c r="Q2076" s="153"/>
    </row>
    <row r="2077">
      <c r="A2077" s="134" t="s">
        <v>827</v>
      </c>
      <c r="B2077" s="134" t="s">
        <v>827</v>
      </c>
      <c r="C2077" s="134" t="s">
        <v>74</v>
      </c>
      <c r="D2077" s="133" t="s">
        <v>826</v>
      </c>
      <c r="E2077" s="240">
        <v>43175.0</v>
      </c>
      <c r="F2077" s="13" t="str">
        <f t="shared" si="184"/>
        <v>Mar-2018</v>
      </c>
      <c r="G2077" s="13" t="s">
        <v>25</v>
      </c>
      <c r="H2077" s="16" t="s">
        <v>35</v>
      </c>
      <c r="I2077" s="16" t="s">
        <v>828</v>
      </c>
      <c r="J2077" s="16" t="s">
        <v>9</v>
      </c>
      <c r="K2077" s="16" t="s">
        <v>9</v>
      </c>
      <c r="L2077" s="16" t="s">
        <v>30</v>
      </c>
      <c r="M2077" s="16"/>
      <c r="N2077" s="16" t="s">
        <v>69</v>
      </c>
      <c r="O2077" s="101"/>
      <c r="P2077" s="101"/>
      <c r="Q2077" s="102"/>
    </row>
    <row r="2078">
      <c r="A2078" s="134" t="s">
        <v>829</v>
      </c>
      <c r="B2078" s="134" t="s">
        <v>827</v>
      </c>
      <c r="C2078" s="134" t="s">
        <v>74</v>
      </c>
      <c r="D2078" s="133" t="s">
        <v>826</v>
      </c>
      <c r="E2078" s="240">
        <v>43175.0</v>
      </c>
      <c r="F2078" s="13" t="str">
        <f t="shared" si="184"/>
        <v>Mar-2018</v>
      </c>
      <c r="G2078" s="21" t="s">
        <v>20</v>
      </c>
      <c r="H2078" s="25" t="s">
        <v>35</v>
      </c>
      <c r="I2078" s="25" t="s">
        <v>219</v>
      </c>
      <c r="J2078" s="25" t="s">
        <v>97</v>
      </c>
      <c r="K2078" s="25" t="s">
        <v>9</v>
      </c>
      <c r="L2078" s="25" t="s">
        <v>24</v>
      </c>
      <c r="M2078" s="25" t="s">
        <v>30</v>
      </c>
      <c r="N2078" s="25" t="s">
        <v>98</v>
      </c>
      <c r="Q2078" s="99"/>
    </row>
    <row r="2079">
      <c r="A2079" s="168">
        <v>43175.0</v>
      </c>
      <c r="B2079" s="134" t="s">
        <v>827</v>
      </c>
      <c r="C2079" s="134" t="s">
        <v>74</v>
      </c>
      <c r="D2079" s="133" t="s">
        <v>826</v>
      </c>
      <c r="E2079" s="240">
        <v>43175.0</v>
      </c>
      <c r="F2079" s="13" t="str">
        <f t="shared" si="184"/>
        <v>Mar-2018</v>
      </c>
      <c r="G2079" s="21" t="s">
        <v>25</v>
      </c>
      <c r="H2079" s="25" t="s">
        <v>35</v>
      </c>
      <c r="I2079" s="25" t="s">
        <v>219</v>
      </c>
      <c r="J2079" s="25" t="s">
        <v>97</v>
      </c>
      <c r="K2079" s="25" t="s">
        <v>9</v>
      </c>
      <c r="L2079" s="25" t="s">
        <v>30</v>
      </c>
      <c r="M2079" s="25"/>
      <c r="N2079" s="25" t="s">
        <v>106</v>
      </c>
      <c r="Q2079" s="99"/>
    </row>
    <row r="2080">
      <c r="A2080" s="134" t="s">
        <v>74</v>
      </c>
      <c r="B2080" s="134" t="s">
        <v>827</v>
      </c>
      <c r="C2080" s="134" t="s">
        <v>74</v>
      </c>
      <c r="D2080" s="133" t="s">
        <v>826</v>
      </c>
      <c r="E2080" s="240">
        <v>43175.0</v>
      </c>
      <c r="F2080" s="13" t="str">
        <f t="shared" si="184"/>
        <v>Mar-2018</v>
      </c>
      <c r="G2080" s="119" t="s">
        <v>32</v>
      </c>
      <c r="H2080" s="25" t="s">
        <v>35</v>
      </c>
      <c r="I2080" s="25" t="s">
        <v>219</v>
      </c>
      <c r="J2080" s="25" t="s">
        <v>97</v>
      </c>
      <c r="K2080" s="25" t="s">
        <v>9</v>
      </c>
      <c r="L2080" s="25" t="s">
        <v>30</v>
      </c>
      <c r="M2080" s="25"/>
      <c r="N2080" s="25" t="s">
        <v>37</v>
      </c>
      <c r="Q2080" s="99"/>
    </row>
    <row r="2081">
      <c r="A2081" s="176" t="s">
        <v>830</v>
      </c>
      <c r="B2081" s="134" t="s">
        <v>827</v>
      </c>
      <c r="C2081" s="134" t="s">
        <v>74</v>
      </c>
      <c r="D2081" s="133" t="s">
        <v>826</v>
      </c>
      <c r="E2081" s="240">
        <v>43175.0</v>
      </c>
      <c r="F2081" s="13" t="str">
        <f t="shared" si="184"/>
        <v>Mar-2018</v>
      </c>
      <c r="G2081" s="263" t="s">
        <v>146</v>
      </c>
      <c r="H2081" s="16" t="s">
        <v>35</v>
      </c>
      <c r="I2081" s="16" t="s">
        <v>47</v>
      </c>
      <c r="J2081" s="16" t="s">
        <v>48</v>
      </c>
      <c r="K2081" s="16" t="s">
        <v>9</v>
      </c>
      <c r="L2081" s="16" t="s">
        <v>24</v>
      </c>
      <c r="M2081" s="16" t="s">
        <v>24</v>
      </c>
      <c r="N2081" s="16" t="s">
        <v>99</v>
      </c>
      <c r="O2081" s="101"/>
      <c r="P2081" s="101"/>
      <c r="Q2081" s="102"/>
    </row>
    <row r="2082">
      <c r="A2082" s="140"/>
      <c r="B2082" s="134" t="s">
        <v>827</v>
      </c>
      <c r="C2082" s="134" t="s">
        <v>74</v>
      </c>
      <c r="D2082" s="133" t="s">
        <v>826</v>
      </c>
      <c r="E2082" s="240">
        <v>43175.0</v>
      </c>
      <c r="F2082" s="13" t="str">
        <f t="shared" si="184"/>
        <v>Mar-2018</v>
      </c>
      <c r="G2082" s="263" t="s">
        <v>149</v>
      </c>
      <c r="H2082" s="16" t="s">
        <v>35</v>
      </c>
      <c r="I2082" s="16" t="s">
        <v>47</v>
      </c>
      <c r="J2082" s="16" t="s">
        <v>48</v>
      </c>
      <c r="K2082" s="16" t="s">
        <v>9</v>
      </c>
      <c r="L2082" s="16" t="s">
        <v>30</v>
      </c>
      <c r="M2082" s="16"/>
      <c r="N2082" s="16" t="s">
        <v>69</v>
      </c>
      <c r="O2082" s="101"/>
      <c r="P2082" s="101"/>
      <c r="Q2082" s="102"/>
    </row>
    <row r="2083">
      <c r="A2083" s="140"/>
      <c r="B2083" s="134" t="s">
        <v>827</v>
      </c>
      <c r="C2083" s="134" t="s">
        <v>74</v>
      </c>
      <c r="D2083" s="133" t="s">
        <v>826</v>
      </c>
      <c r="E2083" s="240">
        <v>43175.0</v>
      </c>
      <c r="F2083" s="13" t="str">
        <f t="shared" si="184"/>
        <v>Mar-2018</v>
      </c>
      <c r="G2083" s="263" t="s">
        <v>222</v>
      </c>
      <c r="H2083" s="16" t="s">
        <v>35</v>
      </c>
      <c r="I2083" s="16" t="s">
        <v>47</v>
      </c>
      <c r="J2083" s="16" t="s">
        <v>48</v>
      </c>
      <c r="K2083" s="16" t="s">
        <v>9</v>
      </c>
      <c r="L2083" s="16" t="s">
        <v>24</v>
      </c>
      <c r="M2083" s="16"/>
      <c r="N2083" s="16" t="s">
        <v>37</v>
      </c>
      <c r="O2083" s="101"/>
      <c r="P2083" s="101"/>
      <c r="Q2083" s="102"/>
    </row>
    <row r="2084">
      <c r="A2084" s="140"/>
      <c r="B2084" s="134" t="s">
        <v>827</v>
      </c>
      <c r="C2084" s="134" t="s">
        <v>74</v>
      </c>
      <c r="D2084" s="133" t="s">
        <v>826</v>
      </c>
      <c r="E2084" s="240">
        <v>43175.0</v>
      </c>
      <c r="F2084" s="13" t="str">
        <f t="shared" si="184"/>
        <v>Mar-2018</v>
      </c>
      <c r="G2084" s="263" t="s">
        <v>467</v>
      </c>
      <c r="H2084" s="16" t="s">
        <v>35</v>
      </c>
      <c r="I2084" s="16" t="s">
        <v>47</v>
      </c>
      <c r="J2084" s="16" t="s">
        <v>48</v>
      </c>
      <c r="K2084" s="16" t="s">
        <v>9</v>
      </c>
      <c r="L2084" s="16" t="s">
        <v>24</v>
      </c>
      <c r="M2084" s="16"/>
      <c r="N2084" s="16" t="s">
        <v>106</v>
      </c>
      <c r="O2084" s="101"/>
      <c r="P2084" s="101"/>
      <c r="Q2084" s="102"/>
    </row>
    <row r="2085">
      <c r="A2085" s="140"/>
      <c r="B2085" s="134" t="s">
        <v>827</v>
      </c>
      <c r="C2085" s="134" t="s">
        <v>74</v>
      </c>
      <c r="D2085" s="133" t="s">
        <v>826</v>
      </c>
      <c r="E2085" s="240">
        <v>43175.0</v>
      </c>
      <c r="F2085" s="13" t="str">
        <f t="shared" si="184"/>
        <v>Mar-2018</v>
      </c>
      <c r="G2085" s="264" t="s">
        <v>146</v>
      </c>
      <c r="H2085" s="25" t="s">
        <v>35</v>
      </c>
      <c r="I2085" s="25" t="s">
        <v>442</v>
      </c>
      <c r="J2085" s="25" t="s">
        <v>27</v>
      </c>
      <c r="K2085" s="25" t="s">
        <v>9</v>
      </c>
      <c r="L2085" s="25" t="s">
        <v>24</v>
      </c>
      <c r="M2085" s="25" t="s">
        <v>30</v>
      </c>
      <c r="N2085" s="25" t="s">
        <v>69</v>
      </c>
      <c r="Q2085" s="99"/>
    </row>
    <row r="2086">
      <c r="A2086" s="140"/>
      <c r="B2086" s="134" t="s">
        <v>827</v>
      </c>
      <c r="C2086" s="134" t="s">
        <v>74</v>
      </c>
      <c r="D2086" s="133" t="s">
        <v>826</v>
      </c>
      <c r="E2086" s="240">
        <v>43175.0</v>
      </c>
      <c r="F2086" s="13" t="str">
        <f t="shared" si="184"/>
        <v>Mar-2018</v>
      </c>
      <c r="G2086" s="264" t="s">
        <v>149</v>
      </c>
      <c r="H2086" s="25" t="s">
        <v>35</v>
      </c>
      <c r="I2086" s="25" t="s">
        <v>442</v>
      </c>
      <c r="J2086" s="25" t="s">
        <v>27</v>
      </c>
      <c r="K2086" s="25" t="s">
        <v>9</v>
      </c>
      <c r="L2086" s="25" t="s">
        <v>30</v>
      </c>
      <c r="M2086" s="25"/>
      <c r="N2086" s="25" t="s">
        <v>98</v>
      </c>
      <c r="Q2086" s="99"/>
    </row>
    <row r="2087">
      <c r="A2087" s="140"/>
      <c r="B2087" s="134" t="s">
        <v>827</v>
      </c>
      <c r="C2087" s="134" t="s">
        <v>74</v>
      </c>
      <c r="D2087" s="133" t="s">
        <v>826</v>
      </c>
      <c r="E2087" s="240">
        <v>43175.0</v>
      </c>
      <c r="F2087" s="13" t="str">
        <f t="shared" si="184"/>
        <v>Mar-2018</v>
      </c>
      <c r="G2087" s="264" t="s">
        <v>222</v>
      </c>
      <c r="H2087" s="25" t="s">
        <v>35</v>
      </c>
      <c r="I2087" s="25" t="s">
        <v>442</v>
      </c>
      <c r="J2087" s="25" t="s">
        <v>27</v>
      </c>
      <c r="K2087" s="25" t="s">
        <v>9</v>
      </c>
      <c r="L2087" s="25" t="s">
        <v>30</v>
      </c>
      <c r="M2087" s="25"/>
      <c r="N2087" s="25" t="s">
        <v>29</v>
      </c>
      <c r="Q2087" s="99"/>
    </row>
    <row r="2088">
      <c r="A2088" s="140"/>
      <c r="B2088" s="134" t="s">
        <v>827</v>
      </c>
      <c r="C2088" s="134" t="s">
        <v>74</v>
      </c>
      <c r="D2088" s="133" t="s">
        <v>826</v>
      </c>
      <c r="E2088" s="240">
        <v>43175.0</v>
      </c>
      <c r="F2088" s="13" t="str">
        <f t="shared" si="184"/>
        <v>Mar-2018</v>
      </c>
      <c r="G2088" s="264" t="s">
        <v>467</v>
      </c>
      <c r="H2088" s="25" t="s">
        <v>35</v>
      </c>
      <c r="I2088" s="25" t="s">
        <v>442</v>
      </c>
      <c r="J2088" s="25" t="s">
        <v>27</v>
      </c>
      <c r="K2088" s="25" t="s">
        <v>9</v>
      </c>
      <c r="L2088" s="25" t="s">
        <v>30</v>
      </c>
      <c r="M2088" s="25"/>
      <c r="N2088" s="25" t="s">
        <v>37</v>
      </c>
      <c r="Q2088" s="99"/>
    </row>
    <row r="2089">
      <c r="A2089" s="140"/>
      <c r="B2089" s="134" t="s">
        <v>827</v>
      </c>
      <c r="C2089" s="134" t="s">
        <v>74</v>
      </c>
      <c r="D2089" s="133" t="s">
        <v>826</v>
      </c>
      <c r="E2089" s="240">
        <v>43175.0</v>
      </c>
      <c r="F2089" s="13" t="str">
        <f t="shared" si="184"/>
        <v>Mar-2018</v>
      </c>
      <c r="G2089" s="263" t="s">
        <v>146</v>
      </c>
      <c r="H2089" s="16" t="s">
        <v>35</v>
      </c>
      <c r="I2089" s="16" t="s">
        <v>364</v>
      </c>
      <c r="J2089" s="16" t="s">
        <v>86</v>
      </c>
      <c r="K2089" s="16" t="s">
        <v>9</v>
      </c>
      <c r="L2089" s="16" t="s">
        <v>24</v>
      </c>
      <c r="M2089" s="16" t="s">
        <v>24</v>
      </c>
      <c r="N2089" s="16" t="s">
        <v>69</v>
      </c>
      <c r="O2089" s="101"/>
      <c r="P2089" s="101"/>
      <c r="Q2089" s="102"/>
    </row>
    <row r="2090">
      <c r="A2090" s="140"/>
      <c r="B2090" s="134" t="s">
        <v>827</v>
      </c>
      <c r="C2090" s="134" t="s">
        <v>74</v>
      </c>
      <c r="D2090" s="133" t="s">
        <v>826</v>
      </c>
      <c r="E2090" s="240">
        <v>43175.0</v>
      </c>
      <c r="F2090" s="13" t="str">
        <f t="shared" si="184"/>
        <v>Mar-2018</v>
      </c>
      <c r="G2090" s="263" t="s">
        <v>149</v>
      </c>
      <c r="H2090" s="16" t="s">
        <v>35</v>
      </c>
      <c r="I2090" s="16" t="s">
        <v>364</v>
      </c>
      <c r="J2090" s="16" t="s">
        <v>86</v>
      </c>
      <c r="K2090" s="16" t="s">
        <v>9</v>
      </c>
      <c r="L2090" s="16" t="s">
        <v>24</v>
      </c>
      <c r="M2090" s="16"/>
      <c r="N2090" s="16" t="s">
        <v>29</v>
      </c>
      <c r="O2090" s="101"/>
      <c r="P2090" s="101"/>
      <c r="Q2090" s="102"/>
    </row>
    <row r="2091">
      <c r="A2091" s="141"/>
      <c r="B2091" s="134" t="s">
        <v>827</v>
      </c>
      <c r="C2091" s="134" t="s">
        <v>74</v>
      </c>
      <c r="D2091" s="133" t="s">
        <v>826</v>
      </c>
      <c r="E2091" s="241">
        <v>43175.0</v>
      </c>
      <c r="F2091" s="35" t="str">
        <f t="shared" si="184"/>
        <v>Mar-2018</v>
      </c>
      <c r="G2091" s="265" t="s">
        <v>222</v>
      </c>
      <c r="H2091" s="38" t="s">
        <v>35</v>
      </c>
      <c r="I2091" s="38" t="s">
        <v>364</v>
      </c>
      <c r="J2091" s="38" t="s">
        <v>86</v>
      </c>
      <c r="K2091" s="38" t="s">
        <v>9</v>
      </c>
      <c r="L2091" s="38" t="s">
        <v>24</v>
      </c>
      <c r="M2091" s="38"/>
      <c r="N2091" s="38" t="s">
        <v>29</v>
      </c>
      <c r="O2091" s="105"/>
      <c r="P2091" s="105"/>
      <c r="Q2091" s="106"/>
    </row>
    <row r="2092">
      <c r="A2092" s="94"/>
    </row>
    <row r="2093">
      <c r="A2093" s="133" t="s">
        <v>831</v>
      </c>
      <c r="B2093" s="134" t="s">
        <v>18</v>
      </c>
      <c r="C2093" s="134" t="s">
        <v>19</v>
      </c>
      <c r="D2093" s="133" t="s">
        <v>831</v>
      </c>
      <c r="E2093" s="239">
        <v>43176.0</v>
      </c>
      <c r="F2093" s="110" t="str">
        <f t="shared" ref="F2093:F2102" si="185">TEXT(E2085:E2093, "mmm") &amp; "-" &amp; TEXT(E2085:E2093, "yyyy") </f>
        <v>Mar-2018</v>
      </c>
      <c r="G2093" s="70" t="s">
        <v>20</v>
      </c>
      <c r="H2093" s="73" t="s">
        <v>287</v>
      </c>
      <c r="I2093" s="73" t="s">
        <v>832</v>
      </c>
      <c r="J2093" s="73" t="s">
        <v>139</v>
      </c>
      <c r="K2093" s="73" t="s">
        <v>9</v>
      </c>
      <c r="L2093" s="73" t="s">
        <v>30</v>
      </c>
      <c r="M2093" s="73" t="s">
        <v>30</v>
      </c>
      <c r="N2093" s="73" t="s">
        <v>98</v>
      </c>
      <c r="O2093" s="165"/>
      <c r="P2093" s="165"/>
      <c r="Q2093" s="166"/>
    </row>
    <row r="2094">
      <c r="A2094" s="134" t="s">
        <v>18</v>
      </c>
      <c r="B2094" s="134" t="s">
        <v>18</v>
      </c>
      <c r="C2094" s="134" t="s">
        <v>19</v>
      </c>
      <c r="D2094" s="133" t="s">
        <v>831</v>
      </c>
      <c r="E2094" s="240">
        <v>43176.0</v>
      </c>
      <c r="F2094" s="13" t="str">
        <f t="shared" si="185"/>
        <v>Mar-2018</v>
      </c>
      <c r="G2094" s="21" t="s">
        <v>25</v>
      </c>
      <c r="H2094" s="25" t="s">
        <v>287</v>
      </c>
      <c r="I2094" s="25" t="s">
        <v>832</v>
      </c>
      <c r="J2094" s="25" t="s">
        <v>139</v>
      </c>
      <c r="K2094" s="25" t="s">
        <v>9</v>
      </c>
      <c r="L2094" s="25" t="s">
        <v>30</v>
      </c>
      <c r="M2094" s="25"/>
      <c r="N2094" s="25" t="s">
        <v>99</v>
      </c>
      <c r="Q2094" s="99"/>
    </row>
    <row r="2095">
      <c r="A2095" s="134" t="s">
        <v>669</v>
      </c>
      <c r="B2095" s="134" t="s">
        <v>18</v>
      </c>
      <c r="C2095" s="134" t="s">
        <v>19</v>
      </c>
      <c r="D2095" s="133" t="s">
        <v>831</v>
      </c>
      <c r="E2095" s="240">
        <v>43176.0</v>
      </c>
      <c r="F2095" s="13" t="str">
        <f t="shared" si="185"/>
        <v>Mar-2018</v>
      </c>
      <c r="G2095" s="13" t="s">
        <v>20</v>
      </c>
      <c r="H2095" s="16" t="s">
        <v>287</v>
      </c>
      <c r="I2095" s="16" t="s">
        <v>239</v>
      </c>
      <c r="J2095" s="16" t="s">
        <v>27</v>
      </c>
      <c r="K2095" s="16" t="s">
        <v>9</v>
      </c>
      <c r="L2095" s="16" t="s">
        <v>24</v>
      </c>
      <c r="M2095" s="16" t="s">
        <v>24</v>
      </c>
      <c r="N2095" s="16" t="s">
        <v>69</v>
      </c>
      <c r="O2095" s="101"/>
      <c r="P2095" s="101"/>
      <c r="Q2095" s="102"/>
    </row>
    <row r="2096">
      <c r="A2096" s="168">
        <v>43176.0</v>
      </c>
      <c r="B2096" s="134" t="s">
        <v>18</v>
      </c>
      <c r="C2096" s="134" t="s">
        <v>19</v>
      </c>
      <c r="D2096" s="133" t="s">
        <v>831</v>
      </c>
      <c r="E2096" s="240">
        <v>43176.0</v>
      </c>
      <c r="F2096" s="13" t="str">
        <f t="shared" si="185"/>
        <v>Mar-2018</v>
      </c>
      <c r="G2096" s="13" t="s">
        <v>25</v>
      </c>
      <c r="H2096" s="16" t="s">
        <v>287</v>
      </c>
      <c r="I2096" s="16" t="s">
        <v>239</v>
      </c>
      <c r="J2096" s="16" t="s">
        <v>27</v>
      </c>
      <c r="K2096" s="16" t="s">
        <v>9</v>
      </c>
      <c r="L2096" s="16" t="s">
        <v>24</v>
      </c>
      <c r="M2096" s="16"/>
      <c r="N2096" s="16" t="s">
        <v>98</v>
      </c>
      <c r="O2096" s="101"/>
      <c r="P2096" s="101"/>
      <c r="Q2096" s="102"/>
    </row>
    <row r="2097">
      <c r="A2097" s="134" t="s">
        <v>19</v>
      </c>
      <c r="B2097" s="134" t="s">
        <v>18</v>
      </c>
      <c r="C2097" s="134" t="s">
        <v>19</v>
      </c>
      <c r="D2097" s="133" t="s">
        <v>831</v>
      </c>
      <c r="E2097" s="240">
        <v>43176.0</v>
      </c>
      <c r="F2097" s="13" t="str">
        <f t="shared" si="185"/>
        <v>Mar-2018</v>
      </c>
      <c r="G2097" s="21" t="s">
        <v>20</v>
      </c>
      <c r="H2097" s="25" t="s">
        <v>287</v>
      </c>
      <c r="I2097" s="25" t="s">
        <v>238</v>
      </c>
      <c r="J2097" s="25" t="s">
        <v>216</v>
      </c>
      <c r="K2097" s="25" t="s">
        <v>9</v>
      </c>
      <c r="L2097" s="25" t="s">
        <v>24</v>
      </c>
      <c r="M2097" s="25" t="s">
        <v>24</v>
      </c>
      <c r="N2097" s="25" t="s">
        <v>98</v>
      </c>
      <c r="Q2097" s="99"/>
    </row>
    <row r="2098">
      <c r="A2098" s="176" t="s">
        <v>833</v>
      </c>
      <c r="B2098" s="134" t="s">
        <v>18</v>
      </c>
      <c r="C2098" s="134" t="s">
        <v>19</v>
      </c>
      <c r="D2098" s="133" t="s">
        <v>831</v>
      </c>
      <c r="E2098" s="240">
        <v>43176.0</v>
      </c>
      <c r="F2098" s="13" t="str">
        <f t="shared" si="185"/>
        <v>Mar-2018</v>
      </c>
      <c r="G2098" s="21" t="s">
        <v>25</v>
      </c>
      <c r="H2098" s="25" t="s">
        <v>287</v>
      </c>
      <c r="I2098" s="25" t="s">
        <v>238</v>
      </c>
      <c r="J2098" s="25" t="s">
        <v>216</v>
      </c>
      <c r="K2098" s="25" t="s">
        <v>9</v>
      </c>
      <c r="L2098" s="25" t="s">
        <v>30</v>
      </c>
      <c r="M2098" s="25"/>
      <c r="N2098" s="25" t="s">
        <v>106</v>
      </c>
      <c r="Q2098" s="99"/>
    </row>
    <row r="2099">
      <c r="A2099" s="140"/>
      <c r="B2099" s="134" t="s">
        <v>18</v>
      </c>
      <c r="C2099" s="134" t="s">
        <v>19</v>
      </c>
      <c r="D2099" s="133" t="s">
        <v>831</v>
      </c>
      <c r="E2099" s="240">
        <v>43176.0</v>
      </c>
      <c r="F2099" s="13" t="str">
        <f t="shared" si="185"/>
        <v>Mar-2018</v>
      </c>
      <c r="G2099" s="119" t="s">
        <v>32</v>
      </c>
      <c r="H2099" s="25" t="s">
        <v>287</v>
      </c>
      <c r="I2099" s="25" t="s">
        <v>238</v>
      </c>
      <c r="J2099" s="25" t="s">
        <v>216</v>
      </c>
      <c r="K2099" s="25" t="s">
        <v>9</v>
      </c>
      <c r="L2099" s="25" t="s">
        <v>24</v>
      </c>
      <c r="M2099" s="25"/>
      <c r="N2099" s="25" t="s">
        <v>99</v>
      </c>
      <c r="Q2099" s="99"/>
    </row>
    <row r="2100">
      <c r="A2100" s="140"/>
      <c r="B2100" s="134" t="s">
        <v>18</v>
      </c>
      <c r="C2100" s="134" t="s">
        <v>19</v>
      </c>
      <c r="D2100" s="133" t="s">
        <v>831</v>
      </c>
      <c r="E2100" s="240">
        <v>43176.0</v>
      </c>
      <c r="F2100" s="13" t="str">
        <f t="shared" si="185"/>
        <v>Mar-2018</v>
      </c>
      <c r="G2100" s="13" t="s">
        <v>20</v>
      </c>
      <c r="H2100" s="16" t="s">
        <v>35</v>
      </c>
      <c r="I2100" s="16" t="s">
        <v>834</v>
      </c>
      <c r="J2100" s="16" t="s">
        <v>27</v>
      </c>
      <c r="K2100" s="16" t="s">
        <v>9</v>
      </c>
      <c r="L2100" s="16" t="s">
        <v>30</v>
      </c>
      <c r="M2100" s="16" t="s">
        <v>24</v>
      </c>
      <c r="N2100" s="16" t="s">
        <v>69</v>
      </c>
      <c r="O2100" s="101"/>
      <c r="P2100" s="101"/>
      <c r="Q2100" s="102"/>
    </row>
    <row r="2101">
      <c r="A2101" s="140"/>
      <c r="B2101" s="134" t="s">
        <v>18</v>
      </c>
      <c r="C2101" s="134" t="s">
        <v>19</v>
      </c>
      <c r="D2101" s="133" t="s">
        <v>831</v>
      </c>
      <c r="E2101" s="240">
        <v>43176.0</v>
      </c>
      <c r="F2101" s="13" t="str">
        <f t="shared" si="185"/>
        <v>Mar-2018</v>
      </c>
      <c r="G2101" s="13" t="s">
        <v>25</v>
      </c>
      <c r="H2101" s="16" t="s">
        <v>35</v>
      </c>
      <c r="I2101" s="16" t="s">
        <v>834</v>
      </c>
      <c r="J2101" s="16" t="s">
        <v>27</v>
      </c>
      <c r="K2101" s="16" t="s">
        <v>9</v>
      </c>
      <c r="L2101" s="16" t="s">
        <v>24</v>
      </c>
      <c r="M2101" s="16"/>
      <c r="N2101" s="16" t="s">
        <v>99</v>
      </c>
      <c r="O2101" s="101"/>
      <c r="P2101" s="101"/>
      <c r="Q2101" s="102"/>
    </row>
    <row r="2102">
      <c r="A2102" s="141"/>
      <c r="B2102" s="134" t="s">
        <v>18</v>
      </c>
      <c r="C2102" s="134" t="s">
        <v>19</v>
      </c>
      <c r="D2102" s="133" t="s">
        <v>831</v>
      </c>
      <c r="E2102" s="241">
        <v>43176.0</v>
      </c>
      <c r="F2102" s="35" t="str">
        <f t="shared" si="185"/>
        <v>Mar-2018</v>
      </c>
      <c r="G2102" s="38" t="s">
        <v>32</v>
      </c>
      <c r="H2102" s="38" t="s">
        <v>35</v>
      </c>
      <c r="I2102" s="38" t="s">
        <v>834</v>
      </c>
      <c r="J2102" s="38" t="s">
        <v>27</v>
      </c>
      <c r="K2102" s="38" t="s">
        <v>9</v>
      </c>
      <c r="L2102" s="38" t="s">
        <v>24</v>
      </c>
      <c r="M2102" s="38"/>
      <c r="N2102" s="38" t="s">
        <v>106</v>
      </c>
      <c r="O2102" s="105"/>
      <c r="P2102" s="105"/>
      <c r="Q2102" s="106"/>
    </row>
    <row r="2103">
      <c r="A2103" s="94"/>
    </row>
    <row r="2104">
      <c r="A2104" s="133" t="s">
        <v>835</v>
      </c>
      <c r="B2104" s="134" t="s">
        <v>546</v>
      </c>
      <c r="C2104" s="134" t="s">
        <v>74</v>
      </c>
      <c r="D2104" s="133" t="s">
        <v>835</v>
      </c>
      <c r="E2104" s="260">
        <v>43179.0</v>
      </c>
      <c r="F2104" s="110" t="str">
        <f t="shared" ref="F2104:F2118" si="186">TEXT(E2096:E2104, "mmm") &amp; "-" &amp; TEXT(E2096:E2104, "yyyy") </f>
        <v>Mar-2018</v>
      </c>
      <c r="G2104" s="110" t="s">
        <v>20</v>
      </c>
      <c r="H2104" s="47" t="s">
        <v>35</v>
      </c>
      <c r="I2104" s="47" t="s">
        <v>836</v>
      </c>
      <c r="J2104" s="47" t="s">
        <v>216</v>
      </c>
      <c r="K2104" s="47" t="s">
        <v>9</v>
      </c>
      <c r="L2104" s="47" t="s">
        <v>30</v>
      </c>
      <c r="M2104" s="47" t="s">
        <v>30</v>
      </c>
      <c r="N2104" s="47" t="s">
        <v>99</v>
      </c>
      <c r="O2104" s="152"/>
      <c r="P2104" s="152"/>
      <c r="Q2104" s="153"/>
    </row>
    <row r="2105">
      <c r="A2105" s="134" t="s">
        <v>546</v>
      </c>
      <c r="B2105" s="134" t="s">
        <v>546</v>
      </c>
      <c r="C2105" s="134" t="s">
        <v>74</v>
      </c>
      <c r="D2105" s="133" t="s">
        <v>835</v>
      </c>
      <c r="E2105" s="261">
        <v>43179.0</v>
      </c>
      <c r="F2105" s="13" t="str">
        <f t="shared" si="186"/>
        <v>Mar-2018</v>
      </c>
      <c r="G2105" s="13" t="s">
        <v>25</v>
      </c>
      <c r="H2105" s="16" t="s">
        <v>35</v>
      </c>
      <c r="I2105" s="16" t="s">
        <v>836</v>
      </c>
      <c r="J2105" s="16" t="s">
        <v>216</v>
      </c>
      <c r="K2105" s="16" t="s">
        <v>9</v>
      </c>
      <c r="L2105" s="16" t="s">
        <v>30</v>
      </c>
      <c r="M2105" s="16"/>
      <c r="N2105" s="16" t="s">
        <v>106</v>
      </c>
      <c r="O2105" s="101"/>
      <c r="P2105" s="101"/>
      <c r="Q2105" s="102"/>
    </row>
    <row r="2106">
      <c r="A2106" s="134" t="s">
        <v>807</v>
      </c>
      <c r="B2106" s="134" t="s">
        <v>546</v>
      </c>
      <c r="C2106" s="134" t="s">
        <v>74</v>
      </c>
      <c r="D2106" s="133" t="s">
        <v>835</v>
      </c>
      <c r="E2106" s="261">
        <v>43179.0</v>
      </c>
      <c r="F2106" s="13" t="str">
        <f t="shared" si="186"/>
        <v>Mar-2018</v>
      </c>
      <c r="G2106" s="264" t="s">
        <v>146</v>
      </c>
      <c r="H2106" s="25" t="s">
        <v>35</v>
      </c>
      <c r="I2106" s="25" t="s">
        <v>81</v>
      </c>
      <c r="J2106" s="25" t="s">
        <v>9</v>
      </c>
      <c r="K2106" s="25" t="s">
        <v>9</v>
      </c>
      <c r="L2106" s="25" t="s">
        <v>24</v>
      </c>
      <c r="M2106" s="25" t="s">
        <v>24</v>
      </c>
      <c r="N2106" s="25" t="s">
        <v>69</v>
      </c>
      <c r="Q2106" s="99"/>
    </row>
    <row r="2107">
      <c r="A2107" s="189">
        <v>43179.0</v>
      </c>
      <c r="B2107" s="134" t="s">
        <v>546</v>
      </c>
      <c r="C2107" s="134" t="s">
        <v>74</v>
      </c>
      <c r="D2107" s="133" t="s">
        <v>835</v>
      </c>
      <c r="E2107" s="261">
        <v>43179.0</v>
      </c>
      <c r="F2107" s="13" t="str">
        <f t="shared" si="186"/>
        <v>Mar-2018</v>
      </c>
      <c r="G2107" s="264" t="s">
        <v>149</v>
      </c>
      <c r="H2107" s="25" t="s">
        <v>35</v>
      </c>
      <c r="I2107" s="25" t="s">
        <v>81</v>
      </c>
      <c r="J2107" s="25" t="s">
        <v>9</v>
      </c>
      <c r="K2107" s="25" t="s">
        <v>9</v>
      </c>
      <c r="L2107" s="25" t="s">
        <v>24</v>
      </c>
      <c r="M2107" s="25"/>
      <c r="N2107" s="25" t="s">
        <v>99</v>
      </c>
      <c r="Q2107" s="99"/>
    </row>
    <row r="2108">
      <c r="A2108" s="134" t="s">
        <v>74</v>
      </c>
      <c r="B2108" s="134" t="s">
        <v>546</v>
      </c>
      <c r="C2108" s="134" t="s">
        <v>74</v>
      </c>
      <c r="D2108" s="133" t="s">
        <v>835</v>
      </c>
      <c r="E2108" s="261">
        <v>43179.0</v>
      </c>
      <c r="F2108" s="13" t="str">
        <f t="shared" si="186"/>
        <v>Mar-2018</v>
      </c>
      <c r="G2108" s="264" t="s">
        <v>222</v>
      </c>
      <c r="H2108" s="25" t="s">
        <v>35</v>
      </c>
      <c r="I2108" s="25" t="s">
        <v>81</v>
      </c>
      <c r="J2108" s="25" t="s">
        <v>9</v>
      </c>
      <c r="K2108" s="25" t="s">
        <v>9</v>
      </c>
      <c r="L2108" s="25" t="s">
        <v>24</v>
      </c>
      <c r="M2108" s="25"/>
      <c r="N2108" s="25" t="s">
        <v>106</v>
      </c>
      <c r="Q2108" s="99"/>
    </row>
    <row r="2109">
      <c r="A2109" s="176" t="s">
        <v>837</v>
      </c>
      <c r="B2109" s="134" t="s">
        <v>546</v>
      </c>
      <c r="C2109" s="134" t="s">
        <v>74</v>
      </c>
      <c r="D2109" s="133" t="s">
        <v>835</v>
      </c>
      <c r="E2109" s="261">
        <v>43179.0</v>
      </c>
      <c r="F2109" s="13" t="str">
        <f t="shared" si="186"/>
        <v>Mar-2018</v>
      </c>
      <c r="G2109" s="263" t="s">
        <v>146</v>
      </c>
      <c r="H2109" s="16" t="s">
        <v>35</v>
      </c>
      <c r="I2109" s="16" t="s">
        <v>170</v>
      </c>
      <c r="J2109" s="16" t="s">
        <v>27</v>
      </c>
      <c r="K2109" s="16" t="s">
        <v>9</v>
      </c>
      <c r="L2109" s="16" t="s">
        <v>30</v>
      </c>
      <c r="M2109" s="16" t="s">
        <v>30</v>
      </c>
      <c r="N2109" s="16" t="s">
        <v>69</v>
      </c>
      <c r="O2109" s="101"/>
      <c r="P2109" s="101"/>
      <c r="Q2109" s="102"/>
    </row>
    <row r="2110">
      <c r="A2110" s="140"/>
      <c r="B2110" s="134" t="s">
        <v>546</v>
      </c>
      <c r="C2110" s="134" t="s">
        <v>74</v>
      </c>
      <c r="D2110" s="133" t="s">
        <v>835</v>
      </c>
      <c r="E2110" s="261">
        <v>43179.0</v>
      </c>
      <c r="F2110" s="13" t="str">
        <f t="shared" si="186"/>
        <v>Mar-2018</v>
      </c>
      <c r="G2110" s="263" t="s">
        <v>149</v>
      </c>
      <c r="H2110" s="16" t="s">
        <v>35</v>
      </c>
      <c r="I2110" s="16" t="s">
        <v>170</v>
      </c>
      <c r="J2110" s="16" t="s">
        <v>27</v>
      </c>
      <c r="K2110" s="16" t="s">
        <v>9</v>
      </c>
      <c r="L2110" s="16" t="s">
        <v>24</v>
      </c>
      <c r="M2110" s="16"/>
      <c r="N2110" s="16" t="s">
        <v>29</v>
      </c>
      <c r="O2110" s="101"/>
      <c r="P2110" s="101"/>
      <c r="Q2110" s="102"/>
    </row>
    <row r="2111">
      <c r="A2111" s="140"/>
      <c r="B2111" s="134" t="s">
        <v>546</v>
      </c>
      <c r="C2111" s="134" t="s">
        <v>74</v>
      </c>
      <c r="D2111" s="133" t="s">
        <v>835</v>
      </c>
      <c r="E2111" s="261">
        <v>43179.0</v>
      </c>
      <c r="F2111" s="13" t="str">
        <f t="shared" si="186"/>
        <v>Mar-2018</v>
      </c>
      <c r="G2111" s="263" t="s">
        <v>222</v>
      </c>
      <c r="H2111" s="16" t="s">
        <v>35</v>
      </c>
      <c r="I2111" s="16" t="s">
        <v>170</v>
      </c>
      <c r="J2111" s="16" t="s">
        <v>27</v>
      </c>
      <c r="K2111" s="16" t="s">
        <v>9</v>
      </c>
      <c r="L2111" s="16" t="s">
        <v>30</v>
      </c>
      <c r="M2111" s="16"/>
      <c r="N2111" s="16" t="s">
        <v>98</v>
      </c>
      <c r="O2111" s="101"/>
      <c r="P2111" s="101"/>
      <c r="Q2111" s="102"/>
    </row>
    <row r="2112">
      <c r="A2112" s="140"/>
      <c r="B2112" s="134" t="s">
        <v>546</v>
      </c>
      <c r="C2112" s="134" t="s">
        <v>74</v>
      </c>
      <c r="D2112" s="133" t="s">
        <v>835</v>
      </c>
      <c r="E2112" s="261">
        <v>43179.0</v>
      </c>
      <c r="F2112" s="13" t="str">
        <f t="shared" si="186"/>
        <v>Mar-2018</v>
      </c>
      <c r="G2112" s="263" t="s">
        <v>467</v>
      </c>
      <c r="H2112" s="16" t="s">
        <v>35</v>
      </c>
      <c r="I2112" s="16" t="s">
        <v>170</v>
      </c>
      <c r="J2112" s="16" t="s">
        <v>27</v>
      </c>
      <c r="K2112" s="16" t="s">
        <v>9</v>
      </c>
      <c r="L2112" s="16" t="s">
        <v>24</v>
      </c>
      <c r="M2112" s="16"/>
      <c r="N2112" s="16" t="s">
        <v>37</v>
      </c>
      <c r="O2112" s="101"/>
      <c r="P2112" s="101"/>
      <c r="Q2112" s="102"/>
    </row>
    <row r="2113">
      <c r="A2113" s="140"/>
      <c r="B2113" s="134" t="s">
        <v>546</v>
      </c>
      <c r="C2113" s="134" t="s">
        <v>74</v>
      </c>
      <c r="D2113" s="133" t="s">
        <v>835</v>
      </c>
      <c r="E2113" s="261">
        <v>43179.0</v>
      </c>
      <c r="F2113" s="13" t="str">
        <f t="shared" si="186"/>
        <v>Mar-2018</v>
      </c>
      <c r="G2113" s="263" t="s">
        <v>480</v>
      </c>
      <c r="H2113" s="16" t="s">
        <v>35</v>
      </c>
      <c r="I2113" s="16" t="s">
        <v>170</v>
      </c>
      <c r="J2113" s="16" t="s">
        <v>27</v>
      </c>
      <c r="K2113" s="16" t="s">
        <v>9</v>
      </c>
      <c r="L2113" s="16" t="s">
        <v>30</v>
      </c>
      <c r="M2113" s="16"/>
      <c r="N2113" s="16" t="s">
        <v>106</v>
      </c>
      <c r="O2113" s="101"/>
      <c r="P2113" s="101"/>
      <c r="Q2113" s="102"/>
    </row>
    <row r="2114">
      <c r="A2114" s="140"/>
      <c r="B2114" s="134" t="s">
        <v>546</v>
      </c>
      <c r="C2114" s="134" t="s">
        <v>74</v>
      </c>
      <c r="D2114" s="133" t="s">
        <v>835</v>
      </c>
      <c r="E2114" s="261">
        <v>43179.0</v>
      </c>
      <c r="F2114" s="13" t="str">
        <f t="shared" si="186"/>
        <v>Mar-2018</v>
      </c>
      <c r="G2114" s="264" t="s">
        <v>146</v>
      </c>
      <c r="H2114" s="25" t="s">
        <v>35</v>
      </c>
      <c r="I2114" s="25" t="s">
        <v>771</v>
      </c>
      <c r="J2114" s="25" t="s">
        <v>64</v>
      </c>
      <c r="K2114" s="25" t="s">
        <v>9</v>
      </c>
      <c r="L2114" s="25" t="s">
        <v>30</v>
      </c>
      <c r="M2114" s="25" t="s">
        <v>24</v>
      </c>
      <c r="N2114" s="25" t="s">
        <v>98</v>
      </c>
      <c r="Q2114" s="99"/>
    </row>
    <row r="2115">
      <c r="A2115" s="140"/>
      <c r="B2115" s="134" t="s">
        <v>546</v>
      </c>
      <c r="C2115" s="134" t="s">
        <v>74</v>
      </c>
      <c r="D2115" s="133" t="s">
        <v>835</v>
      </c>
      <c r="E2115" s="261">
        <v>43179.0</v>
      </c>
      <c r="F2115" s="13" t="str">
        <f t="shared" si="186"/>
        <v>Mar-2018</v>
      </c>
      <c r="G2115" s="264" t="s">
        <v>149</v>
      </c>
      <c r="H2115" s="25" t="s">
        <v>35</v>
      </c>
      <c r="I2115" s="25" t="s">
        <v>771</v>
      </c>
      <c r="J2115" s="25" t="s">
        <v>64</v>
      </c>
      <c r="K2115" s="25" t="s">
        <v>9</v>
      </c>
      <c r="L2115" s="25" t="s">
        <v>24</v>
      </c>
      <c r="M2115" s="25"/>
      <c r="N2115" s="25" t="s">
        <v>69</v>
      </c>
      <c r="Q2115" s="99"/>
    </row>
    <row r="2116">
      <c r="A2116" s="140"/>
      <c r="B2116" s="134" t="s">
        <v>546</v>
      </c>
      <c r="C2116" s="134" t="s">
        <v>74</v>
      </c>
      <c r="D2116" s="133" t="s">
        <v>835</v>
      </c>
      <c r="E2116" s="261">
        <v>43179.0</v>
      </c>
      <c r="F2116" s="13" t="str">
        <f t="shared" si="186"/>
        <v>Mar-2018</v>
      </c>
      <c r="G2116" s="264" t="s">
        <v>222</v>
      </c>
      <c r="H2116" s="25" t="s">
        <v>35</v>
      </c>
      <c r="I2116" s="25" t="s">
        <v>771</v>
      </c>
      <c r="J2116" s="25" t="s">
        <v>64</v>
      </c>
      <c r="K2116" s="25" t="s">
        <v>9</v>
      </c>
      <c r="L2116" s="25" t="s">
        <v>30</v>
      </c>
      <c r="M2116" s="25"/>
      <c r="N2116" s="25" t="s">
        <v>106</v>
      </c>
      <c r="Q2116" s="99"/>
    </row>
    <row r="2117">
      <c r="A2117" s="140"/>
      <c r="B2117" s="134" t="s">
        <v>546</v>
      </c>
      <c r="C2117" s="134" t="s">
        <v>74</v>
      </c>
      <c r="D2117" s="133" t="s">
        <v>835</v>
      </c>
      <c r="E2117" s="261">
        <v>43179.0</v>
      </c>
      <c r="F2117" s="13" t="str">
        <f t="shared" si="186"/>
        <v>Mar-2018</v>
      </c>
      <c r="G2117" s="264" t="s">
        <v>467</v>
      </c>
      <c r="H2117" s="25" t="s">
        <v>35</v>
      </c>
      <c r="I2117" s="25" t="s">
        <v>771</v>
      </c>
      <c r="J2117" s="25" t="s">
        <v>64</v>
      </c>
      <c r="K2117" s="25" t="s">
        <v>9</v>
      </c>
      <c r="L2117" s="25" t="s">
        <v>24</v>
      </c>
      <c r="M2117" s="25"/>
      <c r="N2117" s="25" t="s">
        <v>99</v>
      </c>
      <c r="Q2117" s="99"/>
    </row>
    <row r="2118">
      <c r="A2118" s="141"/>
      <c r="B2118" s="134" t="s">
        <v>546</v>
      </c>
      <c r="C2118" s="134" t="s">
        <v>74</v>
      </c>
      <c r="D2118" s="133" t="s">
        <v>835</v>
      </c>
      <c r="E2118" s="262">
        <v>43179.0</v>
      </c>
      <c r="F2118" s="35" t="str">
        <f t="shared" si="186"/>
        <v>Mar-2018</v>
      </c>
      <c r="G2118" s="266" t="s">
        <v>480</v>
      </c>
      <c r="H2118" s="55" t="s">
        <v>35</v>
      </c>
      <c r="I2118" s="55" t="s">
        <v>771</v>
      </c>
      <c r="J2118" s="55" t="s">
        <v>64</v>
      </c>
      <c r="K2118" s="55" t="s">
        <v>9</v>
      </c>
      <c r="L2118" s="55" t="s">
        <v>24</v>
      </c>
      <c r="M2118" s="55"/>
      <c r="N2118" s="55" t="s">
        <v>29</v>
      </c>
      <c r="O2118" s="143"/>
      <c r="P2118" s="143"/>
      <c r="Q2118" s="144"/>
    </row>
    <row r="2119">
      <c r="A2119" s="94"/>
    </row>
    <row r="2120">
      <c r="A2120" s="133" t="s">
        <v>838</v>
      </c>
      <c r="B2120" s="134" t="s">
        <v>827</v>
      </c>
      <c r="C2120" s="134" t="s">
        <v>74</v>
      </c>
      <c r="D2120" s="133" t="s">
        <v>838</v>
      </c>
      <c r="E2120" s="223">
        <v>43189.0</v>
      </c>
      <c r="F2120" s="110" t="str">
        <f t="shared" ref="F2120:F2131" si="187">TEXT(E2112:E2120, "mmm") &amp; "-" &amp; TEXT(E2112:E2120, "yyyy") </f>
        <v>Mar-2018</v>
      </c>
      <c r="G2120" s="110" t="s">
        <v>20</v>
      </c>
      <c r="H2120" s="47" t="s">
        <v>35</v>
      </c>
      <c r="I2120" s="47" t="s">
        <v>219</v>
      </c>
      <c r="J2120" s="47" t="s">
        <v>97</v>
      </c>
      <c r="K2120" s="47" t="s">
        <v>9</v>
      </c>
      <c r="L2120" s="47" t="s">
        <v>24</v>
      </c>
      <c r="M2120" s="47" t="s">
        <v>24</v>
      </c>
      <c r="N2120" s="47" t="s">
        <v>98</v>
      </c>
      <c r="O2120" s="152"/>
      <c r="P2120" s="152"/>
      <c r="Q2120" s="153"/>
    </row>
    <row r="2121">
      <c r="A2121" s="134" t="s">
        <v>827</v>
      </c>
      <c r="B2121" s="134" t="s">
        <v>827</v>
      </c>
      <c r="C2121" s="134" t="s">
        <v>74</v>
      </c>
      <c r="D2121" s="133" t="s">
        <v>838</v>
      </c>
      <c r="E2121" s="168">
        <v>43189.0</v>
      </c>
      <c r="F2121" s="13" t="str">
        <f t="shared" si="187"/>
        <v>Mar-2018</v>
      </c>
      <c r="G2121" s="13" t="s">
        <v>25</v>
      </c>
      <c r="H2121" s="16" t="s">
        <v>35</v>
      </c>
      <c r="I2121" s="16" t="s">
        <v>219</v>
      </c>
      <c r="J2121" s="16" t="s">
        <v>97</v>
      </c>
      <c r="K2121" s="16" t="s">
        <v>9</v>
      </c>
      <c r="L2121" s="16" t="s">
        <v>30</v>
      </c>
      <c r="M2121" s="16"/>
      <c r="N2121" s="16" t="s">
        <v>106</v>
      </c>
      <c r="O2121" s="101"/>
      <c r="P2121" s="101"/>
      <c r="Q2121" s="102"/>
    </row>
    <row r="2122">
      <c r="A2122" s="134" t="s">
        <v>829</v>
      </c>
      <c r="B2122" s="134" t="s">
        <v>827</v>
      </c>
      <c r="C2122" s="134" t="s">
        <v>74</v>
      </c>
      <c r="D2122" s="133" t="s">
        <v>838</v>
      </c>
      <c r="E2122" s="168">
        <v>43189.0</v>
      </c>
      <c r="F2122" s="13" t="str">
        <f t="shared" si="187"/>
        <v>Mar-2018</v>
      </c>
      <c r="G2122" s="16" t="s">
        <v>32</v>
      </c>
      <c r="H2122" s="16" t="s">
        <v>35</v>
      </c>
      <c r="I2122" s="16" t="s">
        <v>219</v>
      </c>
      <c r="J2122" s="16" t="s">
        <v>97</v>
      </c>
      <c r="K2122" s="16" t="s">
        <v>9</v>
      </c>
      <c r="L2122" s="16" t="s">
        <v>24</v>
      </c>
      <c r="M2122" s="16"/>
      <c r="N2122" s="16" t="s">
        <v>37</v>
      </c>
      <c r="O2122" s="101"/>
      <c r="P2122" s="101"/>
      <c r="Q2122" s="102"/>
    </row>
    <row r="2123">
      <c r="A2123" s="168">
        <v>43189.0</v>
      </c>
      <c r="B2123" s="134" t="s">
        <v>827</v>
      </c>
      <c r="C2123" s="134" t="s">
        <v>74</v>
      </c>
      <c r="D2123" s="133" t="s">
        <v>838</v>
      </c>
      <c r="E2123" s="168">
        <v>43189.0</v>
      </c>
      <c r="F2123" s="13" t="str">
        <f t="shared" si="187"/>
        <v>Mar-2018</v>
      </c>
      <c r="G2123" s="21" t="s">
        <v>20</v>
      </c>
      <c r="H2123" s="25" t="s">
        <v>35</v>
      </c>
      <c r="I2123" s="25" t="s">
        <v>839</v>
      </c>
      <c r="J2123" s="25" t="s">
        <v>27</v>
      </c>
      <c r="K2123" s="25" t="s">
        <v>9</v>
      </c>
      <c r="L2123" s="25" t="s">
        <v>30</v>
      </c>
      <c r="M2123" s="25" t="s">
        <v>30</v>
      </c>
      <c r="N2123" s="25" t="s">
        <v>69</v>
      </c>
      <c r="Q2123" s="99"/>
    </row>
    <row r="2124">
      <c r="A2124" s="176" t="s">
        <v>840</v>
      </c>
      <c r="B2124" s="134" t="s">
        <v>827</v>
      </c>
      <c r="C2124" s="134" t="s">
        <v>74</v>
      </c>
      <c r="D2124" s="133" t="s">
        <v>838</v>
      </c>
      <c r="E2124" s="168">
        <v>43189.0</v>
      </c>
      <c r="F2124" s="13" t="str">
        <f t="shared" si="187"/>
        <v>Mar-2018</v>
      </c>
      <c r="G2124" s="21" t="s">
        <v>25</v>
      </c>
      <c r="H2124" s="25" t="s">
        <v>35</v>
      </c>
      <c r="I2124" s="25" t="s">
        <v>839</v>
      </c>
      <c r="J2124" s="25" t="s">
        <v>27</v>
      </c>
      <c r="K2124" s="25" t="s">
        <v>9</v>
      </c>
      <c r="L2124" s="25" t="s">
        <v>30</v>
      </c>
      <c r="M2124" s="25"/>
      <c r="N2124" s="25" t="s">
        <v>99</v>
      </c>
      <c r="Q2124" s="99"/>
    </row>
    <row r="2125">
      <c r="A2125" s="134" t="s">
        <v>74</v>
      </c>
      <c r="B2125" s="134" t="s">
        <v>827</v>
      </c>
      <c r="C2125" s="134" t="s">
        <v>74</v>
      </c>
      <c r="D2125" s="133" t="s">
        <v>838</v>
      </c>
      <c r="E2125" s="168">
        <v>43189.0</v>
      </c>
      <c r="F2125" s="13" t="str">
        <f t="shared" si="187"/>
        <v>Mar-2018</v>
      </c>
      <c r="G2125" s="13" t="s">
        <v>20</v>
      </c>
      <c r="H2125" s="16" t="s">
        <v>35</v>
      </c>
      <c r="I2125" s="16" t="s">
        <v>633</v>
      </c>
      <c r="J2125" s="16" t="s">
        <v>27</v>
      </c>
      <c r="K2125" s="16" t="s">
        <v>9</v>
      </c>
      <c r="L2125" s="16" t="s">
        <v>24</v>
      </c>
      <c r="M2125" s="16" t="s">
        <v>30</v>
      </c>
      <c r="N2125" s="16" t="s">
        <v>69</v>
      </c>
      <c r="O2125" s="101"/>
      <c r="P2125" s="101"/>
      <c r="Q2125" s="102"/>
    </row>
    <row r="2126">
      <c r="A2126" s="140"/>
      <c r="B2126" s="134" t="s">
        <v>827</v>
      </c>
      <c r="C2126" s="134" t="s">
        <v>74</v>
      </c>
      <c r="D2126" s="133" t="s">
        <v>838</v>
      </c>
      <c r="E2126" s="168">
        <v>43189.0</v>
      </c>
      <c r="F2126" s="13" t="str">
        <f t="shared" si="187"/>
        <v>Mar-2018</v>
      </c>
      <c r="G2126" s="13" t="s">
        <v>25</v>
      </c>
      <c r="H2126" s="16" t="s">
        <v>35</v>
      </c>
      <c r="I2126" s="16" t="s">
        <v>633</v>
      </c>
      <c r="J2126" s="16" t="s">
        <v>27</v>
      </c>
      <c r="K2126" s="16" t="s">
        <v>9</v>
      </c>
      <c r="L2126" s="16" t="s">
        <v>30</v>
      </c>
      <c r="M2126" s="16"/>
      <c r="N2126" s="16" t="s">
        <v>106</v>
      </c>
      <c r="O2126" s="101"/>
      <c r="P2126" s="101"/>
      <c r="Q2126" s="102"/>
    </row>
    <row r="2127">
      <c r="A2127" s="140"/>
      <c r="B2127" s="134" t="s">
        <v>827</v>
      </c>
      <c r="C2127" s="134" t="s">
        <v>74</v>
      </c>
      <c r="D2127" s="133" t="s">
        <v>838</v>
      </c>
      <c r="E2127" s="168">
        <v>43189.0</v>
      </c>
      <c r="F2127" s="13" t="str">
        <f t="shared" si="187"/>
        <v>Mar-2018</v>
      </c>
      <c r="G2127" s="16" t="s">
        <v>32</v>
      </c>
      <c r="H2127" s="16" t="s">
        <v>35</v>
      </c>
      <c r="I2127" s="16" t="s">
        <v>633</v>
      </c>
      <c r="J2127" s="16" t="s">
        <v>27</v>
      </c>
      <c r="K2127" s="16" t="s">
        <v>9</v>
      </c>
      <c r="L2127" s="16" t="s">
        <v>30</v>
      </c>
      <c r="M2127" s="16"/>
      <c r="N2127" s="16" t="s">
        <v>99</v>
      </c>
      <c r="O2127" s="101"/>
      <c r="P2127" s="101"/>
      <c r="Q2127" s="102"/>
    </row>
    <row r="2128">
      <c r="A2128" s="140"/>
      <c r="B2128" s="134" t="s">
        <v>827</v>
      </c>
      <c r="C2128" s="134" t="s">
        <v>74</v>
      </c>
      <c r="D2128" s="133" t="s">
        <v>838</v>
      </c>
      <c r="E2128" s="168">
        <v>43189.0</v>
      </c>
      <c r="F2128" s="13" t="str">
        <f t="shared" si="187"/>
        <v>Mar-2018</v>
      </c>
      <c r="G2128" s="264" t="s">
        <v>146</v>
      </c>
      <c r="H2128" s="25" t="s">
        <v>35</v>
      </c>
      <c r="I2128" s="25" t="s">
        <v>607</v>
      </c>
      <c r="J2128" s="25" t="s">
        <v>44</v>
      </c>
      <c r="K2128" s="25" t="s">
        <v>9</v>
      </c>
      <c r="L2128" s="25" t="s">
        <v>30</v>
      </c>
      <c r="M2128" s="25" t="s">
        <v>24</v>
      </c>
      <c r="N2128" s="25" t="s">
        <v>99</v>
      </c>
      <c r="Q2128" s="99"/>
    </row>
    <row r="2129">
      <c r="A2129" s="140"/>
      <c r="B2129" s="134" t="s">
        <v>827</v>
      </c>
      <c r="C2129" s="134" t="s">
        <v>74</v>
      </c>
      <c r="D2129" s="133" t="s">
        <v>838</v>
      </c>
      <c r="E2129" s="168">
        <v>43189.0</v>
      </c>
      <c r="F2129" s="13" t="str">
        <f t="shared" si="187"/>
        <v>Mar-2018</v>
      </c>
      <c r="G2129" s="264" t="s">
        <v>149</v>
      </c>
      <c r="H2129" s="25" t="s">
        <v>35</v>
      </c>
      <c r="I2129" s="25" t="s">
        <v>607</v>
      </c>
      <c r="J2129" s="25" t="s">
        <v>44</v>
      </c>
      <c r="K2129" s="25" t="s">
        <v>9</v>
      </c>
      <c r="L2129" s="25" t="s">
        <v>24</v>
      </c>
      <c r="M2129" s="25"/>
      <c r="N2129" s="25" t="s">
        <v>29</v>
      </c>
      <c r="Q2129" s="99"/>
    </row>
    <row r="2130">
      <c r="A2130" s="140"/>
      <c r="B2130" s="134" t="s">
        <v>827</v>
      </c>
      <c r="C2130" s="134" t="s">
        <v>74</v>
      </c>
      <c r="D2130" s="133" t="s">
        <v>838</v>
      </c>
      <c r="E2130" s="168">
        <v>43189.0</v>
      </c>
      <c r="F2130" s="13" t="str">
        <f t="shared" si="187"/>
        <v>Mar-2018</v>
      </c>
      <c r="G2130" s="264" t="s">
        <v>222</v>
      </c>
      <c r="H2130" s="25" t="s">
        <v>35</v>
      </c>
      <c r="I2130" s="25" t="s">
        <v>607</v>
      </c>
      <c r="J2130" s="25" t="s">
        <v>44</v>
      </c>
      <c r="K2130" s="25" t="s">
        <v>9</v>
      </c>
      <c r="L2130" s="25" t="s">
        <v>24</v>
      </c>
      <c r="M2130" s="25"/>
      <c r="N2130" s="25" t="s">
        <v>37</v>
      </c>
      <c r="Q2130" s="99"/>
    </row>
    <row r="2131">
      <c r="A2131" s="141"/>
      <c r="B2131" s="134" t="s">
        <v>827</v>
      </c>
      <c r="C2131" s="134" t="s">
        <v>74</v>
      </c>
      <c r="D2131" s="133" t="s">
        <v>838</v>
      </c>
      <c r="E2131" s="170">
        <v>43189.0</v>
      </c>
      <c r="F2131" s="35" t="str">
        <f t="shared" si="187"/>
        <v>Mar-2018</v>
      </c>
      <c r="G2131" s="266" t="s">
        <v>467</v>
      </c>
      <c r="H2131" s="55" t="s">
        <v>35</v>
      </c>
      <c r="I2131" s="55" t="s">
        <v>607</v>
      </c>
      <c r="J2131" s="55" t="s">
        <v>44</v>
      </c>
      <c r="K2131" s="55" t="s">
        <v>9</v>
      </c>
      <c r="L2131" s="55" t="s">
        <v>24</v>
      </c>
      <c r="M2131" s="55"/>
      <c r="N2131" s="55" t="s">
        <v>106</v>
      </c>
      <c r="O2131" s="143"/>
      <c r="P2131" s="143"/>
      <c r="Q2131" s="144"/>
    </row>
    <row r="2132">
      <c r="A2132" s="94"/>
    </row>
    <row r="2133">
      <c r="A2133" s="133" t="s">
        <v>841</v>
      </c>
      <c r="B2133" s="134" t="s">
        <v>546</v>
      </c>
      <c r="C2133" s="134" t="s">
        <v>74</v>
      </c>
      <c r="D2133" s="133" t="s">
        <v>841</v>
      </c>
      <c r="E2133" s="267">
        <v>43193.0</v>
      </c>
      <c r="F2133" s="110" t="str">
        <f t="shared" ref="F2133:F2151" si="188">TEXT(E2125:E2133, "mmm") &amp; "-" &amp; TEXT(E2125:E2133, "yyyy") </f>
        <v>Apr-2018</v>
      </c>
      <c r="G2133" s="110" t="s">
        <v>20</v>
      </c>
      <c r="H2133" s="47" t="s">
        <v>35</v>
      </c>
      <c r="I2133" s="47" t="s">
        <v>842</v>
      </c>
      <c r="J2133" s="47" t="s">
        <v>71</v>
      </c>
      <c r="K2133" s="47" t="s">
        <v>9</v>
      </c>
      <c r="L2133" s="47" t="s">
        <v>30</v>
      </c>
      <c r="M2133" s="47" t="s">
        <v>30</v>
      </c>
      <c r="N2133" s="47" t="s">
        <v>98</v>
      </c>
      <c r="O2133" s="152"/>
      <c r="P2133" s="152"/>
      <c r="Q2133" s="153"/>
    </row>
    <row r="2134">
      <c r="A2134" s="134" t="s">
        <v>546</v>
      </c>
      <c r="B2134" s="134" t="s">
        <v>546</v>
      </c>
      <c r="C2134" s="134" t="s">
        <v>74</v>
      </c>
      <c r="D2134" s="133" t="s">
        <v>841</v>
      </c>
      <c r="E2134" s="189">
        <v>43193.0</v>
      </c>
      <c r="F2134" s="13" t="str">
        <f t="shared" si="188"/>
        <v>Apr-2018</v>
      </c>
      <c r="G2134" s="13" t="s">
        <v>25</v>
      </c>
      <c r="H2134" s="16" t="s">
        <v>35</v>
      </c>
      <c r="I2134" s="16" t="s">
        <v>842</v>
      </c>
      <c r="J2134" s="16" t="s">
        <v>71</v>
      </c>
      <c r="K2134" s="16" t="s">
        <v>9</v>
      </c>
      <c r="L2134" s="16" t="s">
        <v>30</v>
      </c>
      <c r="M2134" s="16"/>
      <c r="N2134" s="16" t="s">
        <v>37</v>
      </c>
      <c r="O2134" s="101"/>
      <c r="P2134" s="101"/>
      <c r="Q2134" s="102"/>
    </row>
    <row r="2135">
      <c r="A2135" s="134" t="s">
        <v>807</v>
      </c>
      <c r="B2135" s="134" t="s">
        <v>546</v>
      </c>
      <c r="C2135" s="134" t="s">
        <v>74</v>
      </c>
      <c r="D2135" s="133" t="s">
        <v>841</v>
      </c>
      <c r="E2135" s="189">
        <v>43193.0</v>
      </c>
      <c r="F2135" s="13" t="str">
        <f t="shared" si="188"/>
        <v>Apr-2018</v>
      </c>
      <c r="G2135" s="264" t="s">
        <v>146</v>
      </c>
      <c r="H2135" s="25" t="s">
        <v>35</v>
      </c>
      <c r="I2135" s="25" t="s">
        <v>592</v>
      </c>
      <c r="J2135" s="25" t="s">
        <v>27</v>
      </c>
      <c r="K2135" s="25" t="s">
        <v>9</v>
      </c>
      <c r="L2135" s="25" t="s">
        <v>24</v>
      </c>
      <c r="M2135" s="25" t="s">
        <v>30</v>
      </c>
      <c r="N2135" s="25" t="s">
        <v>69</v>
      </c>
      <c r="Q2135" s="99"/>
    </row>
    <row r="2136">
      <c r="A2136" s="189">
        <v>43193.0</v>
      </c>
      <c r="B2136" s="134" t="s">
        <v>546</v>
      </c>
      <c r="C2136" s="134" t="s">
        <v>74</v>
      </c>
      <c r="D2136" s="133" t="s">
        <v>841</v>
      </c>
      <c r="E2136" s="189">
        <v>43193.0</v>
      </c>
      <c r="F2136" s="13" t="str">
        <f t="shared" si="188"/>
        <v>Apr-2018</v>
      </c>
      <c r="G2136" s="264" t="s">
        <v>149</v>
      </c>
      <c r="H2136" s="25" t="s">
        <v>35</v>
      </c>
      <c r="I2136" s="25" t="s">
        <v>592</v>
      </c>
      <c r="J2136" s="25" t="s">
        <v>27</v>
      </c>
      <c r="K2136" s="25" t="s">
        <v>9</v>
      </c>
      <c r="L2136" s="25" t="s">
        <v>30</v>
      </c>
      <c r="M2136" s="25"/>
      <c r="N2136" s="25" t="s">
        <v>98</v>
      </c>
      <c r="Q2136" s="99"/>
    </row>
    <row r="2137">
      <c r="A2137" s="134" t="s">
        <v>74</v>
      </c>
      <c r="B2137" s="134" t="s">
        <v>546</v>
      </c>
      <c r="C2137" s="134" t="s">
        <v>74</v>
      </c>
      <c r="D2137" s="133" t="s">
        <v>841</v>
      </c>
      <c r="E2137" s="189">
        <v>43193.0</v>
      </c>
      <c r="F2137" s="13" t="str">
        <f t="shared" si="188"/>
        <v>Apr-2018</v>
      </c>
      <c r="G2137" s="264" t="s">
        <v>222</v>
      </c>
      <c r="H2137" s="25" t="s">
        <v>35</v>
      </c>
      <c r="I2137" s="25" t="s">
        <v>592</v>
      </c>
      <c r="J2137" s="25" t="s">
        <v>27</v>
      </c>
      <c r="K2137" s="25" t="s">
        <v>9</v>
      </c>
      <c r="L2137" s="25" t="s">
        <v>30</v>
      </c>
      <c r="M2137" s="25"/>
      <c r="N2137" s="25" t="s">
        <v>29</v>
      </c>
      <c r="Q2137" s="99"/>
    </row>
    <row r="2138">
      <c r="A2138" s="176" t="s">
        <v>843</v>
      </c>
      <c r="B2138" s="134" t="s">
        <v>546</v>
      </c>
      <c r="C2138" s="134" t="s">
        <v>74</v>
      </c>
      <c r="D2138" s="133" t="s">
        <v>841</v>
      </c>
      <c r="E2138" s="189">
        <v>43193.0</v>
      </c>
      <c r="F2138" s="13" t="str">
        <f t="shared" si="188"/>
        <v>Apr-2018</v>
      </c>
      <c r="G2138" s="264" t="s">
        <v>467</v>
      </c>
      <c r="H2138" s="25" t="s">
        <v>35</v>
      </c>
      <c r="I2138" s="25" t="s">
        <v>592</v>
      </c>
      <c r="J2138" s="25" t="s">
        <v>27</v>
      </c>
      <c r="K2138" s="25" t="s">
        <v>9</v>
      </c>
      <c r="L2138" s="25" t="s">
        <v>24</v>
      </c>
      <c r="M2138" s="25"/>
      <c r="N2138" s="25" t="s">
        <v>99</v>
      </c>
      <c r="Q2138" s="99"/>
    </row>
    <row r="2139">
      <c r="A2139" s="140"/>
      <c r="B2139" s="134" t="s">
        <v>546</v>
      </c>
      <c r="C2139" s="134" t="s">
        <v>74</v>
      </c>
      <c r="D2139" s="133" t="s">
        <v>841</v>
      </c>
      <c r="E2139" s="189">
        <v>43193.0</v>
      </c>
      <c r="F2139" s="13" t="str">
        <f t="shared" si="188"/>
        <v>Apr-2018</v>
      </c>
      <c r="G2139" s="264" t="s">
        <v>480</v>
      </c>
      <c r="H2139" s="25" t="s">
        <v>35</v>
      </c>
      <c r="I2139" s="25" t="s">
        <v>592</v>
      </c>
      <c r="J2139" s="25" t="s">
        <v>27</v>
      </c>
      <c r="K2139" s="25" t="s">
        <v>9</v>
      </c>
      <c r="L2139" s="25" t="s">
        <v>30</v>
      </c>
      <c r="M2139" s="25"/>
      <c r="N2139" s="25" t="s">
        <v>106</v>
      </c>
      <c r="Q2139" s="99"/>
    </row>
    <row r="2140">
      <c r="A2140" s="140"/>
      <c r="B2140" s="134" t="s">
        <v>546</v>
      </c>
      <c r="C2140" s="134" t="s">
        <v>74</v>
      </c>
      <c r="D2140" s="133" t="s">
        <v>841</v>
      </c>
      <c r="E2140" s="189">
        <v>43193.0</v>
      </c>
      <c r="F2140" s="13" t="str">
        <f t="shared" si="188"/>
        <v>Apr-2018</v>
      </c>
      <c r="G2140" s="263" t="s">
        <v>146</v>
      </c>
      <c r="H2140" s="16" t="s">
        <v>35</v>
      </c>
      <c r="I2140" s="16" t="s">
        <v>81</v>
      </c>
      <c r="J2140" s="16" t="s">
        <v>9</v>
      </c>
      <c r="K2140" s="16" t="s">
        <v>9</v>
      </c>
      <c r="L2140" s="16" t="s">
        <v>24</v>
      </c>
      <c r="M2140" s="16" t="s">
        <v>24</v>
      </c>
      <c r="N2140" s="16" t="s">
        <v>69</v>
      </c>
      <c r="O2140" s="101"/>
      <c r="P2140" s="101"/>
      <c r="Q2140" s="102"/>
    </row>
    <row r="2141">
      <c r="A2141" s="140"/>
      <c r="B2141" s="134" t="s">
        <v>546</v>
      </c>
      <c r="C2141" s="134" t="s">
        <v>74</v>
      </c>
      <c r="D2141" s="133" t="s">
        <v>841</v>
      </c>
      <c r="E2141" s="189">
        <v>43193.0</v>
      </c>
      <c r="F2141" s="13" t="str">
        <f t="shared" si="188"/>
        <v>Apr-2018</v>
      </c>
      <c r="G2141" s="263" t="s">
        <v>149</v>
      </c>
      <c r="H2141" s="16" t="s">
        <v>35</v>
      </c>
      <c r="I2141" s="16" t="s">
        <v>81</v>
      </c>
      <c r="J2141" s="16" t="s">
        <v>9</v>
      </c>
      <c r="K2141" s="16" t="s">
        <v>9</v>
      </c>
      <c r="L2141" s="16" t="s">
        <v>30</v>
      </c>
      <c r="M2141" s="16"/>
      <c r="N2141" s="16" t="s">
        <v>99</v>
      </c>
      <c r="O2141" s="101"/>
      <c r="P2141" s="101"/>
      <c r="Q2141" s="102"/>
    </row>
    <row r="2142">
      <c r="A2142" s="140"/>
      <c r="B2142" s="134" t="s">
        <v>546</v>
      </c>
      <c r="C2142" s="134" t="s">
        <v>74</v>
      </c>
      <c r="D2142" s="133" t="s">
        <v>841</v>
      </c>
      <c r="E2142" s="189">
        <v>43193.0</v>
      </c>
      <c r="F2142" s="13" t="str">
        <f t="shared" si="188"/>
        <v>Apr-2018</v>
      </c>
      <c r="G2142" s="263" t="s">
        <v>222</v>
      </c>
      <c r="H2142" s="16" t="s">
        <v>35</v>
      </c>
      <c r="I2142" s="16" t="s">
        <v>81</v>
      </c>
      <c r="J2142" s="16" t="s">
        <v>9</v>
      </c>
      <c r="K2142" s="16" t="s">
        <v>9</v>
      </c>
      <c r="L2142" s="16" t="s">
        <v>24</v>
      </c>
      <c r="M2142" s="16"/>
      <c r="N2142" s="16" t="s">
        <v>29</v>
      </c>
      <c r="O2142" s="101"/>
      <c r="P2142" s="101"/>
      <c r="Q2142" s="102"/>
    </row>
    <row r="2143">
      <c r="A2143" s="140"/>
      <c r="B2143" s="134" t="s">
        <v>546</v>
      </c>
      <c r="C2143" s="134" t="s">
        <v>74</v>
      </c>
      <c r="D2143" s="133" t="s">
        <v>841</v>
      </c>
      <c r="E2143" s="189">
        <v>43193.0</v>
      </c>
      <c r="F2143" s="13" t="str">
        <f t="shared" si="188"/>
        <v>Apr-2018</v>
      </c>
      <c r="G2143" s="263" t="s">
        <v>467</v>
      </c>
      <c r="H2143" s="16" t="s">
        <v>35</v>
      </c>
      <c r="I2143" s="16" t="s">
        <v>81</v>
      </c>
      <c r="J2143" s="16" t="s">
        <v>9</v>
      </c>
      <c r="K2143" s="16" t="s">
        <v>9</v>
      </c>
      <c r="L2143" s="16" t="s">
        <v>24</v>
      </c>
      <c r="M2143" s="16"/>
      <c r="N2143" s="16" t="s">
        <v>98</v>
      </c>
      <c r="O2143" s="101"/>
      <c r="P2143" s="101"/>
      <c r="Q2143" s="102"/>
    </row>
    <row r="2144">
      <c r="A2144" s="140"/>
      <c r="B2144" s="134" t="s">
        <v>546</v>
      </c>
      <c r="C2144" s="134" t="s">
        <v>74</v>
      </c>
      <c r="D2144" s="133" t="s">
        <v>841</v>
      </c>
      <c r="E2144" s="189">
        <v>43193.0</v>
      </c>
      <c r="F2144" s="13" t="str">
        <f t="shared" si="188"/>
        <v>Apr-2018</v>
      </c>
      <c r="G2144" s="264" t="s">
        <v>146</v>
      </c>
      <c r="H2144" s="25" t="s">
        <v>35</v>
      </c>
      <c r="I2144" s="25" t="s">
        <v>493</v>
      </c>
      <c r="J2144" s="25" t="s">
        <v>44</v>
      </c>
      <c r="K2144" s="25" t="s">
        <v>9</v>
      </c>
      <c r="L2144" s="25" t="s">
        <v>30</v>
      </c>
      <c r="M2144" s="25" t="s">
        <v>30</v>
      </c>
      <c r="N2144" s="25" t="s">
        <v>99</v>
      </c>
      <c r="Q2144" s="99"/>
    </row>
    <row r="2145">
      <c r="A2145" s="140"/>
      <c r="B2145" s="134" t="s">
        <v>546</v>
      </c>
      <c r="C2145" s="134" t="s">
        <v>74</v>
      </c>
      <c r="D2145" s="133" t="s">
        <v>841</v>
      </c>
      <c r="E2145" s="189">
        <v>43193.0</v>
      </c>
      <c r="F2145" s="13" t="str">
        <f t="shared" si="188"/>
        <v>Apr-2018</v>
      </c>
      <c r="G2145" s="264" t="s">
        <v>149</v>
      </c>
      <c r="H2145" s="25" t="s">
        <v>35</v>
      </c>
      <c r="I2145" s="25" t="s">
        <v>493</v>
      </c>
      <c r="J2145" s="25" t="s">
        <v>44</v>
      </c>
      <c r="K2145" s="25" t="s">
        <v>9</v>
      </c>
      <c r="L2145" s="25" t="s">
        <v>24</v>
      </c>
      <c r="M2145" s="25"/>
      <c r="N2145" s="25" t="s">
        <v>29</v>
      </c>
      <c r="Q2145" s="99"/>
    </row>
    <row r="2146">
      <c r="A2146" s="140"/>
      <c r="B2146" s="134" t="s">
        <v>546</v>
      </c>
      <c r="C2146" s="134" t="s">
        <v>74</v>
      </c>
      <c r="D2146" s="133" t="s">
        <v>841</v>
      </c>
      <c r="E2146" s="189">
        <v>43193.0</v>
      </c>
      <c r="F2146" s="13" t="str">
        <f t="shared" si="188"/>
        <v>Apr-2018</v>
      </c>
      <c r="G2146" s="264" t="s">
        <v>222</v>
      </c>
      <c r="H2146" s="25" t="s">
        <v>35</v>
      </c>
      <c r="I2146" s="25" t="s">
        <v>493</v>
      </c>
      <c r="J2146" s="25" t="s">
        <v>44</v>
      </c>
      <c r="K2146" s="25" t="s">
        <v>9</v>
      </c>
      <c r="L2146" s="25" t="s">
        <v>30</v>
      </c>
      <c r="M2146" s="25"/>
      <c r="N2146" s="25" t="s">
        <v>69</v>
      </c>
      <c r="Q2146" s="99"/>
    </row>
    <row r="2147">
      <c r="A2147" s="140"/>
      <c r="B2147" s="134" t="s">
        <v>546</v>
      </c>
      <c r="C2147" s="134" t="s">
        <v>74</v>
      </c>
      <c r="D2147" s="133" t="s">
        <v>841</v>
      </c>
      <c r="E2147" s="189">
        <v>43193.0</v>
      </c>
      <c r="F2147" s="13" t="str">
        <f t="shared" si="188"/>
        <v>Apr-2018</v>
      </c>
      <c r="G2147" t="s">
        <v>467</v>
      </c>
      <c r="H2147" s="24" t="s">
        <v>35</v>
      </c>
      <c r="I2147" s="25" t="s">
        <v>493</v>
      </c>
      <c r="J2147" s="25" t="s">
        <v>44</v>
      </c>
      <c r="K2147" s="25" t="s">
        <v>9</v>
      </c>
      <c r="L2147" s="25" t="s">
        <v>30</v>
      </c>
      <c r="M2147" s="25"/>
      <c r="N2147" s="25" t="s">
        <v>98</v>
      </c>
      <c r="Q2147" s="99"/>
    </row>
    <row r="2148">
      <c r="A2148" s="140"/>
      <c r="B2148" s="134" t="s">
        <v>546</v>
      </c>
      <c r="C2148" s="134" t="s">
        <v>74</v>
      </c>
      <c r="D2148" s="133" t="s">
        <v>841</v>
      </c>
      <c r="E2148" s="189">
        <v>43193.0</v>
      </c>
      <c r="F2148" s="13" t="str">
        <f t="shared" si="188"/>
        <v>Apr-2018</v>
      </c>
      <c r="G2148" s="263" t="s">
        <v>146</v>
      </c>
      <c r="H2148" s="15" t="s">
        <v>35</v>
      </c>
      <c r="I2148" s="16" t="s">
        <v>81</v>
      </c>
      <c r="J2148" s="16" t="s">
        <v>9</v>
      </c>
      <c r="K2148" s="16" t="s">
        <v>9</v>
      </c>
      <c r="L2148" s="16" t="s">
        <v>24</v>
      </c>
      <c r="M2148" s="16" t="s">
        <v>24</v>
      </c>
      <c r="N2148" s="16" t="s">
        <v>69</v>
      </c>
      <c r="O2148" s="101"/>
      <c r="P2148" s="101"/>
      <c r="Q2148" s="102"/>
    </row>
    <row r="2149">
      <c r="A2149" s="140"/>
      <c r="B2149" s="134" t="s">
        <v>546</v>
      </c>
      <c r="C2149" s="134" t="s">
        <v>74</v>
      </c>
      <c r="D2149" s="133" t="s">
        <v>841</v>
      </c>
      <c r="E2149" s="189">
        <v>43193.0</v>
      </c>
      <c r="F2149" s="13" t="str">
        <f t="shared" si="188"/>
        <v>Apr-2018</v>
      </c>
      <c r="G2149" s="263" t="s">
        <v>149</v>
      </c>
      <c r="H2149" s="15" t="s">
        <v>35</v>
      </c>
      <c r="I2149" s="16" t="s">
        <v>81</v>
      </c>
      <c r="J2149" s="16" t="s">
        <v>48</v>
      </c>
      <c r="K2149" s="16" t="s">
        <v>9</v>
      </c>
      <c r="L2149" s="16" t="s">
        <v>30</v>
      </c>
      <c r="M2149" s="16"/>
      <c r="N2149" s="16" t="s">
        <v>99</v>
      </c>
      <c r="O2149" s="101"/>
      <c r="P2149" s="101"/>
      <c r="Q2149" s="102"/>
    </row>
    <row r="2150">
      <c r="A2150" s="140"/>
      <c r="B2150" s="134" t="s">
        <v>546</v>
      </c>
      <c r="C2150" s="134" t="s">
        <v>74</v>
      </c>
      <c r="D2150" s="133" t="s">
        <v>841</v>
      </c>
      <c r="E2150" s="189">
        <v>43193.0</v>
      </c>
      <c r="F2150" s="13" t="str">
        <f t="shared" si="188"/>
        <v>Apr-2018</v>
      </c>
      <c r="G2150" s="263" t="s">
        <v>222</v>
      </c>
      <c r="H2150" s="15" t="s">
        <v>35</v>
      </c>
      <c r="I2150" s="16" t="s">
        <v>81</v>
      </c>
      <c r="J2150" s="16" t="s">
        <v>48</v>
      </c>
      <c r="K2150" s="16" t="s">
        <v>9</v>
      </c>
      <c r="L2150" s="16" t="s">
        <v>24</v>
      </c>
      <c r="M2150" s="16"/>
      <c r="N2150" s="16" t="s">
        <v>99</v>
      </c>
      <c r="O2150" s="101"/>
      <c r="P2150" s="101"/>
      <c r="Q2150" s="102"/>
    </row>
    <row r="2151">
      <c r="A2151" s="141"/>
      <c r="B2151" s="134" t="s">
        <v>546</v>
      </c>
      <c r="C2151" s="134" t="s">
        <v>74</v>
      </c>
      <c r="D2151" s="133" t="s">
        <v>841</v>
      </c>
      <c r="E2151" s="201">
        <v>43193.0</v>
      </c>
      <c r="F2151" s="35" t="str">
        <f t="shared" si="188"/>
        <v>Apr-2018</v>
      </c>
      <c r="G2151" s="105" t="s">
        <v>467</v>
      </c>
      <c r="H2151" s="37" t="s">
        <v>35</v>
      </c>
      <c r="I2151" s="38" t="s">
        <v>81</v>
      </c>
      <c r="J2151" s="38" t="s">
        <v>48</v>
      </c>
      <c r="K2151" s="38" t="s">
        <v>9</v>
      </c>
      <c r="L2151" s="38" t="s">
        <v>24</v>
      </c>
      <c r="M2151" s="38"/>
      <c r="N2151" s="38" t="s">
        <v>69</v>
      </c>
      <c r="O2151" s="105"/>
      <c r="P2151" s="105"/>
      <c r="Q2151" s="106"/>
    </row>
    <row r="2152">
      <c r="A2152" s="94"/>
    </row>
    <row r="2153">
      <c r="A2153" s="133" t="s">
        <v>844</v>
      </c>
      <c r="B2153" s="134" t="s">
        <v>18</v>
      </c>
      <c r="C2153" s="134" t="s">
        <v>74</v>
      </c>
      <c r="D2153" s="133" t="s">
        <v>844</v>
      </c>
      <c r="E2153" s="239">
        <v>43198.0</v>
      </c>
      <c r="F2153" s="110" t="str">
        <f t="shared" ref="F2153:F2174" si="189">TEXT(E2145:E2153, "mmm") &amp; "-" &amp; TEXT(E2145:E2153, "yyyy") </f>
        <v>Apr-2018</v>
      </c>
      <c r="G2153" s="70" t="s">
        <v>20</v>
      </c>
      <c r="H2153" s="72" t="s">
        <v>35</v>
      </c>
      <c r="I2153" s="73" t="s">
        <v>497</v>
      </c>
      <c r="J2153" s="73" t="s">
        <v>9</v>
      </c>
      <c r="K2153" s="73" t="s">
        <v>9</v>
      </c>
      <c r="L2153" s="73" t="s">
        <v>30</v>
      </c>
      <c r="M2153" s="73" t="s">
        <v>24</v>
      </c>
      <c r="N2153" s="73" t="s">
        <v>69</v>
      </c>
      <c r="O2153" s="165"/>
      <c r="P2153" s="165"/>
      <c r="Q2153" s="166"/>
    </row>
    <row r="2154">
      <c r="A2154" s="134" t="s">
        <v>18</v>
      </c>
      <c r="B2154" s="134" t="s">
        <v>18</v>
      </c>
      <c r="C2154" s="134" t="s">
        <v>74</v>
      </c>
      <c r="D2154" s="133" t="s">
        <v>844</v>
      </c>
      <c r="E2154" s="240">
        <v>43198.0</v>
      </c>
      <c r="F2154" s="13" t="str">
        <f t="shared" si="189"/>
        <v>Apr-2018</v>
      </c>
      <c r="G2154" s="21" t="s">
        <v>25</v>
      </c>
      <c r="H2154" s="24" t="s">
        <v>35</v>
      </c>
      <c r="I2154" s="25" t="s">
        <v>497</v>
      </c>
      <c r="J2154" s="25" t="s">
        <v>9</v>
      </c>
      <c r="K2154" s="25" t="s">
        <v>9</v>
      </c>
      <c r="L2154" s="25" t="s">
        <v>24</v>
      </c>
      <c r="M2154" s="25"/>
      <c r="N2154" s="25" t="s">
        <v>98</v>
      </c>
      <c r="Q2154" s="99"/>
    </row>
    <row r="2155">
      <c r="A2155" s="134" t="s">
        <v>732</v>
      </c>
      <c r="B2155" s="134" t="s">
        <v>18</v>
      </c>
      <c r="C2155" s="134" t="s">
        <v>74</v>
      </c>
      <c r="D2155" s="133" t="s">
        <v>844</v>
      </c>
      <c r="E2155" s="240">
        <v>43198.0</v>
      </c>
      <c r="F2155" s="13" t="str">
        <f t="shared" si="189"/>
        <v>Apr-2018</v>
      </c>
      <c r="G2155" s="119" t="s">
        <v>32</v>
      </c>
      <c r="H2155" s="24" t="s">
        <v>35</v>
      </c>
      <c r="I2155" s="25" t="s">
        <v>497</v>
      </c>
      <c r="J2155" s="25" t="s">
        <v>9</v>
      </c>
      <c r="K2155" s="25" t="s">
        <v>9</v>
      </c>
      <c r="L2155" s="25" t="s">
        <v>24</v>
      </c>
      <c r="M2155" s="25"/>
      <c r="N2155" s="25" t="s">
        <v>106</v>
      </c>
      <c r="Q2155" s="99"/>
    </row>
    <row r="2156">
      <c r="A2156" s="168">
        <v>43198.0</v>
      </c>
      <c r="B2156" s="134" t="s">
        <v>18</v>
      </c>
      <c r="C2156" s="134" t="s">
        <v>74</v>
      </c>
      <c r="D2156" s="133" t="s">
        <v>844</v>
      </c>
      <c r="E2156" s="240">
        <v>43198.0</v>
      </c>
      <c r="F2156" s="13" t="str">
        <f t="shared" si="189"/>
        <v>Apr-2018</v>
      </c>
      <c r="G2156" s="13" t="s">
        <v>20</v>
      </c>
      <c r="H2156" s="15" t="s">
        <v>35</v>
      </c>
      <c r="I2156" s="16" t="s">
        <v>845</v>
      </c>
      <c r="J2156" s="16" t="s">
        <v>71</v>
      </c>
      <c r="K2156" s="16" t="s">
        <v>9</v>
      </c>
      <c r="L2156" s="16" t="s">
        <v>30</v>
      </c>
      <c r="M2156" s="16" t="s">
        <v>30</v>
      </c>
      <c r="N2156" s="16" t="s">
        <v>98</v>
      </c>
      <c r="O2156" s="101"/>
      <c r="P2156" s="101"/>
      <c r="Q2156" s="102"/>
    </row>
    <row r="2157">
      <c r="A2157" s="176" t="s">
        <v>846</v>
      </c>
      <c r="B2157" s="134" t="s">
        <v>18</v>
      </c>
      <c r="C2157" s="134" t="s">
        <v>74</v>
      </c>
      <c r="D2157" s="133" t="s">
        <v>844</v>
      </c>
      <c r="E2157" s="240">
        <v>43198.0</v>
      </c>
      <c r="F2157" s="13" t="str">
        <f t="shared" si="189"/>
        <v>Apr-2018</v>
      </c>
      <c r="G2157" s="13" t="s">
        <v>25</v>
      </c>
      <c r="H2157" s="15" t="s">
        <v>35</v>
      </c>
      <c r="I2157" s="16" t="s">
        <v>845</v>
      </c>
      <c r="J2157" s="16" t="s">
        <v>71</v>
      </c>
      <c r="K2157" s="16" t="s">
        <v>9</v>
      </c>
      <c r="L2157" s="16" t="s">
        <v>30</v>
      </c>
      <c r="M2157" s="16"/>
      <c r="N2157" s="16" t="s">
        <v>99</v>
      </c>
      <c r="O2157" s="101"/>
      <c r="P2157" s="101"/>
      <c r="Q2157" s="102"/>
    </row>
    <row r="2158">
      <c r="A2158" s="134" t="s">
        <v>74</v>
      </c>
      <c r="B2158" s="134" t="s">
        <v>18</v>
      </c>
      <c r="C2158" s="134" t="s">
        <v>74</v>
      </c>
      <c r="D2158" s="133" t="s">
        <v>844</v>
      </c>
      <c r="E2158" s="240">
        <v>43198.0</v>
      </c>
      <c r="F2158" s="13" t="str">
        <f t="shared" si="189"/>
        <v>Apr-2018</v>
      </c>
      <c r="G2158" s="21" t="s">
        <v>20</v>
      </c>
      <c r="H2158" s="24" t="s">
        <v>35</v>
      </c>
      <c r="I2158" s="25" t="s">
        <v>302</v>
      </c>
      <c r="J2158" s="25" t="s">
        <v>27</v>
      </c>
      <c r="K2158" s="25" t="s">
        <v>9</v>
      </c>
      <c r="L2158" s="25" t="s">
        <v>30</v>
      </c>
      <c r="M2158" s="25" t="s">
        <v>30</v>
      </c>
      <c r="N2158" s="25" t="s">
        <v>37</v>
      </c>
      <c r="Q2158" s="99"/>
    </row>
    <row r="2159">
      <c r="A2159" s="176" t="s">
        <v>847</v>
      </c>
      <c r="B2159" s="134" t="s">
        <v>18</v>
      </c>
      <c r="C2159" s="134" t="s">
        <v>74</v>
      </c>
      <c r="D2159" s="133" t="s">
        <v>844</v>
      </c>
      <c r="E2159" s="240">
        <v>43198.0</v>
      </c>
      <c r="F2159" s="13" t="str">
        <f t="shared" si="189"/>
        <v>Apr-2018</v>
      </c>
      <c r="G2159" s="21" t="s">
        <v>25</v>
      </c>
      <c r="H2159" s="24" t="s">
        <v>35</v>
      </c>
      <c r="I2159" s="25" t="s">
        <v>302</v>
      </c>
      <c r="J2159" s="25" t="s">
        <v>27</v>
      </c>
      <c r="K2159" s="25" t="s">
        <v>9</v>
      </c>
      <c r="L2159" s="25" t="s">
        <v>24</v>
      </c>
      <c r="M2159" s="25"/>
      <c r="N2159" s="25" t="s">
        <v>99</v>
      </c>
      <c r="Q2159" s="99"/>
    </row>
    <row r="2160">
      <c r="A2160" s="140"/>
      <c r="B2160" s="134" t="s">
        <v>18</v>
      </c>
      <c r="C2160" s="134" t="s">
        <v>74</v>
      </c>
      <c r="D2160" s="133" t="s">
        <v>844</v>
      </c>
      <c r="E2160" s="240">
        <v>43198.0</v>
      </c>
      <c r="F2160" s="13" t="str">
        <f t="shared" si="189"/>
        <v>Apr-2018</v>
      </c>
      <c r="G2160" s="119" t="s">
        <v>32</v>
      </c>
      <c r="H2160" s="24" t="s">
        <v>35</v>
      </c>
      <c r="I2160" s="25" t="s">
        <v>302</v>
      </c>
      <c r="J2160" s="25" t="s">
        <v>27</v>
      </c>
      <c r="K2160" s="25" t="s">
        <v>9</v>
      </c>
      <c r="L2160" s="25" t="s">
        <v>30</v>
      </c>
      <c r="M2160" s="25"/>
      <c r="N2160" s="25" t="s">
        <v>106</v>
      </c>
      <c r="Q2160" s="99"/>
    </row>
    <row r="2161">
      <c r="A2161" s="140"/>
      <c r="B2161" s="134" t="s">
        <v>18</v>
      </c>
      <c r="C2161" s="134" t="s">
        <v>74</v>
      </c>
      <c r="D2161" s="133" t="s">
        <v>844</v>
      </c>
      <c r="E2161" s="240">
        <v>43198.0</v>
      </c>
      <c r="F2161" s="13" t="str">
        <f t="shared" si="189"/>
        <v>Apr-2018</v>
      </c>
      <c r="G2161" s="13" t="s">
        <v>20</v>
      </c>
      <c r="H2161" s="15" t="s">
        <v>35</v>
      </c>
      <c r="I2161" s="16" t="s">
        <v>361</v>
      </c>
      <c r="J2161" s="16" t="s">
        <v>44</v>
      </c>
      <c r="K2161" s="16" t="s">
        <v>9</v>
      </c>
      <c r="L2161" s="16" t="s">
        <v>24</v>
      </c>
      <c r="M2161" s="16" t="s">
        <v>24</v>
      </c>
      <c r="N2161" s="16" t="s">
        <v>69</v>
      </c>
      <c r="O2161" s="101"/>
      <c r="P2161" s="101"/>
      <c r="Q2161" s="102"/>
    </row>
    <row r="2162">
      <c r="A2162" s="140"/>
      <c r="B2162" s="134" t="s">
        <v>18</v>
      </c>
      <c r="C2162" s="134" t="s">
        <v>74</v>
      </c>
      <c r="D2162" s="133" t="s">
        <v>844</v>
      </c>
      <c r="E2162" s="240">
        <v>43198.0</v>
      </c>
      <c r="F2162" s="13" t="str">
        <f t="shared" si="189"/>
        <v>Apr-2018</v>
      </c>
      <c r="G2162" s="13" t="s">
        <v>25</v>
      </c>
      <c r="H2162" s="15" t="s">
        <v>35</v>
      </c>
      <c r="I2162" s="16" t="s">
        <v>361</v>
      </c>
      <c r="J2162" s="16" t="s">
        <v>44</v>
      </c>
      <c r="K2162" s="16" t="s">
        <v>9</v>
      </c>
      <c r="L2162" s="16" t="s">
        <v>30</v>
      </c>
      <c r="M2162" s="16"/>
      <c r="N2162" s="16" t="s">
        <v>106</v>
      </c>
      <c r="O2162" s="101"/>
      <c r="P2162" s="101"/>
      <c r="Q2162" s="102"/>
    </row>
    <row r="2163">
      <c r="A2163" s="140"/>
      <c r="B2163" s="134" t="s">
        <v>18</v>
      </c>
      <c r="C2163" s="134" t="s">
        <v>74</v>
      </c>
      <c r="D2163" s="133" t="s">
        <v>844</v>
      </c>
      <c r="E2163" s="240">
        <v>43198.0</v>
      </c>
      <c r="F2163" s="13" t="str">
        <f t="shared" si="189"/>
        <v>Apr-2018</v>
      </c>
      <c r="G2163" s="16" t="s">
        <v>32</v>
      </c>
      <c r="H2163" s="15" t="s">
        <v>35</v>
      </c>
      <c r="I2163" s="16" t="s">
        <v>361</v>
      </c>
      <c r="J2163" s="16" t="s">
        <v>44</v>
      </c>
      <c r="K2163" s="16" t="s">
        <v>9</v>
      </c>
      <c r="L2163" s="16" t="s">
        <v>24</v>
      </c>
      <c r="M2163" s="16"/>
      <c r="N2163" s="16" t="s">
        <v>99</v>
      </c>
      <c r="O2163" s="101"/>
      <c r="P2163" s="101"/>
      <c r="Q2163" s="102"/>
    </row>
    <row r="2164">
      <c r="A2164" s="140"/>
      <c r="B2164" s="134" t="s">
        <v>18</v>
      </c>
      <c r="C2164" s="134" t="s">
        <v>74</v>
      </c>
      <c r="D2164" s="133" t="s">
        <v>844</v>
      </c>
      <c r="E2164" s="240">
        <v>43198.0</v>
      </c>
      <c r="F2164" s="13" t="str">
        <f t="shared" si="189"/>
        <v>Apr-2018</v>
      </c>
      <c r="G2164" s="21" t="s">
        <v>20</v>
      </c>
      <c r="H2164" s="25" t="s">
        <v>278</v>
      </c>
      <c r="I2164" s="25" t="s">
        <v>848</v>
      </c>
      <c r="J2164" s="25" t="s">
        <v>86</v>
      </c>
      <c r="K2164" s="25" t="s">
        <v>9</v>
      </c>
      <c r="L2164" s="25" t="s">
        <v>30</v>
      </c>
      <c r="M2164" s="25" t="s">
        <v>30</v>
      </c>
      <c r="N2164" s="25" t="s">
        <v>69</v>
      </c>
      <c r="Q2164" s="99"/>
    </row>
    <row r="2165">
      <c r="A2165" s="140"/>
      <c r="B2165" s="134" t="s">
        <v>18</v>
      </c>
      <c r="C2165" s="134" t="s">
        <v>74</v>
      </c>
      <c r="D2165" s="133" t="s">
        <v>844</v>
      </c>
      <c r="E2165" s="240">
        <v>43198.0</v>
      </c>
      <c r="F2165" s="13" t="str">
        <f t="shared" si="189"/>
        <v>Apr-2018</v>
      </c>
      <c r="G2165" s="21" t="s">
        <v>25</v>
      </c>
      <c r="H2165" s="25" t="s">
        <v>278</v>
      </c>
      <c r="I2165" s="25" t="s">
        <v>848</v>
      </c>
      <c r="J2165" s="25" t="s">
        <v>86</v>
      </c>
      <c r="K2165" s="25" t="s">
        <v>9</v>
      </c>
      <c r="L2165" s="25" t="s">
        <v>30</v>
      </c>
      <c r="M2165" s="25"/>
      <c r="N2165" s="25" t="s">
        <v>98</v>
      </c>
      <c r="Q2165" s="99"/>
    </row>
    <row r="2166">
      <c r="A2166" s="140"/>
      <c r="B2166" s="134" t="s">
        <v>18</v>
      </c>
      <c r="C2166" s="134" t="s">
        <v>74</v>
      </c>
      <c r="D2166" s="133" t="s">
        <v>844</v>
      </c>
      <c r="E2166" s="240">
        <v>43198.0</v>
      </c>
      <c r="F2166" s="13" t="str">
        <f t="shared" si="189"/>
        <v>Apr-2018</v>
      </c>
      <c r="G2166" s="13" t="s">
        <v>20</v>
      </c>
      <c r="H2166" s="16" t="s">
        <v>278</v>
      </c>
      <c r="I2166" s="16" t="s">
        <v>393</v>
      </c>
      <c r="J2166" s="16" t="s">
        <v>102</v>
      </c>
      <c r="K2166" s="16" t="s">
        <v>9</v>
      </c>
      <c r="L2166" s="16" t="s">
        <v>30</v>
      </c>
      <c r="M2166" s="16" t="s">
        <v>30</v>
      </c>
      <c r="N2166" s="16" t="s">
        <v>37</v>
      </c>
      <c r="O2166" s="101"/>
      <c r="P2166" s="101"/>
      <c r="Q2166" s="102"/>
    </row>
    <row r="2167">
      <c r="A2167" s="140"/>
      <c r="B2167" s="134" t="s">
        <v>18</v>
      </c>
      <c r="C2167" s="134" t="s">
        <v>74</v>
      </c>
      <c r="D2167" s="133" t="s">
        <v>844</v>
      </c>
      <c r="E2167" s="240">
        <v>43198.0</v>
      </c>
      <c r="F2167" s="13" t="str">
        <f t="shared" si="189"/>
        <v>Apr-2018</v>
      </c>
      <c r="G2167" s="13" t="s">
        <v>25</v>
      </c>
      <c r="H2167" s="16" t="s">
        <v>278</v>
      </c>
      <c r="I2167" s="16" t="s">
        <v>393</v>
      </c>
      <c r="J2167" s="16" t="s">
        <v>102</v>
      </c>
      <c r="K2167" s="16" t="s">
        <v>9</v>
      </c>
      <c r="L2167" s="16" t="s">
        <v>30</v>
      </c>
      <c r="M2167" s="16"/>
      <c r="N2167" s="16" t="s">
        <v>99</v>
      </c>
      <c r="O2167" s="101"/>
      <c r="P2167" s="101"/>
      <c r="Q2167" s="102"/>
    </row>
    <row r="2168">
      <c r="A2168" s="140"/>
      <c r="B2168" s="134" t="s">
        <v>18</v>
      </c>
      <c r="C2168" s="134" t="s">
        <v>74</v>
      </c>
      <c r="D2168" s="133" t="s">
        <v>844</v>
      </c>
      <c r="E2168" s="240">
        <v>43198.0</v>
      </c>
      <c r="F2168" s="13" t="str">
        <f t="shared" si="189"/>
        <v>Apr-2018</v>
      </c>
      <c r="G2168" s="21" t="s">
        <v>20</v>
      </c>
      <c r="H2168" s="25" t="s">
        <v>278</v>
      </c>
      <c r="I2168" s="25" t="s">
        <v>452</v>
      </c>
      <c r="J2168" s="25" t="s">
        <v>86</v>
      </c>
      <c r="K2168" s="25" t="s">
        <v>9</v>
      </c>
      <c r="L2168" s="25" t="s">
        <v>30</v>
      </c>
      <c r="M2168" s="25" t="s">
        <v>30</v>
      </c>
      <c r="N2168" s="25" t="s">
        <v>99</v>
      </c>
      <c r="Q2168" s="99"/>
    </row>
    <row r="2169">
      <c r="A2169" s="140"/>
      <c r="B2169" s="134" t="s">
        <v>18</v>
      </c>
      <c r="C2169" s="134" t="s">
        <v>74</v>
      </c>
      <c r="D2169" s="133" t="s">
        <v>844</v>
      </c>
      <c r="E2169" s="240">
        <v>43198.0</v>
      </c>
      <c r="F2169" s="13" t="str">
        <f t="shared" si="189"/>
        <v>Apr-2018</v>
      </c>
      <c r="G2169" s="21" t="s">
        <v>25</v>
      </c>
      <c r="H2169" s="25" t="s">
        <v>278</v>
      </c>
      <c r="I2169" s="25" t="s">
        <v>452</v>
      </c>
      <c r="J2169" s="25" t="s">
        <v>23</v>
      </c>
      <c r="K2169" s="25" t="s">
        <v>9</v>
      </c>
      <c r="L2169" s="25" t="s">
        <v>30</v>
      </c>
      <c r="M2169" s="25"/>
      <c r="N2169" s="25" t="s">
        <v>98</v>
      </c>
      <c r="Q2169" s="99"/>
    </row>
    <row r="2170">
      <c r="A2170" s="140"/>
      <c r="B2170" s="134" t="s">
        <v>18</v>
      </c>
      <c r="C2170" s="134" t="s">
        <v>74</v>
      </c>
      <c r="D2170" s="133" t="s">
        <v>844</v>
      </c>
      <c r="E2170" s="240">
        <v>43198.0</v>
      </c>
      <c r="F2170" s="13" t="str">
        <f t="shared" si="189"/>
        <v>Apr-2018</v>
      </c>
      <c r="G2170" s="13" t="s">
        <v>20</v>
      </c>
      <c r="H2170" s="16" t="s">
        <v>278</v>
      </c>
      <c r="I2170" s="16" t="s">
        <v>497</v>
      </c>
      <c r="J2170" s="16" t="s">
        <v>9</v>
      </c>
      <c r="K2170" s="16" t="s">
        <v>9</v>
      </c>
      <c r="L2170" s="16" t="s">
        <v>24</v>
      </c>
      <c r="M2170" s="16" t="s">
        <v>24</v>
      </c>
      <c r="N2170" s="16" t="s">
        <v>69</v>
      </c>
      <c r="O2170" s="101"/>
      <c r="P2170" s="101"/>
      <c r="Q2170" s="102"/>
    </row>
    <row r="2171">
      <c r="A2171" s="140"/>
      <c r="B2171" s="134" t="s">
        <v>18</v>
      </c>
      <c r="C2171" s="134" t="s">
        <v>74</v>
      </c>
      <c r="D2171" s="133" t="s">
        <v>844</v>
      </c>
      <c r="E2171" s="240">
        <v>43198.0</v>
      </c>
      <c r="F2171" s="13" t="str">
        <f t="shared" si="189"/>
        <v>Apr-2018</v>
      </c>
      <c r="G2171" s="13" t="s">
        <v>25</v>
      </c>
      <c r="H2171" s="16" t="s">
        <v>278</v>
      </c>
      <c r="I2171" s="16" t="s">
        <v>497</v>
      </c>
      <c r="J2171" s="16" t="s">
        <v>9</v>
      </c>
      <c r="K2171" s="16" t="s">
        <v>9</v>
      </c>
      <c r="L2171" s="16" t="s">
        <v>24</v>
      </c>
      <c r="M2171" s="16"/>
      <c r="N2171" s="16" t="s">
        <v>99</v>
      </c>
      <c r="O2171" s="101"/>
      <c r="P2171" s="101"/>
      <c r="Q2171" s="102"/>
    </row>
    <row r="2172">
      <c r="A2172" s="140"/>
      <c r="B2172" s="134" t="s">
        <v>18</v>
      </c>
      <c r="C2172" s="134" t="s">
        <v>74</v>
      </c>
      <c r="D2172" s="133" t="s">
        <v>844</v>
      </c>
      <c r="E2172" s="240">
        <v>43198.0</v>
      </c>
      <c r="F2172" s="13" t="str">
        <f t="shared" si="189"/>
        <v>Apr-2018</v>
      </c>
      <c r="G2172" s="21" t="s">
        <v>20</v>
      </c>
      <c r="H2172" s="25" t="s">
        <v>278</v>
      </c>
      <c r="I2172" s="25" t="s">
        <v>213</v>
      </c>
      <c r="J2172" s="25" t="s">
        <v>9</v>
      </c>
      <c r="K2172" s="25" t="s">
        <v>9</v>
      </c>
      <c r="L2172" s="25" t="s">
        <v>24</v>
      </c>
      <c r="M2172" s="25" t="s">
        <v>24</v>
      </c>
      <c r="N2172" s="25" t="s">
        <v>69</v>
      </c>
      <c r="Q2172" s="99"/>
    </row>
    <row r="2173">
      <c r="A2173" s="140"/>
      <c r="B2173" s="134" t="s">
        <v>18</v>
      </c>
      <c r="C2173" s="134" t="s">
        <v>74</v>
      </c>
      <c r="D2173" s="133" t="s">
        <v>844</v>
      </c>
      <c r="E2173" s="240">
        <v>43198.0</v>
      </c>
      <c r="F2173" s="13" t="str">
        <f t="shared" si="189"/>
        <v>Apr-2018</v>
      </c>
      <c r="G2173" s="21" t="s">
        <v>25</v>
      </c>
      <c r="H2173" s="25" t="s">
        <v>278</v>
      </c>
      <c r="I2173" s="25" t="s">
        <v>213</v>
      </c>
      <c r="J2173" s="25" t="s">
        <v>9</v>
      </c>
      <c r="K2173" s="25" t="s">
        <v>9</v>
      </c>
      <c r="L2173" s="25" t="s">
        <v>30</v>
      </c>
      <c r="M2173" s="25"/>
      <c r="N2173" s="25" t="s">
        <v>99</v>
      </c>
      <c r="Q2173" s="99"/>
    </row>
    <row r="2174">
      <c r="A2174" s="141"/>
      <c r="B2174" s="134" t="s">
        <v>18</v>
      </c>
      <c r="C2174" s="134" t="s">
        <v>74</v>
      </c>
      <c r="D2174" s="133" t="s">
        <v>844</v>
      </c>
      <c r="E2174" s="241">
        <v>43198.0</v>
      </c>
      <c r="F2174" s="35" t="str">
        <f t="shared" si="189"/>
        <v>Apr-2018</v>
      </c>
      <c r="G2174" s="114" t="s">
        <v>32</v>
      </c>
      <c r="H2174" s="55" t="s">
        <v>278</v>
      </c>
      <c r="I2174" s="55" t="s">
        <v>213</v>
      </c>
      <c r="J2174" s="55" t="s">
        <v>9</v>
      </c>
      <c r="K2174" s="55" t="s">
        <v>9</v>
      </c>
      <c r="L2174" s="55" t="s">
        <v>24</v>
      </c>
      <c r="M2174" s="55"/>
      <c r="N2174" s="55" t="s">
        <v>98</v>
      </c>
      <c r="O2174" s="143"/>
      <c r="P2174" s="143"/>
      <c r="Q2174" s="144"/>
    </row>
    <row r="2175">
      <c r="A2175" s="94"/>
    </row>
    <row r="2176">
      <c r="A2176" s="133" t="s">
        <v>849</v>
      </c>
      <c r="B2176" s="134" t="s">
        <v>827</v>
      </c>
      <c r="C2176" s="134" t="s">
        <v>74</v>
      </c>
      <c r="D2176" s="133" t="s">
        <v>849</v>
      </c>
      <c r="E2176" s="239">
        <v>43203.0</v>
      </c>
      <c r="F2176" s="110" t="str">
        <f t="shared" ref="F2176:F2186" si="190">TEXT(E2168:E2176, "mmm") &amp; "-" &amp; TEXT(E2168:E2176, "yyyy") </f>
        <v>Apr-2018</v>
      </c>
      <c r="G2176" s="152" t="s">
        <v>20</v>
      </c>
      <c r="H2176" s="47" t="s">
        <v>850</v>
      </c>
      <c r="I2176" s="47" t="s">
        <v>219</v>
      </c>
      <c r="J2176" s="47" t="s">
        <v>97</v>
      </c>
      <c r="K2176" s="47" t="s">
        <v>9</v>
      </c>
      <c r="L2176" s="47" t="s">
        <v>30</v>
      </c>
      <c r="M2176" s="47" t="s">
        <v>24</v>
      </c>
      <c r="N2176" s="47" t="s">
        <v>98</v>
      </c>
      <c r="O2176" s="152"/>
      <c r="P2176" s="152"/>
      <c r="Q2176" s="153"/>
    </row>
    <row r="2177">
      <c r="A2177" s="134" t="s">
        <v>827</v>
      </c>
      <c r="B2177" s="134" t="s">
        <v>827</v>
      </c>
      <c r="C2177" s="134" t="s">
        <v>74</v>
      </c>
      <c r="D2177" s="133" t="s">
        <v>849</v>
      </c>
      <c r="E2177" s="240">
        <v>43203.0</v>
      </c>
      <c r="F2177" s="13" t="str">
        <f t="shared" si="190"/>
        <v>Apr-2018</v>
      </c>
      <c r="G2177" s="101" t="s">
        <v>25</v>
      </c>
      <c r="H2177" s="16" t="s">
        <v>850</v>
      </c>
      <c r="I2177" s="16" t="s">
        <v>219</v>
      </c>
      <c r="J2177" s="16" t="s">
        <v>97</v>
      </c>
      <c r="K2177" s="16" t="s">
        <v>9</v>
      </c>
      <c r="L2177" s="16" t="s">
        <v>24</v>
      </c>
      <c r="M2177" s="16"/>
      <c r="N2177" s="16" t="s">
        <v>99</v>
      </c>
      <c r="O2177" s="101"/>
      <c r="P2177" s="101"/>
      <c r="Q2177" s="102"/>
    </row>
    <row r="2178">
      <c r="A2178" s="134" t="s">
        <v>829</v>
      </c>
      <c r="B2178" s="134" t="s">
        <v>827</v>
      </c>
      <c r="C2178" s="134" t="s">
        <v>74</v>
      </c>
      <c r="D2178" s="133" t="s">
        <v>849</v>
      </c>
      <c r="E2178" s="240">
        <v>43203.0</v>
      </c>
      <c r="F2178" s="13" t="str">
        <f t="shared" si="190"/>
        <v>Apr-2018</v>
      </c>
      <c r="G2178" s="263" t="s">
        <v>32</v>
      </c>
      <c r="H2178" s="16" t="s">
        <v>850</v>
      </c>
      <c r="I2178" s="16" t="s">
        <v>219</v>
      </c>
      <c r="J2178" s="16" t="s">
        <v>97</v>
      </c>
      <c r="K2178" s="16" t="s">
        <v>9</v>
      </c>
      <c r="L2178" s="16" t="s">
        <v>24</v>
      </c>
      <c r="M2178" s="16"/>
      <c r="N2178" s="16" t="s">
        <v>106</v>
      </c>
      <c r="O2178" s="101"/>
      <c r="P2178" s="101"/>
      <c r="Q2178" s="102"/>
    </row>
    <row r="2179">
      <c r="A2179" s="168">
        <v>43203.0</v>
      </c>
      <c r="B2179" s="134" t="s">
        <v>827</v>
      </c>
      <c r="C2179" s="134" t="s">
        <v>74</v>
      </c>
      <c r="D2179" s="133" t="s">
        <v>849</v>
      </c>
      <c r="E2179" s="240">
        <v>43203.0</v>
      </c>
      <c r="F2179" s="13" t="str">
        <f t="shared" si="190"/>
        <v>Apr-2018</v>
      </c>
      <c r="G2179" t="s">
        <v>20</v>
      </c>
      <c r="H2179" s="25" t="s">
        <v>850</v>
      </c>
      <c r="I2179" s="25" t="s">
        <v>839</v>
      </c>
      <c r="J2179" s="25" t="s">
        <v>27</v>
      </c>
      <c r="K2179" s="25" t="s">
        <v>9</v>
      </c>
      <c r="L2179" s="25" t="s">
        <v>30</v>
      </c>
      <c r="M2179" s="25" t="s">
        <v>30</v>
      </c>
      <c r="N2179" s="25" t="s">
        <v>69</v>
      </c>
      <c r="Q2179" s="99"/>
    </row>
    <row r="2180">
      <c r="A2180" s="176" t="s">
        <v>851</v>
      </c>
      <c r="B2180" s="134" t="s">
        <v>827</v>
      </c>
      <c r="C2180" s="134" t="s">
        <v>74</v>
      </c>
      <c r="D2180" s="133" t="s">
        <v>849</v>
      </c>
      <c r="E2180" s="240">
        <v>43203.0</v>
      </c>
      <c r="F2180" s="13" t="str">
        <f t="shared" si="190"/>
        <v>Apr-2018</v>
      </c>
      <c r="G2180" t="s">
        <v>25</v>
      </c>
      <c r="H2180" s="25" t="s">
        <v>850</v>
      </c>
      <c r="I2180" s="25" t="s">
        <v>839</v>
      </c>
      <c r="J2180" s="25" t="s">
        <v>27</v>
      </c>
      <c r="K2180" s="25" t="s">
        <v>9</v>
      </c>
      <c r="L2180" s="25" t="s">
        <v>30</v>
      </c>
      <c r="M2180" s="25"/>
      <c r="N2180" s="25" t="s">
        <v>99</v>
      </c>
      <c r="Q2180" s="99"/>
    </row>
    <row r="2181">
      <c r="A2181" s="134" t="s">
        <v>74</v>
      </c>
      <c r="B2181" s="134" t="s">
        <v>827</v>
      </c>
      <c r="C2181" s="134" t="s">
        <v>74</v>
      </c>
      <c r="D2181" s="133" t="s">
        <v>849</v>
      </c>
      <c r="E2181" s="240">
        <v>43203.0</v>
      </c>
      <c r="F2181" s="13" t="str">
        <f t="shared" si="190"/>
        <v>Apr-2018</v>
      </c>
      <c r="G2181" s="101" t="s">
        <v>20</v>
      </c>
      <c r="H2181" s="16" t="s">
        <v>850</v>
      </c>
      <c r="I2181" s="16" t="s">
        <v>852</v>
      </c>
      <c r="J2181" s="16" t="s">
        <v>9</v>
      </c>
      <c r="K2181" s="16" t="s">
        <v>9</v>
      </c>
      <c r="L2181" s="16" t="s">
        <v>30</v>
      </c>
      <c r="M2181" s="16" t="s">
        <v>30</v>
      </c>
      <c r="N2181" s="16" t="s">
        <v>98</v>
      </c>
      <c r="O2181" s="101"/>
      <c r="P2181" s="101"/>
      <c r="Q2181" s="102"/>
    </row>
    <row r="2182">
      <c r="A2182" s="140"/>
      <c r="B2182" s="134" t="s">
        <v>827</v>
      </c>
      <c r="C2182" s="134" t="s">
        <v>74</v>
      </c>
      <c r="D2182" s="133" t="s">
        <v>849</v>
      </c>
      <c r="E2182" s="240">
        <v>43203.0</v>
      </c>
      <c r="F2182" s="13" t="str">
        <f t="shared" si="190"/>
        <v>Apr-2018</v>
      </c>
      <c r="G2182" s="101" t="s">
        <v>25</v>
      </c>
      <c r="H2182" s="16" t="s">
        <v>850</v>
      </c>
      <c r="I2182" s="16" t="s">
        <v>852</v>
      </c>
      <c r="J2182" s="16" t="s">
        <v>9</v>
      </c>
      <c r="K2182" s="16" t="s">
        <v>9</v>
      </c>
      <c r="L2182" s="16" t="s">
        <v>30</v>
      </c>
      <c r="M2182" s="16"/>
      <c r="N2182" s="16" t="s">
        <v>69</v>
      </c>
      <c r="O2182" s="101"/>
      <c r="P2182" s="101"/>
      <c r="Q2182" s="102"/>
    </row>
    <row r="2183">
      <c r="A2183" s="140"/>
      <c r="B2183" s="134" t="s">
        <v>827</v>
      </c>
      <c r="C2183" s="134" t="s">
        <v>74</v>
      </c>
      <c r="D2183" s="133" t="s">
        <v>849</v>
      </c>
      <c r="E2183" s="240">
        <v>43203.0</v>
      </c>
      <c r="F2183" s="13" t="str">
        <f t="shared" si="190"/>
        <v>Apr-2018</v>
      </c>
      <c r="G2183" t="s">
        <v>20</v>
      </c>
      <c r="H2183" s="25" t="s">
        <v>850</v>
      </c>
      <c r="I2183" s="25" t="s">
        <v>522</v>
      </c>
      <c r="J2183" s="25" t="s">
        <v>853</v>
      </c>
      <c r="K2183" s="25" t="s">
        <v>9</v>
      </c>
      <c r="L2183" s="25" t="s">
        <v>30</v>
      </c>
      <c r="M2183" s="25" t="s">
        <v>30</v>
      </c>
      <c r="N2183" s="25" t="s">
        <v>69</v>
      </c>
      <c r="Q2183" s="99"/>
    </row>
    <row r="2184">
      <c r="A2184" s="140"/>
      <c r="B2184" s="134" t="s">
        <v>827</v>
      </c>
      <c r="C2184" s="134" t="s">
        <v>74</v>
      </c>
      <c r="D2184" s="133" t="s">
        <v>849</v>
      </c>
      <c r="E2184" s="240">
        <v>43203.0</v>
      </c>
      <c r="F2184" s="13" t="str">
        <f t="shared" si="190"/>
        <v>Apr-2018</v>
      </c>
      <c r="G2184" t="s">
        <v>25</v>
      </c>
      <c r="H2184" s="25" t="s">
        <v>850</v>
      </c>
      <c r="I2184" s="25" t="s">
        <v>522</v>
      </c>
      <c r="J2184" s="25" t="s">
        <v>853</v>
      </c>
      <c r="K2184" s="25" t="s">
        <v>86</v>
      </c>
      <c r="L2184" s="25" t="s">
        <v>30</v>
      </c>
      <c r="M2184" s="25"/>
      <c r="N2184" s="25" t="s">
        <v>37</v>
      </c>
      <c r="Q2184" s="99"/>
    </row>
    <row r="2185">
      <c r="A2185" s="140"/>
      <c r="B2185" s="134" t="s">
        <v>827</v>
      </c>
      <c r="C2185" s="134" t="s">
        <v>74</v>
      </c>
      <c r="D2185" s="133" t="s">
        <v>849</v>
      </c>
      <c r="E2185" s="240">
        <v>43203.0</v>
      </c>
      <c r="F2185" s="13" t="str">
        <f t="shared" si="190"/>
        <v>Apr-2018</v>
      </c>
      <c r="G2185" s="101" t="s">
        <v>20</v>
      </c>
      <c r="H2185" s="16" t="s">
        <v>850</v>
      </c>
      <c r="I2185" s="16" t="s">
        <v>47</v>
      </c>
      <c r="J2185" s="16" t="s">
        <v>48</v>
      </c>
      <c r="K2185" s="16" t="s">
        <v>9</v>
      </c>
      <c r="L2185" s="16" t="s">
        <v>24</v>
      </c>
      <c r="M2185" s="16" t="s">
        <v>24</v>
      </c>
      <c r="N2185" s="16" t="s">
        <v>99</v>
      </c>
      <c r="O2185" s="101"/>
      <c r="P2185" s="101"/>
      <c r="Q2185" s="102"/>
    </row>
    <row r="2186">
      <c r="A2186" s="141"/>
      <c r="B2186" s="134" t="s">
        <v>827</v>
      </c>
      <c r="C2186" s="134" t="s">
        <v>74</v>
      </c>
      <c r="D2186" s="133" t="s">
        <v>849</v>
      </c>
      <c r="E2186" s="241">
        <v>43203.0</v>
      </c>
      <c r="F2186" s="35" t="str">
        <f t="shared" si="190"/>
        <v>Apr-2018</v>
      </c>
      <c r="G2186" s="105" t="s">
        <v>25</v>
      </c>
      <c r="H2186" s="38" t="s">
        <v>850</v>
      </c>
      <c r="I2186" s="38" t="s">
        <v>47</v>
      </c>
      <c r="J2186" s="38" t="s">
        <v>48</v>
      </c>
      <c r="K2186" s="38" t="s">
        <v>9</v>
      </c>
      <c r="L2186" s="38" t="s">
        <v>24</v>
      </c>
      <c r="M2186" s="38"/>
      <c r="N2186" s="38" t="s">
        <v>98</v>
      </c>
      <c r="O2186" s="105"/>
      <c r="P2186" s="105"/>
      <c r="Q2186" s="106"/>
    </row>
    <row r="2187">
      <c r="A2187" s="94"/>
    </row>
    <row r="2188">
      <c r="A2188" s="133" t="s">
        <v>854</v>
      </c>
      <c r="B2188" s="134" t="s">
        <v>34</v>
      </c>
      <c r="C2188" s="134" t="s">
        <v>84</v>
      </c>
      <c r="D2188" s="133" t="s">
        <v>854</v>
      </c>
      <c r="E2188" s="239">
        <v>43205.0</v>
      </c>
      <c r="F2188" s="110" t="str">
        <f t="shared" ref="F2188:F2230" si="191">TEXT(E2180:E2188, "mmm") &amp; "-" &amp; TEXT(E2180:E2188, "yyyy") </f>
        <v>Apr-2018</v>
      </c>
      <c r="G2188" s="165" t="s">
        <v>20</v>
      </c>
      <c r="H2188" s="73" t="s">
        <v>287</v>
      </c>
      <c r="I2188" s="73" t="s">
        <v>839</v>
      </c>
      <c r="J2188" s="73" t="s">
        <v>27</v>
      </c>
      <c r="K2188" s="73" t="s">
        <v>9</v>
      </c>
      <c r="L2188" s="73" t="s">
        <v>30</v>
      </c>
      <c r="M2188" s="73" t="s">
        <v>30</v>
      </c>
      <c r="N2188" s="73" t="s">
        <v>69</v>
      </c>
      <c r="O2188" s="165"/>
      <c r="P2188" s="165"/>
      <c r="Q2188" s="166"/>
    </row>
    <row r="2189">
      <c r="A2189" s="134" t="s">
        <v>34</v>
      </c>
      <c r="B2189" s="134" t="s">
        <v>34</v>
      </c>
      <c r="C2189" s="134" t="s">
        <v>84</v>
      </c>
      <c r="D2189" s="133" t="s">
        <v>854</v>
      </c>
      <c r="E2189" s="240">
        <v>43205.0</v>
      </c>
      <c r="F2189" s="13" t="str">
        <f t="shared" si="191"/>
        <v>Apr-2018</v>
      </c>
      <c r="G2189" t="s">
        <v>25</v>
      </c>
      <c r="H2189" s="25" t="s">
        <v>287</v>
      </c>
      <c r="I2189" s="25" t="s">
        <v>839</v>
      </c>
      <c r="J2189" s="25" t="s">
        <v>27</v>
      </c>
      <c r="K2189" s="25" t="s">
        <v>9</v>
      </c>
      <c r="L2189" s="25" t="s">
        <v>30</v>
      </c>
      <c r="M2189" s="25"/>
      <c r="N2189" s="25" t="s">
        <v>106</v>
      </c>
      <c r="Q2189" s="99"/>
    </row>
    <row r="2190">
      <c r="A2190" s="134" t="s">
        <v>855</v>
      </c>
      <c r="B2190" s="134" t="s">
        <v>34</v>
      </c>
      <c r="C2190" s="134" t="s">
        <v>84</v>
      </c>
      <c r="D2190" s="133" t="s">
        <v>854</v>
      </c>
      <c r="E2190" s="240">
        <v>43205.0</v>
      </c>
      <c r="F2190" s="13" t="str">
        <f t="shared" si="191"/>
        <v>Apr-2018</v>
      </c>
      <c r="G2190" s="101" t="s">
        <v>20</v>
      </c>
      <c r="H2190" s="16" t="s">
        <v>287</v>
      </c>
      <c r="I2190" s="16" t="s">
        <v>112</v>
      </c>
      <c r="J2190" s="16" t="s">
        <v>86</v>
      </c>
      <c r="K2190" s="16" t="s">
        <v>9</v>
      </c>
      <c r="L2190" s="16" t="s">
        <v>24</v>
      </c>
      <c r="M2190" s="16" t="s">
        <v>30</v>
      </c>
      <c r="N2190" s="16" t="s">
        <v>69</v>
      </c>
      <c r="O2190" s="101"/>
      <c r="P2190" s="101"/>
      <c r="Q2190" s="102"/>
    </row>
    <row r="2191">
      <c r="A2191" s="168">
        <v>43205.0</v>
      </c>
      <c r="B2191" s="134" t="s">
        <v>34</v>
      </c>
      <c r="C2191" s="134" t="s">
        <v>84</v>
      </c>
      <c r="D2191" s="133" t="s">
        <v>854</v>
      </c>
      <c r="E2191" s="240">
        <v>43205.0</v>
      </c>
      <c r="F2191" s="13" t="str">
        <f t="shared" si="191"/>
        <v>Apr-2018</v>
      </c>
      <c r="G2191" s="101" t="s">
        <v>25</v>
      </c>
      <c r="H2191" s="16" t="s">
        <v>287</v>
      </c>
      <c r="I2191" s="16" t="s">
        <v>112</v>
      </c>
      <c r="J2191" s="16" t="s">
        <v>86</v>
      </c>
      <c r="K2191" s="16" t="s">
        <v>9</v>
      </c>
      <c r="L2191" s="16" t="s">
        <v>30</v>
      </c>
      <c r="M2191" s="16"/>
      <c r="N2191" s="16" t="s">
        <v>29</v>
      </c>
      <c r="O2191" s="101"/>
      <c r="P2191" s="101"/>
      <c r="Q2191" s="102"/>
    </row>
    <row r="2192">
      <c r="A2192" s="176" t="s">
        <v>856</v>
      </c>
      <c r="B2192" s="134" t="s">
        <v>34</v>
      </c>
      <c r="C2192" s="134" t="s">
        <v>84</v>
      </c>
      <c r="D2192" s="133" t="s">
        <v>854</v>
      </c>
      <c r="E2192" s="240">
        <v>43205.0</v>
      </c>
      <c r="F2192" s="13" t="str">
        <f t="shared" si="191"/>
        <v>Apr-2018</v>
      </c>
      <c r="G2192" s="263" t="s">
        <v>32</v>
      </c>
      <c r="H2192" s="16" t="s">
        <v>287</v>
      </c>
      <c r="I2192" s="16" t="s">
        <v>112</v>
      </c>
      <c r="J2192" s="16" t="s">
        <v>86</v>
      </c>
      <c r="K2192" s="16" t="s">
        <v>9</v>
      </c>
      <c r="L2192" s="16" t="s">
        <v>30</v>
      </c>
      <c r="M2192" s="16"/>
      <c r="N2192" s="16" t="s">
        <v>98</v>
      </c>
      <c r="O2192" s="101"/>
      <c r="P2192" s="101"/>
      <c r="Q2192" s="102"/>
    </row>
    <row r="2193">
      <c r="A2193" s="134" t="s">
        <v>84</v>
      </c>
      <c r="B2193" s="134" t="s">
        <v>34</v>
      </c>
      <c r="C2193" s="134" t="s">
        <v>84</v>
      </c>
      <c r="D2193" s="133" t="s">
        <v>854</v>
      </c>
      <c r="E2193" s="240">
        <v>43205.0</v>
      </c>
      <c r="F2193" s="13" t="str">
        <f t="shared" si="191"/>
        <v>Apr-2018</v>
      </c>
      <c r="G2193" t="s">
        <v>20</v>
      </c>
      <c r="H2193" s="25" t="s">
        <v>287</v>
      </c>
      <c r="I2193" s="25" t="s">
        <v>325</v>
      </c>
      <c r="J2193" s="25" t="s">
        <v>86</v>
      </c>
      <c r="K2193" s="25" t="s">
        <v>9</v>
      </c>
      <c r="L2193" s="25" t="s">
        <v>30</v>
      </c>
      <c r="M2193" s="25" t="s">
        <v>30</v>
      </c>
      <c r="N2193" s="25" t="s">
        <v>69</v>
      </c>
      <c r="Q2193" s="99"/>
    </row>
    <row r="2194">
      <c r="A2194" s="134" t="s">
        <v>857</v>
      </c>
      <c r="B2194" s="134" t="s">
        <v>34</v>
      </c>
      <c r="C2194" s="134" t="s">
        <v>84</v>
      </c>
      <c r="D2194" s="133" t="s">
        <v>854</v>
      </c>
      <c r="E2194" s="240">
        <v>43205.0</v>
      </c>
      <c r="F2194" s="13" t="str">
        <f t="shared" si="191"/>
        <v>Apr-2018</v>
      </c>
      <c r="G2194" t="s">
        <v>25</v>
      </c>
      <c r="H2194" s="25" t="s">
        <v>287</v>
      </c>
      <c r="I2194" s="25" t="s">
        <v>325</v>
      </c>
      <c r="J2194" s="25" t="s">
        <v>86</v>
      </c>
      <c r="K2194" s="25" t="s">
        <v>9</v>
      </c>
      <c r="L2194" s="25" t="s">
        <v>24</v>
      </c>
      <c r="M2194" s="25"/>
      <c r="N2194" s="25" t="s">
        <v>106</v>
      </c>
      <c r="Q2194" s="99"/>
    </row>
    <row r="2195">
      <c r="A2195" s="176" t="s">
        <v>858</v>
      </c>
      <c r="B2195" s="134" t="s">
        <v>34</v>
      </c>
      <c r="C2195" s="134" t="s">
        <v>84</v>
      </c>
      <c r="D2195" s="133" t="s">
        <v>854</v>
      </c>
      <c r="E2195" s="240">
        <v>43205.0</v>
      </c>
      <c r="F2195" s="13" t="str">
        <f t="shared" si="191"/>
        <v>Apr-2018</v>
      </c>
      <c r="G2195" s="264" t="s">
        <v>32</v>
      </c>
      <c r="H2195" s="25" t="s">
        <v>287</v>
      </c>
      <c r="I2195" s="25" t="s">
        <v>325</v>
      </c>
      <c r="J2195" s="25" t="s">
        <v>86</v>
      </c>
      <c r="K2195" s="25" t="s">
        <v>9</v>
      </c>
      <c r="L2195" s="25" t="s">
        <v>30</v>
      </c>
      <c r="M2195" s="25"/>
      <c r="N2195" s="25" t="s">
        <v>99</v>
      </c>
      <c r="Q2195" s="99"/>
    </row>
    <row r="2196">
      <c r="A2196" s="134" t="s">
        <v>859</v>
      </c>
      <c r="B2196" s="134" t="s">
        <v>34</v>
      </c>
      <c r="C2196" s="134" t="s">
        <v>84</v>
      </c>
      <c r="D2196" s="133" t="s">
        <v>854</v>
      </c>
      <c r="E2196" s="240">
        <v>43205.0</v>
      </c>
      <c r="F2196" s="13" t="str">
        <f t="shared" si="191"/>
        <v>Apr-2018</v>
      </c>
      <c r="G2196" s="101" t="s">
        <v>20</v>
      </c>
      <c r="H2196" s="16" t="s">
        <v>287</v>
      </c>
      <c r="I2196" s="16" t="s">
        <v>194</v>
      </c>
      <c r="J2196" s="16" t="s">
        <v>27</v>
      </c>
      <c r="K2196" s="16" t="s">
        <v>9</v>
      </c>
      <c r="L2196" s="16" t="s">
        <v>30</v>
      </c>
      <c r="M2196" s="16" t="s">
        <v>24</v>
      </c>
      <c r="N2196" s="16" t="s">
        <v>69</v>
      </c>
      <c r="O2196" s="101"/>
      <c r="P2196" s="101"/>
      <c r="Q2196" s="102"/>
    </row>
    <row r="2197">
      <c r="A2197" s="176" t="s">
        <v>860</v>
      </c>
      <c r="B2197" s="134" t="s">
        <v>34</v>
      </c>
      <c r="C2197" s="134" t="s">
        <v>84</v>
      </c>
      <c r="D2197" s="133" t="s">
        <v>854</v>
      </c>
      <c r="E2197" s="240">
        <v>43205.0</v>
      </c>
      <c r="F2197" s="13" t="str">
        <f t="shared" si="191"/>
        <v>Apr-2018</v>
      </c>
      <c r="G2197" s="101" t="s">
        <v>25</v>
      </c>
      <c r="H2197" s="16" t="s">
        <v>287</v>
      </c>
      <c r="I2197" s="16" t="s">
        <v>194</v>
      </c>
      <c r="J2197" s="16" t="s">
        <v>23</v>
      </c>
      <c r="K2197" s="16" t="s">
        <v>9</v>
      </c>
      <c r="L2197" s="16" t="s">
        <v>24</v>
      </c>
      <c r="M2197" s="16"/>
      <c r="N2197" s="16" t="s">
        <v>98</v>
      </c>
      <c r="O2197" s="101"/>
      <c r="P2197" s="101"/>
      <c r="Q2197" s="102"/>
    </row>
    <row r="2198">
      <c r="A2198" s="140"/>
      <c r="B2198" s="134" t="s">
        <v>34</v>
      </c>
      <c r="C2198" s="134" t="s">
        <v>84</v>
      </c>
      <c r="D2198" s="133" t="s">
        <v>854</v>
      </c>
      <c r="E2198" s="240">
        <v>43205.0</v>
      </c>
      <c r="F2198" s="13" t="str">
        <f t="shared" si="191"/>
        <v>Apr-2018</v>
      </c>
      <c r="G2198" s="263" t="s">
        <v>32</v>
      </c>
      <c r="H2198" s="16" t="s">
        <v>287</v>
      </c>
      <c r="I2198" s="16" t="s">
        <v>194</v>
      </c>
      <c r="J2198" s="16" t="s">
        <v>23</v>
      </c>
      <c r="K2198" s="16" t="s">
        <v>9</v>
      </c>
      <c r="L2198" s="16" t="s">
        <v>24</v>
      </c>
      <c r="M2198" s="16"/>
      <c r="N2198" s="16" t="s">
        <v>106</v>
      </c>
      <c r="O2198" s="101"/>
      <c r="P2198" s="101"/>
      <c r="Q2198" s="102"/>
    </row>
    <row r="2199">
      <c r="A2199" s="140"/>
      <c r="B2199" s="134" t="s">
        <v>34</v>
      </c>
      <c r="C2199" s="134" t="s">
        <v>84</v>
      </c>
      <c r="D2199" s="133" t="s">
        <v>854</v>
      </c>
      <c r="E2199" s="240">
        <v>43205.0</v>
      </c>
      <c r="F2199" s="13" t="str">
        <f t="shared" si="191"/>
        <v>Apr-2018</v>
      </c>
      <c r="G2199" t="s">
        <v>20</v>
      </c>
      <c r="H2199" s="25" t="s">
        <v>287</v>
      </c>
      <c r="I2199" s="25" t="s">
        <v>442</v>
      </c>
      <c r="J2199" s="25" t="s">
        <v>27</v>
      </c>
      <c r="K2199" s="25" t="s">
        <v>9</v>
      </c>
      <c r="L2199" s="25" t="s">
        <v>24</v>
      </c>
      <c r="M2199" s="25" t="s">
        <v>24</v>
      </c>
      <c r="N2199" s="25" t="s">
        <v>69</v>
      </c>
      <c r="Q2199" s="99"/>
    </row>
    <row r="2200">
      <c r="A2200" s="140"/>
      <c r="B2200" s="134" t="s">
        <v>34</v>
      </c>
      <c r="C2200" s="134" t="s">
        <v>84</v>
      </c>
      <c r="D2200" s="133" t="s">
        <v>854</v>
      </c>
      <c r="E2200" s="240">
        <v>43205.0</v>
      </c>
      <c r="F2200" s="13" t="str">
        <f t="shared" si="191"/>
        <v>Apr-2018</v>
      </c>
      <c r="G2200" t="s">
        <v>25</v>
      </c>
      <c r="H2200" s="25" t="s">
        <v>287</v>
      </c>
      <c r="I2200" s="25" t="s">
        <v>442</v>
      </c>
      <c r="J2200" s="25" t="s">
        <v>27</v>
      </c>
      <c r="K2200" s="25" t="s">
        <v>9</v>
      </c>
      <c r="L2200" s="25" t="s">
        <v>24</v>
      </c>
      <c r="M2200" s="25"/>
      <c r="N2200" s="25" t="s">
        <v>106</v>
      </c>
      <c r="Q2200" s="99"/>
    </row>
    <row r="2201">
      <c r="A2201" s="140"/>
      <c r="B2201" s="134" t="s">
        <v>34</v>
      </c>
      <c r="C2201" s="134" t="s">
        <v>84</v>
      </c>
      <c r="D2201" s="133" t="s">
        <v>854</v>
      </c>
      <c r="E2201" s="240">
        <v>43205.0</v>
      </c>
      <c r="F2201" s="13" t="str">
        <f t="shared" si="191"/>
        <v>Apr-2018</v>
      </c>
      <c r="G2201" s="101" t="s">
        <v>20</v>
      </c>
      <c r="H2201" s="16" t="s">
        <v>287</v>
      </c>
      <c r="I2201" s="16" t="s">
        <v>861</v>
      </c>
      <c r="J2201" s="16" t="s">
        <v>64</v>
      </c>
      <c r="K2201" s="16" t="s">
        <v>9</v>
      </c>
      <c r="L2201" s="16" t="s">
        <v>30</v>
      </c>
      <c r="M2201" s="16" t="s">
        <v>30</v>
      </c>
      <c r="N2201" s="16" t="s">
        <v>98</v>
      </c>
      <c r="O2201" s="101"/>
      <c r="P2201" s="101"/>
      <c r="Q2201" s="102"/>
    </row>
    <row r="2202">
      <c r="A2202" s="140"/>
      <c r="B2202" s="134" t="s">
        <v>34</v>
      </c>
      <c r="C2202" s="134" t="s">
        <v>84</v>
      </c>
      <c r="D2202" s="133" t="s">
        <v>854</v>
      </c>
      <c r="E2202" s="240">
        <v>43205.0</v>
      </c>
      <c r="F2202" s="13" t="str">
        <f t="shared" si="191"/>
        <v>Apr-2018</v>
      </c>
      <c r="G2202" s="101" t="s">
        <v>25</v>
      </c>
      <c r="H2202" s="16" t="s">
        <v>287</v>
      </c>
      <c r="I2202" s="16" t="s">
        <v>861</v>
      </c>
      <c r="J2202" s="16" t="s">
        <v>64</v>
      </c>
      <c r="K2202" s="16" t="s">
        <v>9</v>
      </c>
      <c r="L2202" s="16" t="s">
        <v>30</v>
      </c>
      <c r="M2202" s="16"/>
      <c r="N2202" s="16" t="s">
        <v>98</v>
      </c>
      <c r="O2202" s="101"/>
      <c r="P2202" s="101"/>
      <c r="Q2202" s="102"/>
    </row>
    <row r="2203">
      <c r="A2203" s="140"/>
      <c r="B2203" s="134" t="s">
        <v>34</v>
      </c>
      <c r="C2203" s="134" t="s">
        <v>84</v>
      </c>
      <c r="D2203" s="133" t="s">
        <v>854</v>
      </c>
      <c r="E2203" s="240">
        <v>43205.0</v>
      </c>
      <c r="F2203" s="13" t="str">
        <f t="shared" si="191"/>
        <v>Apr-2018</v>
      </c>
      <c r="G2203" t="s">
        <v>20</v>
      </c>
      <c r="H2203" s="25" t="s">
        <v>287</v>
      </c>
      <c r="I2203" s="25" t="s">
        <v>533</v>
      </c>
      <c r="J2203" s="25" t="s">
        <v>216</v>
      </c>
      <c r="K2203" s="25" t="s">
        <v>9</v>
      </c>
      <c r="L2203" s="25" t="s">
        <v>30</v>
      </c>
      <c r="M2203" s="25" t="s">
        <v>30</v>
      </c>
      <c r="N2203" s="25" t="s">
        <v>37</v>
      </c>
      <c r="Q2203" s="99"/>
    </row>
    <row r="2204">
      <c r="A2204" s="140"/>
      <c r="B2204" s="134" t="s">
        <v>34</v>
      </c>
      <c r="C2204" s="134" t="s">
        <v>84</v>
      </c>
      <c r="D2204" s="133" t="s">
        <v>854</v>
      </c>
      <c r="E2204" s="240">
        <v>43205.0</v>
      </c>
      <c r="F2204" s="13" t="str">
        <f t="shared" si="191"/>
        <v>Apr-2018</v>
      </c>
      <c r="G2204" t="s">
        <v>25</v>
      </c>
      <c r="H2204" s="25" t="s">
        <v>287</v>
      </c>
      <c r="I2204" s="25" t="s">
        <v>533</v>
      </c>
      <c r="J2204" s="25" t="s">
        <v>216</v>
      </c>
      <c r="K2204" s="25" t="s">
        <v>9</v>
      </c>
      <c r="L2204" s="25" t="s">
        <v>30</v>
      </c>
      <c r="M2204" s="25"/>
      <c r="N2204" s="25" t="s">
        <v>99</v>
      </c>
      <c r="Q2204" s="99"/>
    </row>
    <row r="2205">
      <c r="A2205" s="140"/>
      <c r="B2205" s="134" t="s">
        <v>34</v>
      </c>
      <c r="C2205" s="134" t="s">
        <v>84</v>
      </c>
      <c r="D2205" s="133" t="s">
        <v>854</v>
      </c>
      <c r="E2205" s="240">
        <v>43205.0</v>
      </c>
      <c r="F2205" s="13" t="str">
        <f t="shared" si="191"/>
        <v>Apr-2018</v>
      </c>
      <c r="G2205" s="101" t="s">
        <v>20</v>
      </c>
      <c r="H2205" s="16" t="s">
        <v>862</v>
      </c>
      <c r="I2205" s="16" t="s">
        <v>863</v>
      </c>
      <c r="J2205" s="16" t="s">
        <v>140</v>
      </c>
      <c r="K2205" s="16" t="s">
        <v>9</v>
      </c>
      <c r="L2205" s="16" t="s">
        <v>30</v>
      </c>
      <c r="M2205" s="16" t="s">
        <v>30</v>
      </c>
      <c r="N2205" s="16" t="s">
        <v>69</v>
      </c>
      <c r="O2205" s="101"/>
      <c r="P2205" s="101"/>
      <c r="Q2205" s="102"/>
    </row>
    <row r="2206">
      <c r="A2206" s="140"/>
      <c r="B2206" s="134" t="s">
        <v>34</v>
      </c>
      <c r="C2206" s="134" t="s">
        <v>84</v>
      </c>
      <c r="D2206" s="133" t="s">
        <v>854</v>
      </c>
      <c r="E2206" s="240">
        <v>43205.0</v>
      </c>
      <c r="F2206" s="13" t="str">
        <f t="shared" si="191"/>
        <v>Apr-2018</v>
      </c>
      <c r="G2206" s="101" t="s">
        <v>25</v>
      </c>
      <c r="H2206" s="16" t="s">
        <v>862</v>
      </c>
      <c r="I2206" s="16" t="s">
        <v>863</v>
      </c>
      <c r="J2206" s="16" t="s">
        <v>140</v>
      </c>
      <c r="K2206" s="16" t="s">
        <v>9</v>
      </c>
      <c r="L2206" s="16" t="s">
        <v>30</v>
      </c>
      <c r="M2206" s="16"/>
      <c r="N2206" s="16" t="s">
        <v>106</v>
      </c>
      <c r="O2206" s="101"/>
      <c r="P2206" s="101"/>
      <c r="Q2206" s="102"/>
    </row>
    <row r="2207">
      <c r="A2207" s="140"/>
      <c r="B2207" s="134" t="s">
        <v>34</v>
      </c>
      <c r="C2207" s="134" t="s">
        <v>84</v>
      </c>
      <c r="D2207" s="133" t="s">
        <v>854</v>
      </c>
      <c r="E2207" s="240">
        <v>43205.0</v>
      </c>
      <c r="F2207" s="13" t="str">
        <f t="shared" si="191"/>
        <v>Apr-2018</v>
      </c>
      <c r="G2207" t="s">
        <v>20</v>
      </c>
      <c r="H2207" s="25" t="s">
        <v>862</v>
      </c>
      <c r="I2207" s="25" t="s">
        <v>839</v>
      </c>
      <c r="J2207" s="25" t="s">
        <v>27</v>
      </c>
      <c r="K2207" s="25" t="s">
        <v>9</v>
      </c>
      <c r="L2207" s="25" t="s">
        <v>30</v>
      </c>
      <c r="M2207" s="25" t="s">
        <v>30</v>
      </c>
      <c r="N2207" s="25" t="s">
        <v>69</v>
      </c>
      <c r="Q2207" s="99"/>
    </row>
    <row r="2208">
      <c r="A2208" s="140"/>
      <c r="B2208" s="134" t="s">
        <v>34</v>
      </c>
      <c r="C2208" s="134" t="s">
        <v>84</v>
      </c>
      <c r="D2208" s="133" t="s">
        <v>854</v>
      </c>
      <c r="E2208" s="240">
        <v>43205.0</v>
      </c>
      <c r="F2208" s="13" t="str">
        <f t="shared" si="191"/>
        <v>Apr-2018</v>
      </c>
      <c r="G2208" t="s">
        <v>25</v>
      </c>
      <c r="H2208" s="25" t="s">
        <v>862</v>
      </c>
      <c r="I2208" s="25" t="s">
        <v>839</v>
      </c>
      <c r="J2208" s="25" t="s">
        <v>27</v>
      </c>
      <c r="K2208" s="25" t="s">
        <v>9</v>
      </c>
      <c r="L2208" s="25" t="s">
        <v>30</v>
      </c>
      <c r="M2208" s="25"/>
      <c r="N2208" s="25" t="s">
        <v>106</v>
      </c>
      <c r="Q2208" s="99"/>
    </row>
    <row r="2209">
      <c r="A2209" s="140"/>
      <c r="B2209" s="134" t="s">
        <v>34</v>
      </c>
      <c r="C2209" s="134" t="s">
        <v>84</v>
      </c>
      <c r="D2209" s="133" t="s">
        <v>854</v>
      </c>
      <c r="E2209" s="240">
        <v>43205.0</v>
      </c>
      <c r="F2209" s="13" t="str">
        <f t="shared" si="191"/>
        <v>Apr-2018</v>
      </c>
      <c r="G2209" s="101" t="s">
        <v>20</v>
      </c>
      <c r="H2209" s="16" t="s">
        <v>862</v>
      </c>
      <c r="I2209" s="16" t="s">
        <v>663</v>
      </c>
      <c r="J2209" s="16" t="s">
        <v>27</v>
      </c>
      <c r="K2209" s="16" t="s">
        <v>9</v>
      </c>
      <c r="L2209" s="16" t="s">
        <v>30</v>
      </c>
      <c r="M2209" s="16" t="s">
        <v>30</v>
      </c>
      <c r="N2209" s="16" t="s">
        <v>69</v>
      </c>
      <c r="O2209" s="101"/>
      <c r="P2209" s="101"/>
      <c r="Q2209" s="102"/>
    </row>
    <row r="2210">
      <c r="A2210" s="140"/>
      <c r="B2210" s="134" t="s">
        <v>34</v>
      </c>
      <c r="C2210" s="134" t="s">
        <v>84</v>
      </c>
      <c r="D2210" s="133" t="s">
        <v>854</v>
      </c>
      <c r="E2210" s="240">
        <v>43205.0</v>
      </c>
      <c r="F2210" s="13" t="str">
        <f t="shared" si="191"/>
        <v>Apr-2018</v>
      </c>
      <c r="G2210" s="101" t="s">
        <v>25</v>
      </c>
      <c r="H2210" s="16" t="s">
        <v>862</v>
      </c>
      <c r="I2210" s="16" t="s">
        <v>663</v>
      </c>
      <c r="J2210" s="16" t="s">
        <v>27</v>
      </c>
      <c r="K2210" s="16" t="s">
        <v>9</v>
      </c>
      <c r="L2210" s="16" t="s">
        <v>30</v>
      </c>
      <c r="M2210" s="16"/>
      <c r="N2210" s="16" t="s">
        <v>99</v>
      </c>
      <c r="O2210" s="101"/>
      <c r="P2210" s="101"/>
      <c r="Q2210" s="102"/>
    </row>
    <row r="2211">
      <c r="A2211" s="140"/>
      <c r="B2211" s="134" t="s">
        <v>34</v>
      </c>
      <c r="C2211" s="134" t="s">
        <v>84</v>
      </c>
      <c r="D2211" s="133" t="s">
        <v>854</v>
      </c>
      <c r="E2211" s="240">
        <v>43205.0</v>
      </c>
      <c r="F2211" s="13" t="str">
        <f t="shared" si="191"/>
        <v>Apr-2018</v>
      </c>
      <c r="G2211" t="s">
        <v>20</v>
      </c>
      <c r="H2211" s="25" t="s">
        <v>862</v>
      </c>
      <c r="I2211" s="25" t="s">
        <v>655</v>
      </c>
      <c r="J2211" s="25" t="s">
        <v>86</v>
      </c>
      <c r="K2211" s="25" t="s">
        <v>9</v>
      </c>
      <c r="L2211" s="25" t="s">
        <v>24</v>
      </c>
      <c r="M2211" s="25" t="s">
        <v>24</v>
      </c>
      <c r="N2211" s="25" t="s">
        <v>99</v>
      </c>
      <c r="Q2211" s="99"/>
    </row>
    <row r="2212">
      <c r="A2212" s="140"/>
      <c r="B2212" s="134" t="s">
        <v>34</v>
      </c>
      <c r="C2212" s="134" t="s">
        <v>84</v>
      </c>
      <c r="D2212" s="133" t="s">
        <v>854</v>
      </c>
      <c r="E2212" s="240">
        <v>43205.0</v>
      </c>
      <c r="F2212" s="13" t="str">
        <f t="shared" si="191"/>
        <v>Apr-2018</v>
      </c>
      <c r="G2212" t="s">
        <v>25</v>
      </c>
      <c r="H2212" s="25" t="s">
        <v>862</v>
      </c>
      <c r="I2212" s="25" t="s">
        <v>655</v>
      </c>
      <c r="J2212" s="25" t="s">
        <v>86</v>
      </c>
      <c r="K2212" s="25" t="s">
        <v>9</v>
      </c>
      <c r="L2212" s="25" t="s">
        <v>24</v>
      </c>
      <c r="M2212" s="25"/>
      <c r="N2212" s="25" t="s">
        <v>69</v>
      </c>
      <c r="Q2212" s="99"/>
    </row>
    <row r="2213">
      <c r="A2213" s="140"/>
      <c r="B2213" s="134" t="s">
        <v>34</v>
      </c>
      <c r="C2213" s="134" t="s">
        <v>84</v>
      </c>
      <c r="D2213" s="133" t="s">
        <v>854</v>
      </c>
      <c r="E2213" s="240">
        <v>43205.0</v>
      </c>
      <c r="F2213" s="13" t="str">
        <f t="shared" si="191"/>
        <v>Apr-2018</v>
      </c>
      <c r="G2213" s="101" t="s">
        <v>20</v>
      </c>
      <c r="H2213" s="16" t="s">
        <v>862</v>
      </c>
      <c r="I2213" s="16" t="s">
        <v>836</v>
      </c>
      <c r="J2213" s="16" t="s">
        <v>216</v>
      </c>
      <c r="K2213" s="16" t="s">
        <v>9</v>
      </c>
      <c r="L2213" s="16" t="s">
        <v>24</v>
      </c>
      <c r="M2213" s="16" t="s">
        <v>30</v>
      </c>
      <c r="N2213" s="16" t="s">
        <v>37</v>
      </c>
      <c r="O2213" s="101"/>
      <c r="P2213" s="101"/>
      <c r="Q2213" s="102"/>
    </row>
    <row r="2214">
      <c r="A2214" s="140"/>
      <c r="B2214" s="134" t="s">
        <v>34</v>
      </c>
      <c r="C2214" s="134" t="s">
        <v>84</v>
      </c>
      <c r="D2214" s="133" t="s">
        <v>854</v>
      </c>
      <c r="E2214" s="240">
        <v>43205.0</v>
      </c>
      <c r="F2214" s="13" t="str">
        <f t="shared" si="191"/>
        <v>Apr-2018</v>
      </c>
      <c r="G2214" s="101" t="s">
        <v>25</v>
      </c>
      <c r="H2214" s="16" t="s">
        <v>862</v>
      </c>
      <c r="I2214" s="16" t="s">
        <v>836</v>
      </c>
      <c r="J2214" s="16" t="s">
        <v>216</v>
      </c>
      <c r="K2214" s="16" t="s">
        <v>9</v>
      </c>
      <c r="L2214" s="16" t="s">
        <v>30</v>
      </c>
      <c r="M2214" s="16"/>
      <c r="N2214" s="16" t="s">
        <v>98</v>
      </c>
      <c r="O2214" s="101"/>
      <c r="P2214" s="101"/>
      <c r="Q2214" s="102"/>
    </row>
    <row r="2215">
      <c r="A2215" s="140"/>
      <c r="B2215" s="134" t="s">
        <v>34</v>
      </c>
      <c r="C2215" s="134" t="s">
        <v>84</v>
      </c>
      <c r="D2215" s="133" t="s">
        <v>854</v>
      </c>
      <c r="E2215" s="240">
        <v>43205.0</v>
      </c>
      <c r="F2215" s="13" t="str">
        <f t="shared" si="191"/>
        <v>Apr-2018</v>
      </c>
      <c r="G2215" s="263" t="s">
        <v>32</v>
      </c>
      <c r="H2215" s="16" t="s">
        <v>862</v>
      </c>
      <c r="I2215" s="16" t="s">
        <v>836</v>
      </c>
      <c r="J2215" s="16" t="s">
        <v>216</v>
      </c>
      <c r="K2215" s="16" t="s">
        <v>9</v>
      </c>
      <c r="L2215" s="16" t="s">
        <v>30</v>
      </c>
      <c r="M2215" s="16"/>
      <c r="N2215" s="16" t="s">
        <v>106</v>
      </c>
      <c r="O2215" s="101"/>
      <c r="P2215" s="101"/>
      <c r="Q2215" s="102"/>
    </row>
    <row r="2216">
      <c r="A2216" s="140"/>
      <c r="B2216" s="134" t="s">
        <v>34</v>
      </c>
      <c r="C2216" s="134" t="s">
        <v>84</v>
      </c>
      <c r="D2216" s="133" t="s">
        <v>854</v>
      </c>
      <c r="E2216" s="240">
        <v>43205.0</v>
      </c>
      <c r="F2216" s="13" t="str">
        <f t="shared" si="191"/>
        <v>Apr-2018</v>
      </c>
      <c r="G2216" t="s">
        <v>20</v>
      </c>
      <c r="H2216" s="25" t="s">
        <v>862</v>
      </c>
      <c r="I2216" s="25" t="s">
        <v>663</v>
      </c>
      <c r="J2216" s="25" t="s">
        <v>27</v>
      </c>
      <c r="K2216" s="25" t="s">
        <v>9</v>
      </c>
      <c r="L2216" s="25" t="s">
        <v>30</v>
      </c>
      <c r="M2216" s="25" t="s">
        <v>30</v>
      </c>
      <c r="N2216" s="25" t="s">
        <v>69</v>
      </c>
      <c r="Q2216" s="99"/>
    </row>
    <row r="2217">
      <c r="A2217" s="140"/>
      <c r="B2217" s="134" t="s">
        <v>34</v>
      </c>
      <c r="C2217" s="134" t="s">
        <v>84</v>
      </c>
      <c r="D2217" s="133" t="s">
        <v>854</v>
      </c>
      <c r="E2217" s="240">
        <v>43205.0</v>
      </c>
      <c r="F2217" s="13" t="str">
        <f t="shared" si="191"/>
        <v>Apr-2018</v>
      </c>
      <c r="G2217" t="s">
        <v>25</v>
      </c>
      <c r="H2217" s="25" t="s">
        <v>862</v>
      </c>
      <c r="I2217" s="25" t="s">
        <v>663</v>
      </c>
      <c r="J2217" s="25" t="s">
        <v>9</v>
      </c>
      <c r="K2217" s="25" t="s">
        <v>9</v>
      </c>
      <c r="L2217" s="25" t="s">
        <v>30</v>
      </c>
      <c r="M2217" s="25"/>
      <c r="N2217" s="25" t="s">
        <v>98</v>
      </c>
      <c r="Q2217" s="99"/>
    </row>
    <row r="2218">
      <c r="A2218" s="140"/>
      <c r="B2218" s="134" t="s">
        <v>34</v>
      </c>
      <c r="C2218" s="134" t="s">
        <v>84</v>
      </c>
      <c r="D2218" s="133" t="s">
        <v>854</v>
      </c>
      <c r="E2218" s="240">
        <v>43205.0</v>
      </c>
      <c r="F2218" s="13" t="str">
        <f t="shared" si="191"/>
        <v>Apr-2018</v>
      </c>
      <c r="G2218" s="263" t="s">
        <v>146</v>
      </c>
      <c r="H2218" s="16" t="s">
        <v>862</v>
      </c>
      <c r="I2218" s="16" t="s">
        <v>655</v>
      </c>
      <c r="J2218" s="16" t="s">
        <v>86</v>
      </c>
      <c r="K2218" s="16" t="s">
        <v>9</v>
      </c>
      <c r="L2218" s="16" t="s">
        <v>30</v>
      </c>
      <c r="M2218" s="16" t="s">
        <v>30</v>
      </c>
      <c r="N2218" s="16" t="s">
        <v>99</v>
      </c>
      <c r="O2218" s="101"/>
      <c r="P2218" s="101"/>
      <c r="Q2218" s="102"/>
    </row>
    <row r="2219">
      <c r="A2219" s="140"/>
      <c r="B2219" s="134" t="s">
        <v>34</v>
      </c>
      <c r="C2219" s="134" t="s">
        <v>84</v>
      </c>
      <c r="D2219" s="133" t="s">
        <v>854</v>
      </c>
      <c r="E2219" s="240">
        <v>43205.0</v>
      </c>
      <c r="F2219" s="13" t="str">
        <f t="shared" si="191"/>
        <v>Apr-2018</v>
      </c>
      <c r="G2219" s="263" t="s">
        <v>149</v>
      </c>
      <c r="H2219" s="16" t="s">
        <v>862</v>
      </c>
      <c r="I2219" s="16" t="s">
        <v>655</v>
      </c>
      <c r="J2219" s="16" t="s">
        <v>86</v>
      </c>
      <c r="K2219" s="16" t="s">
        <v>9</v>
      </c>
      <c r="L2219" s="16" t="s">
        <v>30</v>
      </c>
      <c r="M2219" s="16"/>
      <c r="N2219" s="16" t="s">
        <v>37</v>
      </c>
      <c r="O2219" s="101"/>
      <c r="P2219" s="101"/>
      <c r="Q2219" s="102"/>
    </row>
    <row r="2220">
      <c r="A2220" s="140"/>
      <c r="B2220" s="134" t="s">
        <v>34</v>
      </c>
      <c r="C2220" s="134" t="s">
        <v>84</v>
      </c>
      <c r="D2220" s="133" t="s">
        <v>854</v>
      </c>
      <c r="E2220" s="240">
        <v>43205.0</v>
      </c>
      <c r="F2220" s="13" t="str">
        <f t="shared" si="191"/>
        <v>Apr-2018</v>
      </c>
      <c r="G2220" s="263" t="s">
        <v>222</v>
      </c>
      <c r="H2220" s="16" t="s">
        <v>862</v>
      </c>
      <c r="I2220" s="16" t="s">
        <v>655</v>
      </c>
      <c r="J2220" s="16" t="s">
        <v>86</v>
      </c>
      <c r="K2220" s="16" t="s">
        <v>9</v>
      </c>
      <c r="L2220" s="16" t="s">
        <v>24</v>
      </c>
      <c r="M2220" s="16"/>
      <c r="N2220" s="16" t="s">
        <v>98</v>
      </c>
      <c r="O2220" s="101"/>
      <c r="P2220" s="101"/>
      <c r="Q2220" s="102"/>
    </row>
    <row r="2221">
      <c r="A2221" s="140"/>
      <c r="B2221" s="134" t="s">
        <v>34</v>
      </c>
      <c r="C2221" s="134" t="s">
        <v>84</v>
      </c>
      <c r="D2221" s="133" t="s">
        <v>854</v>
      </c>
      <c r="E2221" s="240">
        <v>43205.0</v>
      </c>
      <c r="F2221" s="13" t="str">
        <f t="shared" si="191"/>
        <v>Apr-2018</v>
      </c>
      <c r="G2221" s="263" t="s">
        <v>467</v>
      </c>
      <c r="H2221" s="16" t="s">
        <v>862</v>
      </c>
      <c r="I2221" s="16" t="s">
        <v>655</v>
      </c>
      <c r="J2221" s="16" t="s">
        <v>86</v>
      </c>
      <c r="K2221" s="16" t="s">
        <v>9</v>
      </c>
      <c r="L2221" s="16" t="s">
        <v>30</v>
      </c>
      <c r="M2221" s="16"/>
      <c r="N2221" s="16" t="s">
        <v>29</v>
      </c>
      <c r="O2221" s="101"/>
      <c r="P2221" s="101"/>
      <c r="Q2221" s="102"/>
    </row>
    <row r="2222">
      <c r="A2222" s="140"/>
      <c r="B2222" s="134" t="s">
        <v>34</v>
      </c>
      <c r="C2222" s="134" t="s">
        <v>84</v>
      </c>
      <c r="D2222" s="133" t="s">
        <v>854</v>
      </c>
      <c r="E2222" s="240">
        <v>43205.0</v>
      </c>
      <c r="F2222" s="13" t="str">
        <f t="shared" si="191"/>
        <v>Apr-2018</v>
      </c>
      <c r="G2222" s="264" t="s">
        <v>146</v>
      </c>
      <c r="H2222" s="25" t="s">
        <v>862</v>
      </c>
      <c r="I2222" s="25" t="s">
        <v>100</v>
      </c>
      <c r="J2222" s="25" t="s">
        <v>9</v>
      </c>
      <c r="K2222" s="25" t="s">
        <v>9</v>
      </c>
      <c r="L2222" s="25" t="s">
        <v>24</v>
      </c>
      <c r="M2222" s="25" t="s">
        <v>30</v>
      </c>
      <c r="N2222" s="25" t="s">
        <v>69</v>
      </c>
      <c r="Q2222" s="99"/>
    </row>
    <row r="2223">
      <c r="A2223" s="140"/>
      <c r="B2223" s="134" t="s">
        <v>34</v>
      </c>
      <c r="C2223" s="134" t="s">
        <v>84</v>
      </c>
      <c r="D2223" s="133" t="s">
        <v>854</v>
      </c>
      <c r="E2223" s="240">
        <v>43205.0</v>
      </c>
      <c r="F2223" s="13" t="str">
        <f t="shared" si="191"/>
        <v>Apr-2018</v>
      </c>
      <c r="G2223" s="264" t="s">
        <v>149</v>
      </c>
      <c r="H2223" s="25" t="s">
        <v>862</v>
      </c>
      <c r="I2223" s="25" t="s">
        <v>100</v>
      </c>
      <c r="J2223" s="25" t="s">
        <v>9</v>
      </c>
      <c r="K2223" s="25" t="s">
        <v>9</v>
      </c>
      <c r="L2223" s="25" t="s">
        <v>30</v>
      </c>
      <c r="M2223" s="25"/>
      <c r="N2223" s="25" t="s">
        <v>99</v>
      </c>
      <c r="Q2223" s="99"/>
    </row>
    <row r="2224">
      <c r="A2224" s="140"/>
      <c r="B2224" s="134" t="s">
        <v>34</v>
      </c>
      <c r="C2224" s="134" t="s">
        <v>84</v>
      </c>
      <c r="D2224" s="133" t="s">
        <v>854</v>
      </c>
      <c r="E2224" s="240">
        <v>43205.0</v>
      </c>
      <c r="F2224" s="13" t="str">
        <f t="shared" si="191"/>
        <v>Apr-2018</v>
      </c>
      <c r="G2224" s="264" t="s">
        <v>222</v>
      </c>
      <c r="H2224" s="25" t="s">
        <v>862</v>
      </c>
      <c r="I2224" s="25" t="s">
        <v>100</v>
      </c>
      <c r="J2224" s="25" t="s">
        <v>9</v>
      </c>
      <c r="K2224" s="25" t="s">
        <v>9</v>
      </c>
      <c r="L2224" s="25" t="s">
        <v>30</v>
      </c>
      <c r="M2224" s="25"/>
      <c r="N2224" s="25" t="s">
        <v>98</v>
      </c>
      <c r="Q2224" s="99"/>
    </row>
    <row r="2225">
      <c r="A2225" s="140"/>
      <c r="B2225" s="134" t="s">
        <v>34</v>
      </c>
      <c r="C2225" s="134" t="s">
        <v>84</v>
      </c>
      <c r="D2225" s="133" t="s">
        <v>854</v>
      </c>
      <c r="E2225" s="240">
        <v>43205.0</v>
      </c>
      <c r="F2225" s="13" t="str">
        <f t="shared" si="191"/>
        <v>Apr-2018</v>
      </c>
      <c r="G2225" s="264" t="s">
        <v>467</v>
      </c>
      <c r="H2225" s="25" t="s">
        <v>862</v>
      </c>
      <c r="I2225" s="25" t="s">
        <v>100</v>
      </c>
      <c r="J2225" s="25" t="s">
        <v>9</v>
      </c>
      <c r="K2225" s="25" t="s">
        <v>9</v>
      </c>
      <c r="L2225" s="25" t="s">
        <v>30</v>
      </c>
      <c r="M2225" s="25"/>
      <c r="N2225" s="25" t="s">
        <v>98</v>
      </c>
      <c r="Q2225" s="99"/>
    </row>
    <row r="2226">
      <c r="A2226" s="140"/>
      <c r="B2226" s="134" t="s">
        <v>34</v>
      </c>
      <c r="C2226" s="134" t="s">
        <v>84</v>
      </c>
      <c r="D2226" s="133" t="s">
        <v>854</v>
      </c>
      <c r="E2226" s="240">
        <v>43205.0</v>
      </c>
      <c r="F2226" s="13" t="str">
        <f t="shared" si="191"/>
        <v>Apr-2018</v>
      </c>
      <c r="G2226" s="263" t="s">
        <v>146</v>
      </c>
      <c r="H2226" s="16" t="s">
        <v>862</v>
      </c>
      <c r="I2226" s="16" t="s">
        <v>100</v>
      </c>
      <c r="J2226" s="16" t="s">
        <v>9</v>
      </c>
      <c r="K2226" s="16" t="s">
        <v>9</v>
      </c>
      <c r="L2226" s="16" t="s">
        <v>24</v>
      </c>
      <c r="M2226" s="16" t="s">
        <v>30</v>
      </c>
      <c r="N2226" s="16" t="s">
        <v>69</v>
      </c>
      <c r="O2226" s="101"/>
      <c r="P2226" s="101"/>
      <c r="Q2226" s="102"/>
    </row>
    <row r="2227">
      <c r="A2227" s="140"/>
      <c r="B2227" s="134" t="s">
        <v>34</v>
      </c>
      <c r="C2227" s="134" t="s">
        <v>84</v>
      </c>
      <c r="D2227" s="133" t="s">
        <v>854</v>
      </c>
      <c r="E2227" s="240">
        <v>43205.0</v>
      </c>
      <c r="F2227" s="13" t="str">
        <f t="shared" si="191"/>
        <v>Apr-2018</v>
      </c>
      <c r="G2227" s="263" t="s">
        <v>149</v>
      </c>
      <c r="H2227" s="16" t="s">
        <v>862</v>
      </c>
      <c r="I2227" s="16" t="s">
        <v>100</v>
      </c>
      <c r="J2227" s="16" t="s">
        <v>9</v>
      </c>
      <c r="K2227" s="16" t="s">
        <v>9</v>
      </c>
      <c r="L2227" s="16" t="s">
        <v>24</v>
      </c>
      <c r="M2227" s="16"/>
      <c r="N2227" s="16" t="s">
        <v>99</v>
      </c>
      <c r="O2227" s="101"/>
      <c r="P2227" s="101"/>
      <c r="Q2227" s="102"/>
    </row>
    <row r="2228">
      <c r="A2228" s="140"/>
      <c r="B2228" s="134" t="s">
        <v>34</v>
      </c>
      <c r="C2228" s="134" t="s">
        <v>84</v>
      </c>
      <c r="D2228" s="133" t="s">
        <v>854</v>
      </c>
      <c r="E2228" s="240">
        <v>43205.0</v>
      </c>
      <c r="F2228" s="13" t="str">
        <f t="shared" si="191"/>
        <v>Apr-2018</v>
      </c>
      <c r="G2228" s="263" t="s">
        <v>222</v>
      </c>
      <c r="H2228" s="16" t="s">
        <v>862</v>
      </c>
      <c r="I2228" s="16" t="s">
        <v>100</v>
      </c>
      <c r="J2228" s="16" t="s">
        <v>9</v>
      </c>
      <c r="K2228" s="16" t="s">
        <v>9</v>
      </c>
      <c r="L2228" s="16" t="s">
        <v>30</v>
      </c>
      <c r="M2228" s="16"/>
      <c r="N2228" s="16" t="s">
        <v>98</v>
      </c>
      <c r="O2228" s="101"/>
      <c r="P2228" s="101"/>
      <c r="Q2228" s="102"/>
    </row>
    <row r="2229">
      <c r="A2229" s="140"/>
      <c r="B2229" s="134" t="s">
        <v>34</v>
      </c>
      <c r="C2229" s="134" t="s">
        <v>84</v>
      </c>
      <c r="D2229" s="133" t="s">
        <v>854</v>
      </c>
      <c r="E2229" s="240">
        <v>43205.0</v>
      </c>
      <c r="F2229" s="13" t="str">
        <f t="shared" si="191"/>
        <v>Apr-2018</v>
      </c>
      <c r="G2229" s="263" t="s">
        <v>467</v>
      </c>
      <c r="H2229" s="16" t="s">
        <v>862</v>
      </c>
      <c r="I2229" s="16" t="s">
        <v>100</v>
      </c>
      <c r="J2229" s="16" t="s">
        <v>9</v>
      </c>
      <c r="K2229" s="16" t="s">
        <v>9</v>
      </c>
      <c r="L2229" s="16" t="s">
        <v>30</v>
      </c>
      <c r="M2229" s="16"/>
      <c r="N2229" s="16" t="s">
        <v>29</v>
      </c>
      <c r="O2229" s="101"/>
      <c r="P2229" s="101"/>
      <c r="Q2229" s="102"/>
    </row>
    <row r="2230">
      <c r="A2230" s="141"/>
      <c r="B2230" s="134" t="s">
        <v>34</v>
      </c>
      <c r="C2230" s="134" t="s">
        <v>84</v>
      </c>
      <c r="D2230" s="133" t="s">
        <v>854</v>
      </c>
      <c r="E2230" s="241">
        <v>43205.0</v>
      </c>
      <c r="F2230" s="35" t="str">
        <f t="shared" si="191"/>
        <v>Apr-2018</v>
      </c>
      <c r="G2230" s="265" t="s">
        <v>480</v>
      </c>
      <c r="H2230" s="38" t="s">
        <v>862</v>
      </c>
      <c r="I2230" s="38" t="s">
        <v>100</v>
      </c>
      <c r="J2230" s="38" t="s">
        <v>9</v>
      </c>
      <c r="K2230" s="38" t="s">
        <v>9</v>
      </c>
      <c r="L2230" s="38" t="s">
        <v>30</v>
      </c>
      <c r="M2230" s="38"/>
      <c r="N2230" s="38" t="s">
        <v>29</v>
      </c>
      <c r="O2230" s="105"/>
      <c r="P2230" s="105"/>
      <c r="Q2230" s="106"/>
    </row>
    <row r="2231">
      <c r="A2231" s="94"/>
    </row>
    <row r="2232">
      <c r="A2232" s="191" t="s">
        <v>864</v>
      </c>
      <c r="B2232" s="192" t="s">
        <v>272</v>
      </c>
      <c r="C2232" s="192" t="s">
        <v>116</v>
      </c>
      <c r="D2232" s="191" t="s">
        <v>864</v>
      </c>
      <c r="E2232" s="213">
        <v>43211.0</v>
      </c>
      <c r="F2232" s="13" t="str">
        <f t="shared" ref="F2232:F2264" si="192">TEXT(E2224:E2232, "mmm") &amp; "-" &amp; TEXT(E2224:E2232, "yyyy") </f>
        <v>Apr-2018</v>
      </c>
      <c r="G2232" s="165" t="s">
        <v>20</v>
      </c>
      <c r="H2232" s="73" t="s">
        <v>287</v>
      </c>
      <c r="I2232" s="73" t="s">
        <v>865</v>
      </c>
      <c r="J2232" s="73" t="s">
        <v>44</v>
      </c>
      <c r="K2232" s="73" t="s">
        <v>9</v>
      </c>
      <c r="L2232" s="73" t="s">
        <v>30</v>
      </c>
      <c r="M2232" s="73" t="s">
        <v>30</v>
      </c>
      <c r="N2232" s="73" t="s">
        <v>98</v>
      </c>
      <c r="O2232" s="165"/>
      <c r="P2232" s="165"/>
      <c r="Q2232" s="166"/>
    </row>
    <row r="2233">
      <c r="A2233" s="192" t="s">
        <v>272</v>
      </c>
      <c r="B2233" s="192" t="s">
        <v>272</v>
      </c>
      <c r="C2233" s="192" t="s">
        <v>116</v>
      </c>
      <c r="D2233" s="191" t="s">
        <v>864</v>
      </c>
      <c r="E2233" s="213">
        <v>43211.0</v>
      </c>
      <c r="F2233" s="13" t="str">
        <f t="shared" si="192"/>
        <v>Apr-2018</v>
      </c>
      <c r="G2233" t="s">
        <v>25</v>
      </c>
      <c r="H2233" s="25" t="s">
        <v>287</v>
      </c>
      <c r="I2233" s="25" t="s">
        <v>865</v>
      </c>
      <c r="J2233" s="25" t="s">
        <v>44</v>
      </c>
      <c r="K2233" s="25" t="s">
        <v>9</v>
      </c>
      <c r="L2233" s="25" t="s">
        <v>30</v>
      </c>
      <c r="M2233" s="25"/>
      <c r="N2233" s="25" t="s">
        <v>99</v>
      </c>
      <c r="Q2233" s="99"/>
    </row>
    <row r="2234">
      <c r="A2234" s="192" t="s">
        <v>773</v>
      </c>
      <c r="B2234" s="192" t="s">
        <v>272</v>
      </c>
      <c r="C2234" s="192" t="s">
        <v>116</v>
      </c>
      <c r="D2234" s="191" t="s">
        <v>864</v>
      </c>
      <c r="E2234" s="213">
        <v>43211.0</v>
      </c>
      <c r="F2234" s="13" t="str">
        <f t="shared" si="192"/>
        <v>Apr-2018</v>
      </c>
      <c r="G2234" s="101" t="s">
        <v>20</v>
      </c>
      <c r="H2234" s="16" t="s">
        <v>287</v>
      </c>
      <c r="I2234" s="16" t="s">
        <v>866</v>
      </c>
      <c r="J2234" s="16" t="s">
        <v>27</v>
      </c>
      <c r="K2234" s="16" t="s">
        <v>9</v>
      </c>
      <c r="L2234" s="16" t="s">
        <v>30</v>
      </c>
      <c r="M2234" s="16" t="s">
        <v>30</v>
      </c>
      <c r="N2234" s="16" t="s">
        <v>98</v>
      </c>
      <c r="O2234" s="101"/>
      <c r="P2234" s="101"/>
      <c r="Q2234" s="102"/>
    </row>
    <row r="2235">
      <c r="A2235" s="213">
        <v>43211.0</v>
      </c>
      <c r="B2235" s="192" t="s">
        <v>272</v>
      </c>
      <c r="C2235" s="192" t="s">
        <v>116</v>
      </c>
      <c r="D2235" s="191" t="s">
        <v>864</v>
      </c>
      <c r="E2235" s="213">
        <v>43211.0</v>
      </c>
      <c r="F2235" s="13" t="str">
        <f t="shared" si="192"/>
        <v>Apr-2018</v>
      </c>
      <c r="G2235" s="101" t="s">
        <v>25</v>
      </c>
      <c r="H2235" s="16" t="s">
        <v>287</v>
      </c>
      <c r="I2235" s="16" t="s">
        <v>866</v>
      </c>
      <c r="J2235" s="16" t="s">
        <v>27</v>
      </c>
      <c r="K2235" s="16" t="s">
        <v>9</v>
      </c>
      <c r="L2235" s="16" t="s">
        <v>30</v>
      </c>
      <c r="M2235" s="16"/>
      <c r="N2235" s="16" t="s">
        <v>69</v>
      </c>
      <c r="O2235" s="101"/>
      <c r="P2235" s="101"/>
      <c r="Q2235" s="102"/>
    </row>
    <row r="2236">
      <c r="A2236" s="248" t="s">
        <v>867</v>
      </c>
      <c r="B2236" s="192" t="s">
        <v>272</v>
      </c>
      <c r="C2236" s="192" t="s">
        <v>116</v>
      </c>
      <c r="D2236" s="191" t="s">
        <v>864</v>
      </c>
      <c r="E2236" s="213">
        <v>43211.0</v>
      </c>
      <c r="F2236" s="13" t="str">
        <f t="shared" si="192"/>
        <v>Apr-2018</v>
      </c>
      <c r="G2236" s="32" t="s">
        <v>20</v>
      </c>
      <c r="H2236" s="25" t="s">
        <v>287</v>
      </c>
      <c r="I2236" s="25" t="s">
        <v>112</v>
      </c>
      <c r="J2236" s="25" t="s">
        <v>86</v>
      </c>
      <c r="K2236" s="25" t="s">
        <v>9</v>
      </c>
      <c r="L2236" s="25" t="s">
        <v>30</v>
      </c>
      <c r="M2236" s="25" t="s">
        <v>24</v>
      </c>
      <c r="N2236" s="25" t="s">
        <v>69</v>
      </c>
      <c r="Q2236" s="99"/>
    </row>
    <row r="2237">
      <c r="A2237" s="192" t="s">
        <v>868</v>
      </c>
      <c r="B2237" s="192" t="s">
        <v>272</v>
      </c>
      <c r="C2237" s="192" t="s">
        <v>116</v>
      </c>
      <c r="D2237" s="191" t="s">
        <v>864</v>
      </c>
      <c r="E2237" s="213">
        <v>43211.0</v>
      </c>
      <c r="F2237" s="13" t="str">
        <f t="shared" si="192"/>
        <v>Apr-2018</v>
      </c>
      <c r="G2237" s="32" t="s">
        <v>25</v>
      </c>
      <c r="H2237" s="25" t="s">
        <v>287</v>
      </c>
      <c r="I2237" s="25" t="s">
        <v>112</v>
      </c>
      <c r="J2237" s="25" t="s">
        <v>86</v>
      </c>
      <c r="K2237" s="25" t="s">
        <v>9</v>
      </c>
      <c r="L2237" s="25" t="s">
        <v>24</v>
      </c>
      <c r="M2237" s="25"/>
      <c r="N2237" s="25" t="s">
        <v>98</v>
      </c>
      <c r="Q2237" s="99"/>
    </row>
    <row r="2238">
      <c r="A2238" s="192" t="s">
        <v>116</v>
      </c>
      <c r="B2238" s="192" t="s">
        <v>272</v>
      </c>
      <c r="C2238" s="192" t="s">
        <v>116</v>
      </c>
      <c r="D2238" s="191" t="s">
        <v>864</v>
      </c>
      <c r="E2238" s="213">
        <v>43211.0</v>
      </c>
      <c r="F2238" s="13" t="str">
        <f t="shared" si="192"/>
        <v>Apr-2018</v>
      </c>
      <c r="G2238" s="32" t="s">
        <v>32</v>
      </c>
      <c r="H2238" s="25" t="s">
        <v>287</v>
      </c>
      <c r="I2238" s="25" t="s">
        <v>112</v>
      </c>
      <c r="J2238" s="25" t="s">
        <v>86</v>
      </c>
      <c r="K2238" s="25" t="s">
        <v>9</v>
      </c>
      <c r="L2238" s="25" t="s">
        <v>24</v>
      </c>
      <c r="M2238" s="25"/>
      <c r="N2238" s="25" t="s">
        <v>99</v>
      </c>
      <c r="Q2238" s="99"/>
    </row>
    <row r="2239">
      <c r="A2239" s="195"/>
      <c r="B2239" s="192" t="s">
        <v>272</v>
      </c>
      <c r="C2239" s="192" t="s">
        <v>116</v>
      </c>
      <c r="D2239" s="191" t="s">
        <v>864</v>
      </c>
      <c r="E2239" s="213">
        <v>43211.0</v>
      </c>
      <c r="F2239" s="13" t="str">
        <f t="shared" si="192"/>
        <v>Apr-2018</v>
      </c>
      <c r="G2239" s="19" t="s">
        <v>20</v>
      </c>
      <c r="H2239" s="16" t="s">
        <v>287</v>
      </c>
      <c r="I2239" s="16" t="s">
        <v>869</v>
      </c>
      <c r="J2239" s="16" t="s">
        <v>23</v>
      </c>
      <c r="K2239" s="16" t="s">
        <v>9</v>
      </c>
      <c r="L2239" s="16" t="s">
        <v>30</v>
      </c>
      <c r="M2239" s="16" t="s">
        <v>30</v>
      </c>
      <c r="N2239" s="16" t="s">
        <v>37</v>
      </c>
      <c r="O2239" s="101"/>
      <c r="P2239" s="101"/>
      <c r="Q2239" s="102"/>
    </row>
    <row r="2240">
      <c r="A2240" s="195"/>
      <c r="B2240" s="192" t="s">
        <v>272</v>
      </c>
      <c r="C2240" s="192" t="s">
        <v>116</v>
      </c>
      <c r="D2240" s="191" t="s">
        <v>864</v>
      </c>
      <c r="E2240" s="213">
        <v>43211.0</v>
      </c>
      <c r="F2240" s="13" t="str">
        <f t="shared" si="192"/>
        <v>Apr-2018</v>
      </c>
      <c r="G2240" s="19" t="s">
        <v>25</v>
      </c>
      <c r="H2240" s="16" t="s">
        <v>287</v>
      </c>
      <c r="I2240" s="16" t="s">
        <v>869</v>
      </c>
      <c r="J2240" s="16" t="s">
        <v>23</v>
      </c>
      <c r="K2240" s="16" t="s">
        <v>9</v>
      </c>
      <c r="L2240" s="16" t="s">
        <v>30</v>
      </c>
      <c r="M2240" s="16"/>
      <c r="N2240" s="16" t="s">
        <v>99</v>
      </c>
      <c r="O2240" s="101"/>
      <c r="P2240" s="101"/>
      <c r="Q2240" s="102"/>
    </row>
    <row r="2241">
      <c r="A2241" s="195"/>
      <c r="B2241" s="192" t="s">
        <v>272</v>
      </c>
      <c r="C2241" s="192" t="s">
        <v>116</v>
      </c>
      <c r="D2241" s="191" t="s">
        <v>864</v>
      </c>
      <c r="E2241" s="213">
        <v>43211.0</v>
      </c>
      <c r="F2241" s="13" t="str">
        <f t="shared" si="192"/>
        <v>Apr-2018</v>
      </c>
      <c r="G2241" s="32" t="s">
        <v>20</v>
      </c>
      <c r="H2241" s="25" t="s">
        <v>287</v>
      </c>
      <c r="I2241" s="25" t="s">
        <v>870</v>
      </c>
      <c r="J2241" s="25" t="s">
        <v>216</v>
      </c>
      <c r="K2241" s="25" t="s">
        <v>9</v>
      </c>
      <c r="L2241" s="25" t="s">
        <v>30</v>
      </c>
      <c r="M2241" s="25" t="s">
        <v>30</v>
      </c>
      <c r="N2241" s="25" t="s">
        <v>69</v>
      </c>
      <c r="Q2241" s="99"/>
    </row>
    <row r="2242">
      <c r="A2242" s="195"/>
      <c r="B2242" s="192" t="s">
        <v>272</v>
      </c>
      <c r="C2242" s="192" t="s">
        <v>116</v>
      </c>
      <c r="D2242" s="191" t="s">
        <v>864</v>
      </c>
      <c r="E2242" s="213">
        <v>43211.0</v>
      </c>
      <c r="F2242" s="13" t="str">
        <f t="shared" si="192"/>
        <v>Apr-2018</v>
      </c>
      <c r="G2242" s="32" t="s">
        <v>25</v>
      </c>
      <c r="H2242" s="25" t="s">
        <v>287</v>
      </c>
      <c r="I2242" s="25" t="s">
        <v>870</v>
      </c>
      <c r="J2242" s="25" t="s">
        <v>23</v>
      </c>
      <c r="K2242" s="25" t="s">
        <v>9</v>
      </c>
      <c r="L2242" s="25" t="s">
        <v>30</v>
      </c>
      <c r="M2242" s="25"/>
      <c r="N2242" s="25" t="s">
        <v>98</v>
      </c>
      <c r="Q2242" s="99"/>
    </row>
    <row r="2243">
      <c r="A2243" s="195"/>
      <c r="B2243" s="192" t="s">
        <v>272</v>
      </c>
      <c r="C2243" s="192" t="s">
        <v>116</v>
      </c>
      <c r="D2243" s="191" t="s">
        <v>864</v>
      </c>
      <c r="E2243" s="213">
        <v>43211.0</v>
      </c>
      <c r="F2243" s="13" t="str">
        <f t="shared" si="192"/>
        <v>Apr-2018</v>
      </c>
      <c r="G2243" s="19" t="s">
        <v>20</v>
      </c>
      <c r="H2243" s="16" t="s">
        <v>287</v>
      </c>
      <c r="I2243" s="16" t="s">
        <v>520</v>
      </c>
      <c r="J2243" s="16" t="s">
        <v>27</v>
      </c>
      <c r="K2243" s="16" t="s">
        <v>9</v>
      </c>
      <c r="L2243" s="16" t="s">
        <v>30</v>
      </c>
      <c r="M2243" s="16" t="s">
        <v>30</v>
      </c>
      <c r="N2243" s="16" t="s">
        <v>69</v>
      </c>
      <c r="O2243" s="101"/>
      <c r="P2243" s="101"/>
      <c r="Q2243" s="102"/>
    </row>
    <row r="2244">
      <c r="A2244" s="195"/>
      <c r="B2244" s="192" t="s">
        <v>272</v>
      </c>
      <c r="C2244" s="192" t="s">
        <v>116</v>
      </c>
      <c r="D2244" s="191" t="s">
        <v>864</v>
      </c>
      <c r="E2244" s="213">
        <v>43211.0</v>
      </c>
      <c r="F2244" s="13" t="str">
        <f t="shared" si="192"/>
        <v>Apr-2018</v>
      </c>
      <c r="G2244" s="19" t="s">
        <v>25</v>
      </c>
      <c r="H2244" s="16" t="s">
        <v>287</v>
      </c>
      <c r="I2244" s="16" t="s">
        <v>520</v>
      </c>
      <c r="J2244" s="16" t="s">
        <v>27</v>
      </c>
      <c r="K2244" s="16" t="s">
        <v>9</v>
      </c>
      <c r="L2244" s="16" t="s">
        <v>30</v>
      </c>
      <c r="M2244" s="16"/>
      <c r="N2244" s="16" t="s">
        <v>106</v>
      </c>
      <c r="O2244" s="101"/>
      <c r="P2244" s="101"/>
      <c r="Q2244" s="102"/>
    </row>
    <row r="2245">
      <c r="A2245" s="195"/>
      <c r="B2245" s="192" t="s">
        <v>272</v>
      </c>
      <c r="C2245" s="192" t="s">
        <v>116</v>
      </c>
      <c r="D2245" s="191" t="s">
        <v>864</v>
      </c>
      <c r="E2245" s="213">
        <v>43211.0</v>
      </c>
      <c r="F2245" s="13" t="str">
        <f t="shared" si="192"/>
        <v>Apr-2018</v>
      </c>
      <c r="G2245" s="32" t="s">
        <v>20</v>
      </c>
      <c r="H2245" s="24" t="s">
        <v>35</v>
      </c>
      <c r="I2245" s="25" t="s">
        <v>472</v>
      </c>
      <c r="J2245" s="25" t="s">
        <v>71</v>
      </c>
      <c r="K2245" s="25" t="s">
        <v>9</v>
      </c>
      <c r="L2245" s="25" t="s">
        <v>24</v>
      </c>
      <c r="M2245" s="25" t="s">
        <v>24</v>
      </c>
      <c r="N2245" s="25" t="s">
        <v>98</v>
      </c>
      <c r="Q2245" s="99"/>
    </row>
    <row r="2246">
      <c r="A2246" s="195"/>
      <c r="B2246" s="192" t="s">
        <v>272</v>
      </c>
      <c r="C2246" s="192" t="s">
        <v>116</v>
      </c>
      <c r="D2246" s="191" t="s">
        <v>864</v>
      </c>
      <c r="E2246" s="213">
        <v>43211.0</v>
      </c>
      <c r="F2246" s="13" t="str">
        <f t="shared" si="192"/>
        <v>Apr-2018</v>
      </c>
      <c r="G2246" s="32" t="s">
        <v>25</v>
      </c>
      <c r="H2246" s="24" t="s">
        <v>35</v>
      </c>
      <c r="I2246" s="25" t="s">
        <v>472</v>
      </c>
      <c r="J2246" s="25" t="s">
        <v>71</v>
      </c>
      <c r="K2246" s="25" t="s">
        <v>9</v>
      </c>
      <c r="L2246" s="25" t="s">
        <v>24</v>
      </c>
      <c r="M2246" s="25"/>
      <c r="N2246" s="25" t="s">
        <v>106</v>
      </c>
      <c r="Q2246" s="99"/>
    </row>
    <row r="2247">
      <c r="A2247" s="195"/>
      <c r="B2247" s="192" t="s">
        <v>272</v>
      </c>
      <c r="C2247" s="192" t="s">
        <v>116</v>
      </c>
      <c r="D2247" s="191" t="s">
        <v>864</v>
      </c>
      <c r="E2247" s="213">
        <v>43211.0</v>
      </c>
      <c r="F2247" s="13" t="str">
        <f t="shared" si="192"/>
        <v>Apr-2018</v>
      </c>
      <c r="G2247" s="19" t="s">
        <v>20</v>
      </c>
      <c r="H2247" s="15" t="s">
        <v>35</v>
      </c>
      <c r="I2247" s="16" t="s">
        <v>793</v>
      </c>
      <c r="J2247" s="16" t="s">
        <v>71</v>
      </c>
      <c r="K2247" s="16" t="s">
        <v>9</v>
      </c>
      <c r="L2247" s="16" t="s">
        <v>30</v>
      </c>
      <c r="M2247" s="16" t="s">
        <v>30</v>
      </c>
      <c r="N2247" s="16" t="s">
        <v>99</v>
      </c>
      <c r="O2247" s="101"/>
      <c r="P2247" s="101"/>
      <c r="Q2247" s="102"/>
    </row>
    <row r="2248">
      <c r="A2248" s="195"/>
      <c r="B2248" s="192" t="s">
        <v>272</v>
      </c>
      <c r="C2248" s="192" t="s">
        <v>116</v>
      </c>
      <c r="D2248" s="191" t="s">
        <v>864</v>
      </c>
      <c r="E2248" s="213">
        <v>43211.0</v>
      </c>
      <c r="F2248" s="13" t="str">
        <f t="shared" si="192"/>
        <v>Apr-2018</v>
      </c>
      <c r="G2248" s="19" t="s">
        <v>25</v>
      </c>
      <c r="H2248" s="15" t="s">
        <v>35</v>
      </c>
      <c r="I2248" s="16" t="s">
        <v>793</v>
      </c>
      <c r="J2248" s="16" t="s">
        <v>71</v>
      </c>
      <c r="K2248" s="16" t="s">
        <v>9</v>
      </c>
      <c r="L2248" s="16" t="s">
        <v>30</v>
      </c>
      <c r="M2248" s="16"/>
      <c r="N2248" s="16" t="s">
        <v>98</v>
      </c>
      <c r="O2248" s="101"/>
      <c r="P2248" s="101"/>
      <c r="Q2248" s="102"/>
    </row>
    <row r="2249">
      <c r="A2249" s="195"/>
      <c r="B2249" s="192" t="s">
        <v>272</v>
      </c>
      <c r="C2249" s="192" t="s">
        <v>116</v>
      </c>
      <c r="D2249" s="191" t="s">
        <v>864</v>
      </c>
      <c r="E2249" s="213">
        <v>43211.0</v>
      </c>
      <c r="F2249" s="13" t="str">
        <f t="shared" si="192"/>
        <v>Apr-2018</v>
      </c>
      <c r="G2249" s="32" t="s">
        <v>20</v>
      </c>
      <c r="H2249" s="24" t="s">
        <v>35</v>
      </c>
      <c r="I2249" s="25">
        <v>248.0</v>
      </c>
      <c r="J2249" s="25" t="s">
        <v>27</v>
      </c>
      <c r="K2249" s="25" t="s">
        <v>9</v>
      </c>
      <c r="L2249" s="25" t="s">
        <v>30</v>
      </c>
      <c r="M2249" s="25" t="s">
        <v>30</v>
      </c>
      <c r="N2249" s="25" t="s">
        <v>37</v>
      </c>
      <c r="Q2249" s="99"/>
    </row>
    <row r="2250">
      <c r="A2250" s="195"/>
      <c r="B2250" s="192" t="s">
        <v>272</v>
      </c>
      <c r="C2250" s="192" t="s">
        <v>116</v>
      </c>
      <c r="D2250" s="191" t="s">
        <v>864</v>
      </c>
      <c r="E2250" s="213">
        <v>43211.0</v>
      </c>
      <c r="F2250" s="13" t="str">
        <f t="shared" si="192"/>
        <v>Apr-2018</v>
      </c>
      <c r="G2250" s="32" t="s">
        <v>25</v>
      </c>
      <c r="H2250" s="24" t="s">
        <v>35</v>
      </c>
      <c r="I2250" s="25">
        <v>248.0</v>
      </c>
      <c r="J2250" s="25" t="s">
        <v>27</v>
      </c>
      <c r="K2250" s="25" t="s">
        <v>9</v>
      </c>
      <c r="L2250" s="25" t="s">
        <v>24</v>
      </c>
      <c r="M2250" s="25"/>
      <c r="N2250" s="25" t="s">
        <v>106</v>
      </c>
      <c r="Q2250" s="99"/>
    </row>
    <row r="2251">
      <c r="A2251" s="195"/>
      <c r="B2251" s="192" t="s">
        <v>272</v>
      </c>
      <c r="C2251" s="192" t="s">
        <v>116</v>
      </c>
      <c r="D2251" s="191" t="s">
        <v>864</v>
      </c>
      <c r="E2251" s="213">
        <v>43211.0</v>
      </c>
      <c r="F2251" s="13" t="str">
        <f t="shared" si="192"/>
        <v>Apr-2018</v>
      </c>
      <c r="G2251" s="32" t="s">
        <v>32</v>
      </c>
      <c r="H2251" s="24" t="s">
        <v>35</v>
      </c>
      <c r="I2251" s="25">
        <v>248.0</v>
      </c>
      <c r="J2251" s="25" t="s">
        <v>27</v>
      </c>
      <c r="K2251" s="25" t="s">
        <v>9</v>
      </c>
      <c r="L2251" s="25" t="s">
        <v>30</v>
      </c>
      <c r="M2251" s="25"/>
      <c r="N2251" s="25" t="s">
        <v>69</v>
      </c>
      <c r="Q2251" s="99"/>
    </row>
    <row r="2252">
      <c r="A2252" s="195"/>
      <c r="B2252" s="192" t="s">
        <v>272</v>
      </c>
      <c r="C2252" s="192" t="s">
        <v>116</v>
      </c>
      <c r="D2252" s="191" t="s">
        <v>864</v>
      </c>
      <c r="E2252" s="213">
        <v>43211.0</v>
      </c>
      <c r="F2252" s="13" t="str">
        <f t="shared" si="192"/>
        <v>Apr-2018</v>
      </c>
      <c r="G2252" s="19" t="s">
        <v>20</v>
      </c>
      <c r="H2252" s="15" t="s">
        <v>35</v>
      </c>
      <c r="I2252" s="16" t="s">
        <v>771</v>
      </c>
      <c r="J2252" s="16" t="s">
        <v>64</v>
      </c>
      <c r="K2252" s="16" t="s">
        <v>9</v>
      </c>
      <c r="L2252" s="16" t="s">
        <v>30</v>
      </c>
      <c r="M2252" s="16" t="s">
        <v>30</v>
      </c>
      <c r="N2252" s="16" t="s">
        <v>98</v>
      </c>
      <c r="O2252" s="101"/>
      <c r="P2252" s="101"/>
      <c r="Q2252" s="102"/>
    </row>
    <row r="2253">
      <c r="A2253" s="195"/>
      <c r="B2253" s="192" t="s">
        <v>272</v>
      </c>
      <c r="C2253" s="192" t="s">
        <v>116</v>
      </c>
      <c r="D2253" s="191" t="s">
        <v>864</v>
      </c>
      <c r="E2253" s="213">
        <v>43211.0</v>
      </c>
      <c r="F2253" s="13" t="str">
        <f t="shared" si="192"/>
        <v>Apr-2018</v>
      </c>
      <c r="G2253" s="19" t="s">
        <v>25</v>
      </c>
      <c r="H2253" s="15" t="s">
        <v>35</v>
      </c>
      <c r="I2253" s="16" t="s">
        <v>771</v>
      </c>
      <c r="J2253" s="16" t="s">
        <v>64</v>
      </c>
      <c r="K2253" s="16" t="s">
        <v>9</v>
      </c>
      <c r="L2253" s="16" t="s">
        <v>24</v>
      </c>
      <c r="M2253" s="16"/>
      <c r="N2253" s="16" t="s">
        <v>98</v>
      </c>
      <c r="O2253" s="101"/>
      <c r="P2253" s="101"/>
      <c r="Q2253" s="102"/>
    </row>
    <row r="2254">
      <c r="A2254" s="195"/>
      <c r="B2254" s="192" t="s">
        <v>272</v>
      </c>
      <c r="C2254" s="192" t="s">
        <v>116</v>
      </c>
      <c r="D2254" s="191" t="s">
        <v>864</v>
      </c>
      <c r="E2254" s="213">
        <v>43211.0</v>
      </c>
      <c r="F2254" s="13" t="str">
        <f t="shared" si="192"/>
        <v>Apr-2018</v>
      </c>
      <c r="G2254" s="19" t="s">
        <v>32</v>
      </c>
      <c r="H2254" s="15" t="s">
        <v>35</v>
      </c>
      <c r="I2254" s="16" t="s">
        <v>771</v>
      </c>
      <c r="J2254" s="16" t="s">
        <v>64</v>
      </c>
      <c r="K2254" s="16" t="s">
        <v>9</v>
      </c>
      <c r="L2254" s="16" t="s">
        <v>30</v>
      </c>
      <c r="M2254" s="16"/>
      <c r="N2254" s="16" t="s">
        <v>106</v>
      </c>
      <c r="O2254" s="101"/>
      <c r="P2254" s="101"/>
      <c r="Q2254" s="102"/>
    </row>
    <row r="2255">
      <c r="A2255" s="195"/>
      <c r="B2255" s="192" t="s">
        <v>272</v>
      </c>
      <c r="C2255" s="192" t="s">
        <v>116</v>
      </c>
      <c r="D2255" s="191" t="s">
        <v>864</v>
      </c>
      <c r="E2255" s="213">
        <v>43211.0</v>
      </c>
      <c r="F2255" s="13" t="str">
        <f t="shared" si="192"/>
        <v>Apr-2018</v>
      </c>
      <c r="G2255" s="264" t="s">
        <v>146</v>
      </c>
      <c r="H2255" s="24" t="s">
        <v>35</v>
      </c>
      <c r="I2255" s="25" t="s">
        <v>871</v>
      </c>
      <c r="J2255" s="25" t="s">
        <v>138</v>
      </c>
      <c r="K2255" s="25" t="s">
        <v>9</v>
      </c>
      <c r="L2255" s="25" t="s">
        <v>30</v>
      </c>
      <c r="M2255" s="25" t="s">
        <v>30</v>
      </c>
      <c r="N2255" s="25" t="s">
        <v>37</v>
      </c>
      <c r="Q2255" s="99"/>
    </row>
    <row r="2256">
      <c r="A2256" s="195"/>
      <c r="B2256" s="192" t="s">
        <v>272</v>
      </c>
      <c r="C2256" s="192" t="s">
        <v>116</v>
      </c>
      <c r="D2256" s="191" t="s">
        <v>864</v>
      </c>
      <c r="E2256" s="213">
        <v>43211.0</v>
      </c>
      <c r="F2256" s="13" t="str">
        <f t="shared" si="192"/>
        <v>Apr-2018</v>
      </c>
      <c r="G2256" s="264" t="s">
        <v>149</v>
      </c>
      <c r="H2256" s="24" t="s">
        <v>35</v>
      </c>
      <c r="I2256" s="25" t="s">
        <v>871</v>
      </c>
      <c r="J2256" s="25" t="s">
        <v>138</v>
      </c>
      <c r="K2256" s="25" t="s">
        <v>9</v>
      </c>
      <c r="L2256" s="25" t="s">
        <v>24</v>
      </c>
      <c r="M2256" s="25"/>
      <c r="N2256" s="25" t="s">
        <v>106</v>
      </c>
      <c r="Q2256" s="99"/>
    </row>
    <row r="2257">
      <c r="A2257" s="195"/>
      <c r="B2257" s="192" t="s">
        <v>272</v>
      </c>
      <c r="C2257" s="192" t="s">
        <v>116</v>
      </c>
      <c r="D2257" s="191" t="s">
        <v>864</v>
      </c>
      <c r="E2257" s="213">
        <v>43211.0</v>
      </c>
      <c r="F2257" s="13" t="str">
        <f t="shared" si="192"/>
        <v>Apr-2018</v>
      </c>
      <c r="G2257" s="264" t="s">
        <v>222</v>
      </c>
      <c r="H2257" s="24" t="s">
        <v>35</v>
      </c>
      <c r="I2257" s="25" t="s">
        <v>871</v>
      </c>
      <c r="J2257" s="25" t="s">
        <v>138</v>
      </c>
      <c r="K2257" s="25" t="s">
        <v>9</v>
      </c>
      <c r="L2257" s="25" t="s">
        <v>30</v>
      </c>
      <c r="M2257" s="25"/>
      <c r="N2257" s="25" t="s">
        <v>69</v>
      </c>
      <c r="Q2257" s="99"/>
    </row>
    <row r="2258">
      <c r="A2258" s="195"/>
      <c r="B2258" s="192" t="s">
        <v>272</v>
      </c>
      <c r="C2258" s="192" t="s">
        <v>116</v>
      </c>
      <c r="D2258" s="191" t="s">
        <v>864</v>
      </c>
      <c r="E2258" s="213">
        <v>43211.0</v>
      </c>
      <c r="F2258" s="13" t="str">
        <f t="shared" si="192"/>
        <v>Apr-2018</v>
      </c>
      <c r="G2258" s="264" t="s">
        <v>467</v>
      </c>
      <c r="H2258" s="24" t="s">
        <v>35</v>
      </c>
      <c r="I2258" s="25" t="s">
        <v>871</v>
      </c>
      <c r="J2258" s="25" t="s">
        <v>138</v>
      </c>
      <c r="K2258" s="25" t="s">
        <v>9</v>
      </c>
      <c r="L2258" s="25" t="s">
        <v>24</v>
      </c>
      <c r="M2258" s="25"/>
      <c r="N2258" s="25" t="s">
        <v>29</v>
      </c>
      <c r="Q2258" s="99"/>
    </row>
    <row r="2259">
      <c r="A2259" s="195"/>
      <c r="B2259" s="192" t="s">
        <v>272</v>
      </c>
      <c r="C2259" s="192" t="s">
        <v>116</v>
      </c>
      <c r="D2259" s="191" t="s">
        <v>864</v>
      </c>
      <c r="E2259" s="213">
        <v>43211.0</v>
      </c>
      <c r="F2259" s="13" t="str">
        <f t="shared" si="192"/>
        <v>Apr-2018</v>
      </c>
      <c r="G2259" s="25" t="s">
        <v>480</v>
      </c>
      <c r="H2259" s="24" t="s">
        <v>35</v>
      </c>
      <c r="I2259" s="25" t="s">
        <v>871</v>
      </c>
      <c r="J2259" s="25" t="s">
        <v>138</v>
      </c>
      <c r="K2259" s="25" t="s">
        <v>9</v>
      </c>
      <c r="L2259" s="25" t="s">
        <v>30</v>
      </c>
      <c r="M2259" s="25"/>
      <c r="N2259" s="25" t="s">
        <v>98</v>
      </c>
      <c r="Q2259" s="99"/>
    </row>
    <row r="2260">
      <c r="A2260" s="195"/>
      <c r="B2260" s="192" t="s">
        <v>272</v>
      </c>
      <c r="C2260" s="192" t="s">
        <v>116</v>
      </c>
      <c r="D2260" s="191" t="s">
        <v>864</v>
      </c>
      <c r="E2260" s="213">
        <v>43211.0</v>
      </c>
      <c r="F2260" s="13" t="str">
        <f t="shared" si="192"/>
        <v>Apr-2018</v>
      </c>
      <c r="G2260" s="263" t="s">
        <v>146</v>
      </c>
      <c r="H2260" s="15" t="s">
        <v>35</v>
      </c>
      <c r="I2260" s="16" t="s">
        <v>148</v>
      </c>
      <c r="J2260" s="16" t="s">
        <v>27</v>
      </c>
      <c r="K2260" s="16" t="s">
        <v>9</v>
      </c>
      <c r="L2260" s="16" t="s">
        <v>30</v>
      </c>
      <c r="M2260" s="16" t="s">
        <v>24</v>
      </c>
      <c r="N2260" s="16" t="s">
        <v>69</v>
      </c>
      <c r="O2260" s="101"/>
      <c r="P2260" s="101"/>
      <c r="Q2260" s="102"/>
    </row>
    <row r="2261">
      <c r="A2261" s="195"/>
      <c r="B2261" s="192" t="s">
        <v>272</v>
      </c>
      <c r="C2261" s="192" t="s">
        <v>116</v>
      </c>
      <c r="D2261" s="191" t="s">
        <v>864</v>
      </c>
      <c r="E2261" s="213">
        <v>43211.0</v>
      </c>
      <c r="F2261" s="13" t="str">
        <f t="shared" si="192"/>
        <v>Apr-2018</v>
      </c>
      <c r="G2261" s="263" t="s">
        <v>149</v>
      </c>
      <c r="H2261" s="15" t="s">
        <v>35</v>
      </c>
      <c r="I2261" s="16" t="s">
        <v>148</v>
      </c>
      <c r="J2261" s="16" t="s">
        <v>27</v>
      </c>
      <c r="K2261" s="16" t="s">
        <v>9</v>
      </c>
      <c r="L2261" s="16" t="s">
        <v>30</v>
      </c>
      <c r="M2261" s="16"/>
      <c r="N2261" s="16" t="s">
        <v>29</v>
      </c>
      <c r="O2261" s="101"/>
      <c r="P2261" s="101"/>
      <c r="Q2261" s="102"/>
    </row>
    <row r="2262">
      <c r="A2262" s="195"/>
      <c r="B2262" s="192" t="s">
        <v>272</v>
      </c>
      <c r="C2262" s="192" t="s">
        <v>116</v>
      </c>
      <c r="D2262" s="191" t="s">
        <v>864</v>
      </c>
      <c r="E2262" s="213">
        <v>43211.0</v>
      </c>
      <c r="F2262" s="13" t="str">
        <f t="shared" si="192"/>
        <v>Apr-2018</v>
      </c>
      <c r="G2262" s="263" t="s">
        <v>222</v>
      </c>
      <c r="H2262" s="15" t="s">
        <v>35</v>
      </c>
      <c r="I2262" s="16" t="s">
        <v>148</v>
      </c>
      <c r="J2262" s="16" t="s">
        <v>9</v>
      </c>
      <c r="K2262" s="16" t="s">
        <v>9</v>
      </c>
      <c r="L2262" s="16" t="s">
        <v>24</v>
      </c>
      <c r="M2262" s="16"/>
      <c r="N2262" s="16" t="s">
        <v>29</v>
      </c>
      <c r="O2262" s="101"/>
      <c r="P2262" s="101"/>
      <c r="Q2262" s="102"/>
    </row>
    <row r="2263">
      <c r="A2263" s="195"/>
      <c r="B2263" s="192" t="s">
        <v>272</v>
      </c>
      <c r="C2263" s="192" t="s">
        <v>116</v>
      </c>
      <c r="D2263" s="191" t="s">
        <v>864</v>
      </c>
      <c r="E2263" s="213">
        <v>43211.0</v>
      </c>
      <c r="F2263" s="13" t="str">
        <f t="shared" si="192"/>
        <v>Apr-2018</v>
      </c>
      <c r="G2263" s="263" t="s">
        <v>467</v>
      </c>
      <c r="H2263" s="15" t="s">
        <v>35</v>
      </c>
      <c r="I2263" s="16" t="s">
        <v>148</v>
      </c>
      <c r="J2263" s="16" t="s">
        <v>27</v>
      </c>
      <c r="K2263" s="16" t="s">
        <v>9</v>
      </c>
      <c r="L2263" s="16" t="s">
        <v>24</v>
      </c>
      <c r="M2263" s="16"/>
      <c r="N2263" s="16" t="s">
        <v>106</v>
      </c>
      <c r="O2263" s="101"/>
      <c r="P2263" s="101"/>
      <c r="Q2263" s="102"/>
    </row>
    <row r="2264">
      <c r="A2264" s="196"/>
      <c r="B2264" s="192" t="s">
        <v>272</v>
      </c>
      <c r="C2264" s="192" t="s">
        <v>116</v>
      </c>
      <c r="D2264" s="191" t="s">
        <v>864</v>
      </c>
      <c r="E2264" s="213">
        <v>43211.0</v>
      </c>
      <c r="F2264" s="13" t="str">
        <f t="shared" si="192"/>
        <v>Apr-2018</v>
      </c>
      <c r="G2264" s="38" t="s">
        <v>480</v>
      </c>
      <c r="H2264" s="37" t="s">
        <v>35</v>
      </c>
      <c r="I2264" s="38" t="s">
        <v>148</v>
      </c>
      <c r="J2264" s="38" t="s">
        <v>27</v>
      </c>
      <c r="K2264" s="38" t="s">
        <v>9</v>
      </c>
      <c r="L2264" s="38" t="s">
        <v>24</v>
      </c>
      <c r="M2264" s="38"/>
      <c r="N2264" s="38" t="s">
        <v>98</v>
      </c>
      <c r="O2264" s="105"/>
      <c r="P2264" s="105"/>
      <c r="Q2264" s="106"/>
    </row>
    <row r="2265">
      <c r="A2265" s="94"/>
    </row>
    <row r="2266">
      <c r="A2266" s="209" t="s">
        <v>872</v>
      </c>
      <c r="B2266" s="210" t="s">
        <v>433</v>
      </c>
      <c r="C2266" s="210" t="s">
        <v>84</v>
      </c>
      <c r="D2266" s="209" t="s">
        <v>872</v>
      </c>
      <c r="E2266" s="268">
        <v>43219.0</v>
      </c>
      <c r="F2266" s="110" t="str">
        <f t="shared" ref="F2266:F2278" si="193">TEXT(E2258:E2266, "mmm") &amp; "-" &amp; TEXT(E2258:E2266, "yyyy") </f>
        <v>Apr-2018</v>
      </c>
      <c r="G2266" s="269" t="s">
        <v>146</v>
      </c>
      <c r="H2266" s="72" t="s">
        <v>35</v>
      </c>
      <c r="I2266" s="73" t="s">
        <v>633</v>
      </c>
      <c r="J2266" s="73" t="s">
        <v>27</v>
      </c>
      <c r="K2266" s="73" t="s">
        <v>9</v>
      </c>
      <c r="L2266" s="73" t="s">
        <v>30</v>
      </c>
      <c r="M2266" s="73" t="s">
        <v>30</v>
      </c>
      <c r="N2266" s="73" t="s">
        <v>69</v>
      </c>
      <c r="O2266" s="165"/>
      <c r="P2266" s="165"/>
      <c r="Q2266" s="166"/>
    </row>
    <row r="2267">
      <c r="A2267" s="210" t="s">
        <v>433</v>
      </c>
      <c r="B2267" s="210" t="s">
        <v>433</v>
      </c>
      <c r="C2267" s="210" t="s">
        <v>84</v>
      </c>
      <c r="D2267" s="209" t="s">
        <v>872</v>
      </c>
      <c r="E2267" s="270">
        <v>43219.0</v>
      </c>
      <c r="F2267" s="13" t="str">
        <f t="shared" si="193"/>
        <v>Apr-2018</v>
      </c>
      <c r="G2267" s="264" t="s">
        <v>149</v>
      </c>
      <c r="H2267" s="24" t="s">
        <v>35</v>
      </c>
      <c r="I2267" s="25" t="s">
        <v>633</v>
      </c>
      <c r="J2267" s="25" t="s">
        <v>27</v>
      </c>
      <c r="K2267" s="25" t="s">
        <v>9</v>
      </c>
      <c r="L2267" s="25" t="s">
        <v>24</v>
      </c>
      <c r="M2267" s="25"/>
      <c r="N2267" s="25" t="s">
        <v>99</v>
      </c>
      <c r="Q2267" s="99"/>
    </row>
    <row r="2268">
      <c r="A2268" s="210" t="s">
        <v>873</v>
      </c>
      <c r="B2268" s="210" t="s">
        <v>433</v>
      </c>
      <c r="C2268" s="210" t="s">
        <v>84</v>
      </c>
      <c r="D2268" s="209" t="s">
        <v>872</v>
      </c>
      <c r="E2268" s="270">
        <v>43219.0</v>
      </c>
      <c r="F2268" s="13" t="str">
        <f t="shared" si="193"/>
        <v>Apr-2018</v>
      </c>
      <c r="G2268" s="264" t="s">
        <v>222</v>
      </c>
      <c r="H2268" s="24" t="s">
        <v>35</v>
      </c>
      <c r="I2268" s="25" t="s">
        <v>633</v>
      </c>
      <c r="J2268" s="25" t="s">
        <v>27</v>
      </c>
      <c r="K2268" s="25" t="s">
        <v>9</v>
      </c>
      <c r="L2268" s="25" t="s">
        <v>30</v>
      </c>
      <c r="M2268" s="25"/>
      <c r="N2268" s="25" t="s">
        <v>98</v>
      </c>
      <c r="Q2268" s="99"/>
    </row>
    <row r="2269">
      <c r="A2269" s="271">
        <v>43219.0</v>
      </c>
      <c r="B2269" s="210" t="s">
        <v>433</v>
      </c>
      <c r="C2269" s="210" t="s">
        <v>84</v>
      </c>
      <c r="D2269" s="209" t="s">
        <v>872</v>
      </c>
      <c r="E2269" s="270">
        <v>43219.0</v>
      </c>
      <c r="F2269" s="13" t="str">
        <f t="shared" si="193"/>
        <v>Apr-2018</v>
      </c>
      <c r="G2269" s="264" t="s">
        <v>467</v>
      </c>
      <c r="H2269" s="24" t="s">
        <v>35</v>
      </c>
      <c r="I2269" s="25" t="s">
        <v>633</v>
      </c>
      <c r="J2269" s="25" t="s">
        <v>27</v>
      </c>
      <c r="K2269" s="25" t="s">
        <v>9</v>
      </c>
      <c r="L2269" s="25" t="s">
        <v>30</v>
      </c>
      <c r="M2269" s="25"/>
      <c r="N2269" s="25" t="s">
        <v>29</v>
      </c>
      <c r="Q2269" s="99"/>
    </row>
    <row r="2270">
      <c r="A2270" s="210" t="s">
        <v>84</v>
      </c>
      <c r="B2270" s="210" t="s">
        <v>433</v>
      </c>
      <c r="C2270" s="210" t="s">
        <v>84</v>
      </c>
      <c r="D2270" s="209" t="s">
        <v>872</v>
      </c>
      <c r="E2270" s="270">
        <v>43219.0</v>
      </c>
      <c r="F2270" s="13" t="str">
        <f t="shared" si="193"/>
        <v>Apr-2018</v>
      </c>
      <c r="G2270" s="263" t="s">
        <v>146</v>
      </c>
      <c r="H2270" s="15" t="s">
        <v>35</v>
      </c>
      <c r="I2270" s="16" t="s">
        <v>194</v>
      </c>
      <c r="J2270" s="16" t="s">
        <v>23</v>
      </c>
      <c r="K2270" s="16" t="s">
        <v>9</v>
      </c>
      <c r="L2270" s="16" t="s">
        <v>24</v>
      </c>
      <c r="M2270" s="16" t="s">
        <v>24</v>
      </c>
      <c r="N2270" s="16" t="s">
        <v>37</v>
      </c>
      <c r="O2270" s="101"/>
      <c r="P2270" s="101"/>
      <c r="Q2270" s="102"/>
    </row>
    <row r="2271">
      <c r="A2271" s="272"/>
      <c r="B2271" s="210" t="s">
        <v>433</v>
      </c>
      <c r="C2271" s="210" t="s">
        <v>84</v>
      </c>
      <c r="D2271" s="209" t="s">
        <v>872</v>
      </c>
      <c r="E2271" s="270">
        <v>43219.0</v>
      </c>
      <c r="F2271" s="13" t="str">
        <f t="shared" si="193"/>
        <v>Apr-2018</v>
      </c>
      <c r="G2271" s="263" t="s">
        <v>149</v>
      </c>
      <c r="H2271" s="15" t="s">
        <v>35</v>
      </c>
      <c r="I2271" s="16" t="s">
        <v>194</v>
      </c>
      <c r="J2271" s="16" t="s">
        <v>23</v>
      </c>
      <c r="K2271" s="16" t="s">
        <v>9</v>
      </c>
      <c r="L2271" s="16" t="s">
        <v>24</v>
      </c>
      <c r="M2271" s="16"/>
      <c r="N2271" s="16" t="s">
        <v>29</v>
      </c>
      <c r="O2271" s="101"/>
      <c r="P2271" s="101"/>
      <c r="Q2271" s="102"/>
    </row>
    <row r="2272">
      <c r="A2272" s="272"/>
      <c r="B2272" s="210" t="s">
        <v>433</v>
      </c>
      <c r="C2272" s="210" t="s">
        <v>84</v>
      </c>
      <c r="D2272" s="209" t="s">
        <v>872</v>
      </c>
      <c r="E2272" s="270">
        <v>43219.0</v>
      </c>
      <c r="F2272" s="13" t="str">
        <f t="shared" si="193"/>
        <v>Apr-2018</v>
      </c>
      <c r="G2272" s="263" t="s">
        <v>222</v>
      </c>
      <c r="H2272" s="15" t="s">
        <v>35</v>
      </c>
      <c r="I2272" s="16" t="s">
        <v>194</v>
      </c>
      <c r="J2272" s="16" t="s">
        <v>23</v>
      </c>
      <c r="K2272" s="16" t="s">
        <v>9</v>
      </c>
      <c r="L2272" s="16" t="s">
        <v>24</v>
      </c>
      <c r="M2272" s="16"/>
      <c r="N2272" s="16" t="s">
        <v>106</v>
      </c>
      <c r="O2272" s="101"/>
      <c r="P2272" s="101"/>
      <c r="Q2272" s="102"/>
    </row>
    <row r="2273">
      <c r="A2273" s="272"/>
      <c r="B2273" s="210" t="s">
        <v>433</v>
      </c>
      <c r="C2273" s="210" t="s">
        <v>84</v>
      </c>
      <c r="D2273" s="209" t="s">
        <v>872</v>
      </c>
      <c r="E2273" s="270">
        <v>43219.0</v>
      </c>
      <c r="F2273" s="13" t="str">
        <f t="shared" si="193"/>
        <v>Apr-2018</v>
      </c>
      <c r="G2273" s="264" t="s">
        <v>146</v>
      </c>
      <c r="H2273" s="24" t="s">
        <v>35</v>
      </c>
      <c r="I2273" s="25" t="s">
        <v>378</v>
      </c>
      <c r="J2273" s="25" t="s">
        <v>27</v>
      </c>
      <c r="K2273" s="25" t="s">
        <v>9</v>
      </c>
      <c r="L2273" s="25" t="s">
        <v>30</v>
      </c>
      <c r="M2273" s="25" t="s">
        <v>30</v>
      </c>
      <c r="N2273" s="25" t="s">
        <v>98</v>
      </c>
      <c r="Q2273" s="99"/>
    </row>
    <row r="2274">
      <c r="A2274" s="272"/>
      <c r="B2274" s="210" t="s">
        <v>433</v>
      </c>
      <c r="C2274" s="210" t="s">
        <v>84</v>
      </c>
      <c r="D2274" s="209" t="s">
        <v>872</v>
      </c>
      <c r="E2274" s="270">
        <v>43219.0</v>
      </c>
      <c r="F2274" s="13" t="str">
        <f t="shared" si="193"/>
        <v>Apr-2018</v>
      </c>
      <c r="G2274" s="264" t="s">
        <v>149</v>
      </c>
      <c r="H2274" s="24" t="s">
        <v>35</v>
      </c>
      <c r="I2274" s="25" t="s">
        <v>378</v>
      </c>
      <c r="J2274" s="25" t="s">
        <v>44</v>
      </c>
      <c r="K2274" s="25" t="s">
        <v>9</v>
      </c>
      <c r="L2274" s="25" t="s">
        <v>30</v>
      </c>
      <c r="M2274" s="25"/>
      <c r="N2274" s="25" t="s">
        <v>29</v>
      </c>
      <c r="Q2274" s="99"/>
    </row>
    <row r="2275">
      <c r="A2275" s="272"/>
      <c r="B2275" s="210" t="s">
        <v>433</v>
      </c>
      <c r="C2275" s="210" t="s">
        <v>84</v>
      </c>
      <c r="D2275" s="209" t="s">
        <v>872</v>
      </c>
      <c r="E2275" s="270">
        <v>43219.0</v>
      </c>
      <c r="F2275" s="13" t="str">
        <f t="shared" si="193"/>
        <v>Apr-2018</v>
      </c>
      <c r="G2275" s="264" t="s">
        <v>222</v>
      </c>
      <c r="H2275" s="24" t="s">
        <v>35</v>
      </c>
      <c r="I2275" s="25" t="s">
        <v>378</v>
      </c>
      <c r="J2275" s="25" t="s">
        <v>44</v>
      </c>
      <c r="K2275" s="25" t="s">
        <v>9</v>
      </c>
      <c r="L2275" s="25" t="s">
        <v>30</v>
      </c>
      <c r="M2275" s="25"/>
      <c r="N2275" s="25" t="s">
        <v>98</v>
      </c>
      <c r="Q2275" s="99"/>
    </row>
    <row r="2276">
      <c r="A2276" s="272"/>
      <c r="B2276" s="210" t="s">
        <v>433</v>
      </c>
      <c r="C2276" s="210" t="s">
        <v>84</v>
      </c>
      <c r="D2276" s="209" t="s">
        <v>872</v>
      </c>
      <c r="E2276" s="270">
        <v>43219.0</v>
      </c>
      <c r="F2276" s="13" t="str">
        <f t="shared" si="193"/>
        <v>Apr-2018</v>
      </c>
      <c r="G2276" s="263" t="s">
        <v>146</v>
      </c>
      <c r="H2276" s="15" t="s">
        <v>35</v>
      </c>
      <c r="I2276" s="16" t="s">
        <v>346</v>
      </c>
      <c r="J2276" s="16" t="s">
        <v>44</v>
      </c>
      <c r="K2276" s="16" t="s">
        <v>9</v>
      </c>
      <c r="L2276" s="16" t="s">
        <v>24</v>
      </c>
      <c r="M2276" s="16" t="s">
        <v>24</v>
      </c>
      <c r="N2276" s="16" t="s">
        <v>69</v>
      </c>
      <c r="O2276" s="101"/>
      <c r="P2276" s="101"/>
      <c r="Q2276" s="102"/>
    </row>
    <row r="2277">
      <c r="A2277" s="272"/>
      <c r="B2277" s="210" t="s">
        <v>433</v>
      </c>
      <c r="C2277" s="210" t="s">
        <v>84</v>
      </c>
      <c r="D2277" s="209" t="s">
        <v>872</v>
      </c>
      <c r="E2277" s="270">
        <v>43219.0</v>
      </c>
      <c r="F2277" s="13" t="str">
        <f t="shared" si="193"/>
        <v>Apr-2018</v>
      </c>
      <c r="G2277" s="263" t="s">
        <v>149</v>
      </c>
      <c r="H2277" s="15" t="s">
        <v>35</v>
      </c>
      <c r="I2277" s="16" t="s">
        <v>346</v>
      </c>
      <c r="J2277" s="16" t="s">
        <v>44</v>
      </c>
      <c r="K2277" s="16" t="s">
        <v>9</v>
      </c>
      <c r="L2277" s="16" t="s">
        <v>24</v>
      </c>
      <c r="M2277" s="16"/>
      <c r="N2277" s="16" t="s">
        <v>106</v>
      </c>
      <c r="O2277" s="101"/>
      <c r="P2277" s="101"/>
      <c r="Q2277" s="102"/>
    </row>
    <row r="2278">
      <c r="A2278" s="212"/>
      <c r="B2278" s="210" t="s">
        <v>433</v>
      </c>
      <c r="C2278" s="210" t="s">
        <v>84</v>
      </c>
      <c r="D2278" s="209" t="s">
        <v>872</v>
      </c>
      <c r="E2278" s="273">
        <v>43219.0</v>
      </c>
      <c r="F2278" s="35" t="str">
        <f t="shared" si="193"/>
        <v>Apr-2018</v>
      </c>
      <c r="G2278" s="265" t="s">
        <v>222</v>
      </c>
      <c r="H2278" s="37" t="s">
        <v>35</v>
      </c>
      <c r="I2278" s="38" t="s">
        <v>346</v>
      </c>
      <c r="J2278" s="38" t="s">
        <v>44</v>
      </c>
      <c r="K2278" s="38" t="s">
        <v>9</v>
      </c>
      <c r="L2278" s="38" t="s">
        <v>24</v>
      </c>
      <c r="M2278" s="38"/>
      <c r="N2278" s="38" t="s">
        <v>69</v>
      </c>
      <c r="O2278" s="105"/>
      <c r="P2278" s="105"/>
      <c r="Q2278" s="106"/>
    </row>
    <row r="2279">
      <c r="A2279" s="94"/>
    </row>
    <row r="2280">
      <c r="A2280" s="133" t="s">
        <v>874</v>
      </c>
      <c r="B2280" s="134" t="s">
        <v>827</v>
      </c>
      <c r="C2280" s="134" t="s">
        <v>74</v>
      </c>
      <c r="D2280" s="133" t="s">
        <v>874</v>
      </c>
      <c r="E2280" s="239">
        <v>43224.0</v>
      </c>
      <c r="F2280" s="110" t="str">
        <f t="shared" ref="F2280:F2303" si="194">TEXT(E2272:E2280, "mmm") &amp; "-" &amp; TEXT(E2272:E2280, "yyyy") </f>
        <v>May-2018</v>
      </c>
      <c r="G2280" s="274" t="s">
        <v>20</v>
      </c>
      <c r="H2280" s="72" t="s">
        <v>35</v>
      </c>
      <c r="I2280" s="73" t="s">
        <v>875</v>
      </c>
      <c r="J2280" s="73" t="s">
        <v>9</v>
      </c>
      <c r="K2280" s="73" t="s">
        <v>9</v>
      </c>
      <c r="L2280" s="73" t="s">
        <v>30</v>
      </c>
      <c r="M2280" s="73" t="s">
        <v>30</v>
      </c>
      <c r="N2280" s="73" t="s">
        <v>98</v>
      </c>
      <c r="O2280" s="165"/>
      <c r="P2280" s="165"/>
      <c r="Q2280" s="166"/>
    </row>
    <row r="2281">
      <c r="A2281" s="134" t="s">
        <v>827</v>
      </c>
      <c r="B2281" s="134" t="s">
        <v>827</v>
      </c>
      <c r="C2281" s="134" t="s">
        <v>74</v>
      </c>
      <c r="D2281" s="133" t="s">
        <v>874</v>
      </c>
      <c r="E2281" s="240">
        <v>43224.0</v>
      </c>
      <c r="F2281" s="13" t="str">
        <f t="shared" si="194"/>
        <v>May-2018</v>
      </c>
      <c r="G2281" s="32" t="s">
        <v>25</v>
      </c>
      <c r="H2281" s="24" t="s">
        <v>35</v>
      </c>
      <c r="I2281" s="25" t="s">
        <v>875</v>
      </c>
      <c r="J2281" s="25" t="s">
        <v>9</v>
      </c>
      <c r="K2281" s="25" t="s">
        <v>9</v>
      </c>
      <c r="L2281" s="25" t="s">
        <v>30</v>
      </c>
      <c r="M2281" s="25"/>
      <c r="N2281" s="25" t="s">
        <v>69</v>
      </c>
      <c r="Q2281" s="99"/>
    </row>
    <row r="2282">
      <c r="A2282" s="134" t="s">
        <v>829</v>
      </c>
      <c r="B2282" s="134" t="s">
        <v>827</v>
      </c>
      <c r="C2282" s="134" t="s">
        <v>74</v>
      </c>
      <c r="D2282" s="133" t="s">
        <v>874</v>
      </c>
      <c r="E2282" s="240">
        <v>43224.0</v>
      </c>
      <c r="F2282" s="13" t="str">
        <f t="shared" si="194"/>
        <v>May-2018</v>
      </c>
      <c r="G2282" s="19" t="s">
        <v>20</v>
      </c>
      <c r="H2282" s="15" t="s">
        <v>35</v>
      </c>
      <c r="I2282" s="16" t="s">
        <v>111</v>
      </c>
      <c r="J2282" s="16" t="s">
        <v>216</v>
      </c>
      <c r="K2282" s="16" t="s">
        <v>9</v>
      </c>
      <c r="L2282" s="16" t="s">
        <v>24</v>
      </c>
      <c r="M2282" s="16" t="s">
        <v>24</v>
      </c>
      <c r="N2282" s="16" t="s">
        <v>98</v>
      </c>
      <c r="O2282" s="101"/>
      <c r="P2282" s="101"/>
      <c r="Q2282" s="102"/>
    </row>
    <row r="2283">
      <c r="A2283" s="168">
        <v>43224.0</v>
      </c>
      <c r="B2283" s="134" t="s">
        <v>827</v>
      </c>
      <c r="C2283" s="134" t="s">
        <v>74</v>
      </c>
      <c r="D2283" s="133" t="s">
        <v>874</v>
      </c>
      <c r="E2283" s="240">
        <v>43224.0</v>
      </c>
      <c r="F2283" s="13" t="str">
        <f t="shared" si="194"/>
        <v>May-2018</v>
      </c>
      <c r="G2283" s="19" t="s">
        <v>25</v>
      </c>
      <c r="H2283" s="15" t="s">
        <v>35</v>
      </c>
      <c r="I2283" s="16" t="s">
        <v>111</v>
      </c>
      <c r="J2283" s="16" t="s">
        <v>216</v>
      </c>
      <c r="K2283" s="16" t="s">
        <v>9</v>
      </c>
      <c r="L2283" s="16" t="s">
        <v>24</v>
      </c>
      <c r="M2283" s="16"/>
      <c r="N2283" s="16" t="s">
        <v>106</v>
      </c>
      <c r="O2283" s="101"/>
      <c r="P2283" s="101"/>
      <c r="Q2283" s="102"/>
    </row>
    <row r="2284">
      <c r="A2284" s="176" t="s">
        <v>876</v>
      </c>
      <c r="B2284" s="134" t="s">
        <v>827</v>
      </c>
      <c r="C2284" s="134" t="s">
        <v>74</v>
      </c>
      <c r="D2284" s="133" t="s">
        <v>874</v>
      </c>
      <c r="E2284" s="240">
        <v>43224.0</v>
      </c>
      <c r="F2284" s="13" t="str">
        <f t="shared" si="194"/>
        <v>May-2018</v>
      </c>
      <c r="G2284" s="32" t="s">
        <v>20</v>
      </c>
      <c r="H2284" s="24" t="s">
        <v>35</v>
      </c>
      <c r="I2284" s="25" t="s">
        <v>877</v>
      </c>
      <c r="J2284" s="25" t="s">
        <v>27</v>
      </c>
      <c r="K2284" s="25" t="s">
        <v>9</v>
      </c>
      <c r="L2284" s="25" t="s">
        <v>30</v>
      </c>
      <c r="M2284" s="25" t="s">
        <v>30</v>
      </c>
      <c r="N2284" s="25" t="s">
        <v>69</v>
      </c>
      <c r="Q2284" s="99"/>
    </row>
    <row r="2285">
      <c r="A2285" s="134" t="s">
        <v>74</v>
      </c>
      <c r="B2285" s="134" t="s">
        <v>827</v>
      </c>
      <c r="C2285" s="134" t="s">
        <v>74</v>
      </c>
      <c r="D2285" s="133" t="s">
        <v>874</v>
      </c>
      <c r="E2285" s="240">
        <v>43224.0</v>
      </c>
      <c r="F2285" s="13" t="str">
        <f t="shared" si="194"/>
        <v>May-2018</v>
      </c>
      <c r="G2285" s="32" t="s">
        <v>25</v>
      </c>
      <c r="H2285" s="24" t="s">
        <v>35</v>
      </c>
      <c r="I2285" s="25" t="s">
        <v>877</v>
      </c>
      <c r="J2285" s="25" t="s">
        <v>27</v>
      </c>
      <c r="K2285" s="25" t="s">
        <v>9</v>
      </c>
      <c r="L2285" s="25" t="s">
        <v>30</v>
      </c>
      <c r="M2285" s="25"/>
      <c r="N2285" s="25" t="s">
        <v>69</v>
      </c>
      <c r="Q2285" s="99"/>
    </row>
    <row r="2286">
      <c r="A2286" s="140"/>
      <c r="B2286" s="134" t="s">
        <v>827</v>
      </c>
      <c r="C2286" s="134" t="s">
        <v>74</v>
      </c>
      <c r="D2286" s="133" t="s">
        <v>874</v>
      </c>
      <c r="E2286" s="240">
        <v>43224.0</v>
      </c>
      <c r="F2286" s="13" t="str">
        <f t="shared" si="194"/>
        <v>May-2018</v>
      </c>
      <c r="G2286" s="19" t="s">
        <v>20</v>
      </c>
      <c r="H2286" s="15" t="s">
        <v>35</v>
      </c>
      <c r="I2286" s="16">
        <v>248.0</v>
      </c>
      <c r="J2286" s="16" t="s">
        <v>27</v>
      </c>
      <c r="K2286" s="16" t="s">
        <v>9</v>
      </c>
      <c r="L2286" s="16" t="s">
        <v>24</v>
      </c>
      <c r="M2286" s="16" t="s">
        <v>24</v>
      </c>
      <c r="N2286" s="16" t="s">
        <v>69</v>
      </c>
      <c r="O2286" s="101"/>
      <c r="P2286" s="101"/>
      <c r="Q2286" s="102"/>
    </row>
    <row r="2287">
      <c r="A2287" s="140"/>
      <c r="B2287" s="134" t="s">
        <v>827</v>
      </c>
      <c r="C2287" s="134" t="s">
        <v>74</v>
      </c>
      <c r="D2287" s="133" t="s">
        <v>874</v>
      </c>
      <c r="E2287" s="240">
        <v>43224.0</v>
      </c>
      <c r="F2287" s="13" t="str">
        <f t="shared" si="194"/>
        <v>May-2018</v>
      </c>
      <c r="G2287" s="19" t="s">
        <v>25</v>
      </c>
      <c r="H2287" s="15" t="s">
        <v>35</v>
      </c>
      <c r="I2287" s="16">
        <v>248.0</v>
      </c>
      <c r="J2287" s="16" t="s">
        <v>27</v>
      </c>
      <c r="K2287" s="16" t="s">
        <v>9</v>
      </c>
      <c r="L2287" s="16" t="s">
        <v>24</v>
      </c>
      <c r="M2287" s="16"/>
      <c r="N2287" s="16" t="s">
        <v>106</v>
      </c>
      <c r="O2287" s="101"/>
      <c r="P2287" s="101"/>
      <c r="Q2287" s="102"/>
    </row>
    <row r="2288">
      <c r="A2288" s="140"/>
      <c r="B2288" s="134" t="s">
        <v>827</v>
      </c>
      <c r="C2288" s="134" t="s">
        <v>74</v>
      </c>
      <c r="D2288" s="133" t="s">
        <v>874</v>
      </c>
      <c r="E2288" s="240">
        <v>43224.0</v>
      </c>
      <c r="F2288" s="13" t="str">
        <f t="shared" si="194"/>
        <v>May-2018</v>
      </c>
      <c r="G2288" s="32" t="s">
        <v>20</v>
      </c>
      <c r="H2288" s="25" t="s">
        <v>862</v>
      </c>
      <c r="I2288" s="25" t="s">
        <v>878</v>
      </c>
      <c r="J2288" s="25" t="s">
        <v>44</v>
      </c>
      <c r="K2288" s="25" t="s">
        <v>9</v>
      </c>
      <c r="L2288" s="25" t="s">
        <v>30</v>
      </c>
      <c r="M2288" s="25" t="s">
        <v>30</v>
      </c>
      <c r="N2288" s="25" t="s">
        <v>98</v>
      </c>
      <c r="Q2288" s="99"/>
    </row>
    <row r="2289">
      <c r="A2289" s="140"/>
      <c r="B2289" s="134" t="s">
        <v>827</v>
      </c>
      <c r="C2289" s="134" t="s">
        <v>74</v>
      </c>
      <c r="D2289" s="133" t="s">
        <v>874</v>
      </c>
      <c r="E2289" s="240">
        <v>43224.0</v>
      </c>
      <c r="F2289" s="13" t="str">
        <f t="shared" si="194"/>
        <v>May-2018</v>
      </c>
      <c r="G2289" s="32" t="s">
        <v>25</v>
      </c>
      <c r="H2289" s="25" t="s">
        <v>862</v>
      </c>
      <c r="I2289" s="25" t="s">
        <v>878</v>
      </c>
      <c r="J2289" s="25" t="s">
        <v>44</v>
      </c>
      <c r="K2289" s="25" t="s">
        <v>9</v>
      </c>
      <c r="L2289" s="25" t="s">
        <v>30</v>
      </c>
      <c r="M2289" s="25"/>
      <c r="N2289" s="25" t="s">
        <v>106</v>
      </c>
      <c r="Q2289" s="99"/>
    </row>
    <row r="2290">
      <c r="A2290" s="140"/>
      <c r="B2290" s="134" t="s">
        <v>827</v>
      </c>
      <c r="C2290" s="134" t="s">
        <v>74</v>
      </c>
      <c r="D2290" s="133" t="s">
        <v>874</v>
      </c>
      <c r="E2290" s="240">
        <v>43224.0</v>
      </c>
      <c r="F2290" s="13" t="str">
        <f t="shared" si="194"/>
        <v>May-2018</v>
      </c>
      <c r="G2290" s="19" t="s">
        <v>20</v>
      </c>
      <c r="H2290" s="16" t="s">
        <v>862</v>
      </c>
      <c r="I2290" s="16" t="s">
        <v>245</v>
      </c>
      <c r="J2290" s="16" t="s">
        <v>27</v>
      </c>
      <c r="K2290" s="16" t="s">
        <v>9</v>
      </c>
      <c r="L2290" s="16" t="s">
        <v>30</v>
      </c>
      <c r="M2290" s="16" t="s">
        <v>30</v>
      </c>
      <c r="N2290" s="16" t="s">
        <v>37</v>
      </c>
      <c r="O2290" s="101"/>
      <c r="P2290" s="101"/>
      <c r="Q2290" s="102"/>
      <c r="R2290" s="25" t="s">
        <v>247</v>
      </c>
    </row>
    <row r="2291">
      <c r="A2291" s="140"/>
      <c r="B2291" s="134" t="s">
        <v>827</v>
      </c>
      <c r="C2291" s="134" t="s">
        <v>74</v>
      </c>
      <c r="D2291" s="133" t="s">
        <v>874</v>
      </c>
      <c r="E2291" s="240">
        <v>43224.0</v>
      </c>
      <c r="F2291" s="13" t="str">
        <f t="shared" si="194"/>
        <v>May-2018</v>
      </c>
      <c r="G2291" s="19" t="s">
        <v>25</v>
      </c>
      <c r="H2291" s="16" t="s">
        <v>862</v>
      </c>
      <c r="I2291" s="16" t="s">
        <v>245</v>
      </c>
      <c r="J2291" s="16" t="s">
        <v>27</v>
      </c>
      <c r="K2291" s="16" t="s">
        <v>9</v>
      </c>
      <c r="L2291" s="16" t="s">
        <v>30</v>
      </c>
      <c r="M2291" s="16"/>
      <c r="N2291" s="16" t="s">
        <v>99</v>
      </c>
      <c r="O2291" s="101"/>
      <c r="P2291" s="101"/>
      <c r="Q2291" s="102"/>
      <c r="R2291" s="25" t="s">
        <v>247</v>
      </c>
    </row>
    <row r="2292">
      <c r="A2292" s="140"/>
      <c r="B2292" s="134" t="s">
        <v>827</v>
      </c>
      <c r="C2292" s="134" t="s">
        <v>74</v>
      </c>
      <c r="D2292" s="133" t="s">
        <v>874</v>
      </c>
      <c r="E2292" s="240">
        <v>43224.0</v>
      </c>
      <c r="F2292" s="13" t="str">
        <f t="shared" si="194"/>
        <v>May-2018</v>
      </c>
      <c r="G2292" s="264" t="s">
        <v>146</v>
      </c>
      <c r="H2292" s="25" t="s">
        <v>862</v>
      </c>
      <c r="I2292" s="25" t="s">
        <v>592</v>
      </c>
      <c r="J2292" s="25" t="s">
        <v>9</v>
      </c>
      <c r="K2292" s="25" t="s">
        <v>9</v>
      </c>
      <c r="L2292" s="25" t="s">
        <v>24</v>
      </c>
      <c r="M2292" s="25" t="s">
        <v>30</v>
      </c>
      <c r="N2292" s="25" t="s">
        <v>98</v>
      </c>
      <c r="Q2292" s="99"/>
    </row>
    <row r="2293">
      <c r="A2293" s="140"/>
      <c r="B2293" s="134" t="s">
        <v>827</v>
      </c>
      <c r="C2293" s="134" t="s">
        <v>74</v>
      </c>
      <c r="D2293" s="133" t="s">
        <v>874</v>
      </c>
      <c r="E2293" s="240">
        <v>43224.0</v>
      </c>
      <c r="F2293" s="13" t="str">
        <f t="shared" si="194"/>
        <v>May-2018</v>
      </c>
      <c r="G2293" s="264" t="s">
        <v>149</v>
      </c>
      <c r="H2293" s="25" t="s">
        <v>862</v>
      </c>
      <c r="I2293" s="25" t="s">
        <v>592</v>
      </c>
      <c r="J2293" s="25" t="s">
        <v>9</v>
      </c>
      <c r="K2293" s="25" t="s">
        <v>9</v>
      </c>
      <c r="L2293" s="25" t="s">
        <v>30</v>
      </c>
      <c r="M2293" s="25"/>
      <c r="N2293" s="25" t="s">
        <v>69</v>
      </c>
      <c r="Q2293" s="99"/>
    </row>
    <row r="2294">
      <c r="A2294" s="140"/>
      <c r="B2294" s="134" t="s">
        <v>827</v>
      </c>
      <c r="C2294" s="134" t="s">
        <v>74</v>
      </c>
      <c r="D2294" s="133" t="s">
        <v>874</v>
      </c>
      <c r="E2294" s="240">
        <v>43224.0</v>
      </c>
      <c r="F2294" s="13" t="str">
        <f t="shared" si="194"/>
        <v>May-2018</v>
      </c>
      <c r="G2294" s="264" t="s">
        <v>222</v>
      </c>
      <c r="H2294" s="25" t="s">
        <v>862</v>
      </c>
      <c r="I2294" s="25" t="s">
        <v>592</v>
      </c>
      <c r="J2294" s="25" t="s">
        <v>9</v>
      </c>
      <c r="K2294" s="25" t="s">
        <v>9</v>
      </c>
      <c r="L2294" s="25" t="s">
        <v>24</v>
      </c>
      <c r="M2294" s="25"/>
      <c r="N2294" s="25" t="s">
        <v>106</v>
      </c>
      <c r="Q2294" s="99"/>
    </row>
    <row r="2295">
      <c r="A2295" s="140"/>
      <c r="B2295" s="134" t="s">
        <v>827</v>
      </c>
      <c r="C2295" s="134" t="s">
        <v>74</v>
      </c>
      <c r="D2295" s="133" t="s">
        <v>874</v>
      </c>
      <c r="E2295" s="240">
        <v>43224.0</v>
      </c>
      <c r="F2295" s="13" t="str">
        <f t="shared" si="194"/>
        <v>May-2018</v>
      </c>
      <c r="G2295" s="264" t="s">
        <v>467</v>
      </c>
      <c r="H2295" s="25" t="s">
        <v>862</v>
      </c>
      <c r="I2295" s="25" t="s">
        <v>592</v>
      </c>
      <c r="J2295" s="25" t="s">
        <v>9</v>
      </c>
      <c r="K2295" s="25" t="s">
        <v>9</v>
      </c>
      <c r="L2295" s="25" t="s">
        <v>30</v>
      </c>
      <c r="M2295" s="25"/>
      <c r="N2295" s="25" t="s">
        <v>99</v>
      </c>
      <c r="Q2295" s="99"/>
    </row>
    <row r="2296">
      <c r="A2296" s="140"/>
      <c r="B2296" s="134" t="s">
        <v>827</v>
      </c>
      <c r="C2296" s="134" t="s">
        <v>74</v>
      </c>
      <c r="D2296" s="133" t="s">
        <v>874</v>
      </c>
      <c r="E2296" s="240">
        <v>43224.0</v>
      </c>
      <c r="F2296" s="13" t="str">
        <f t="shared" si="194"/>
        <v>May-2018</v>
      </c>
      <c r="G2296" s="25" t="s">
        <v>480</v>
      </c>
      <c r="H2296" s="25" t="s">
        <v>862</v>
      </c>
      <c r="I2296" s="25" t="s">
        <v>592</v>
      </c>
      <c r="J2296" s="25" t="s">
        <v>9</v>
      </c>
      <c r="K2296" s="25" t="s">
        <v>9</v>
      </c>
      <c r="L2296" s="25" t="s">
        <v>30</v>
      </c>
      <c r="M2296" s="25"/>
      <c r="N2296" s="25" t="s">
        <v>69</v>
      </c>
      <c r="Q2296" s="99"/>
    </row>
    <row r="2297">
      <c r="A2297" s="140"/>
      <c r="B2297" s="134" t="s">
        <v>827</v>
      </c>
      <c r="C2297" s="134" t="s">
        <v>74</v>
      </c>
      <c r="D2297" s="133" t="s">
        <v>874</v>
      </c>
      <c r="E2297" s="240">
        <v>43224.0</v>
      </c>
      <c r="F2297" s="13" t="str">
        <f t="shared" si="194"/>
        <v>May-2018</v>
      </c>
      <c r="G2297" s="263" t="s">
        <v>146</v>
      </c>
      <c r="H2297" s="16" t="s">
        <v>862</v>
      </c>
      <c r="I2297" s="16" t="s">
        <v>592</v>
      </c>
      <c r="J2297" s="16" t="s">
        <v>9</v>
      </c>
      <c r="K2297" s="16" t="s">
        <v>27</v>
      </c>
      <c r="L2297" s="16" t="s">
        <v>30</v>
      </c>
      <c r="M2297" s="16" t="s">
        <v>24</v>
      </c>
      <c r="N2297" s="16" t="s">
        <v>69</v>
      </c>
      <c r="O2297" s="101"/>
      <c r="P2297" s="101"/>
      <c r="Q2297" s="102"/>
    </row>
    <row r="2298">
      <c r="A2298" s="140"/>
      <c r="B2298" s="134" t="s">
        <v>827</v>
      </c>
      <c r="C2298" s="134" t="s">
        <v>74</v>
      </c>
      <c r="D2298" s="133" t="s">
        <v>874</v>
      </c>
      <c r="E2298" s="240">
        <v>43224.0</v>
      </c>
      <c r="F2298" s="13" t="str">
        <f t="shared" si="194"/>
        <v>May-2018</v>
      </c>
      <c r="G2298" s="263" t="s">
        <v>149</v>
      </c>
      <c r="H2298" s="16" t="s">
        <v>862</v>
      </c>
      <c r="I2298" s="16" t="s">
        <v>592</v>
      </c>
      <c r="J2298" s="16" t="s">
        <v>9</v>
      </c>
      <c r="K2298" s="16" t="s">
        <v>27</v>
      </c>
      <c r="L2298" s="16" t="s">
        <v>24</v>
      </c>
      <c r="M2298" s="16"/>
      <c r="N2298" s="16" t="s">
        <v>99</v>
      </c>
      <c r="O2298" s="101"/>
      <c r="P2298" s="101"/>
      <c r="Q2298" s="102"/>
    </row>
    <row r="2299">
      <c r="A2299" s="140"/>
      <c r="B2299" s="134" t="s">
        <v>827</v>
      </c>
      <c r="C2299" s="134" t="s">
        <v>74</v>
      </c>
      <c r="D2299" s="133" t="s">
        <v>874</v>
      </c>
      <c r="E2299" s="240">
        <v>43224.0</v>
      </c>
      <c r="F2299" s="13" t="str">
        <f t="shared" si="194"/>
        <v>May-2018</v>
      </c>
      <c r="G2299" s="263" t="s">
        <v>222</v>
      </c>
      <c r="H2299" s="16" t="s">
        <v>862</v>
      </c>
      <c r="I2299" s="16" t="s">
        <v>592</v>
      </c>
      <c r="J2299" s="16" t="s">
        <v>44</v>
      </c>
      <c r="K2299" s="16" t="s">
        <v>27</v>
      </c>
      <c r="L2299" s="16" t="s">
        <v>24</v>
      </c>
      <c r="M2299" s="16"/>
      <c r="N2299" s="16" t="s">
        <v>29</v>
      </c>
      <c r="O2299" s="101"/>
      <c r="P2299" s="101"/>
      <c r="Q2299" s="102"/>
    </row>
    <row r="2300">
      <c r="A2300" s="140"/>
      <c r="B2300" s="134" t="s">
        <v>827</v>
      </c>
      <c r="C2300" s="134" t="s">
        <v>74</v>
      </c>
      <c r="D2300" s="133" t="s">
        <v>874</v>
      </c>
      <c r="E2300" s="240">
        <v>43224.0</v>
      </c>
      <c r="F2300" s="13" t="str">
        <f t="shared" si="194"/>
        <v>May-2018</v>
      </c>
      <c r="G2300" s="263" t="s">
        <v>467</v>
      </c>
      <c r="H2300" s="16" t="s">
        <v>862</v>
      </c>
      <c r="I2300" s="16" t="s">
        <v>592</v>
      </c>
      <c r="J2300" s="16" t="s">
        <v>9</v>
      </c>
      <c r="K2300" s="16" t="s">
        <v>27</v>
      </c>
      <c r="L2300" s="16" t="s">
        <v>24</v>
      </c>
      <c r="M2300" s="16"/>
      <c r="N2300" s="16" t="s">
        <v>106</v>
      </c>
      <c r="O2300" s="101"/>
      <c r="P2300" s="101"/>
      <c r="Q2300" s="102"/>
    </row>
    <row r="2301">
      <c r="A2301" s="140"/>
      <c r="B2301" s="134" t="s">
        <v>827</v>
      </c>
      <c r="C2301" s="134" t="s">
        <v>74</v>
      </c>
      <c r="D2301" s="133" t="s">
        <v>874</v>
      </c>
      <c r="E2301" s="240">
        <v>43224.0</v>
      </c>
      <c r="F2301" s="13" t="str">
        <f t="shared" si="194"/>
        <v>May-2018</v>
      </c>
      <c r="G2301" s="264" t="s">
        <v>146</v>
      </c>
      <c r="H2301" s="25" t="s">
        <v>862</v>
      </c>
      <c r="I2301" s="25" t="s">
        <v>592</v>
      </c>
      <c r="J2301" s="25" t="s">
        <v>9</v>
      </c>
      <c r="K2301" s="25" t="s">
        <v>9</v>
      </c>
      <c r="L2301" s="25" t="s">
        <v>30</v>
      </c>
      <c r="M2301" s="25" t="s">
        <v>30</v>
      </c>
      <c r="N2301" s="25" t="s">
        <v>69</v>
      </c>
      <c r="Q2301" s="99"/>
    </row>
    <row r="2302">
      <c r="A2302" s="140"/>
      <c r="B2302" s="134" t="s">
        <v>827</v>
      </c>
      <c r="C2302" s="134" t="s">
        <v>74</v>
      </c>
      <c r="D2302" s="133" t="s">
        <v>874</v>
      </c>
      <c r="E2302" s="240">
        <v>43224.0</v>
      </c>
      <c r="F2302" s="13" t="str">
        <f t="shared" si="194"/>
        <v>May-2018</v>
      </c>
      <c r="G2302" s="264" t="s">
        <v>149</v>
      </c>
      <c r="H2302" s="25" t="s">
        <v>862</v>
      </c>
      <c r="I2302" s="25" t="s">
        <v>592</v>
      </c>
      <c r="J2302" s="25" t="s">
        <v>9</v>
      </c>
      <c r="K2302" s="25" t="s">
        <v>9</v>
      </c>
      <c r="L2302" s="25" t="s">
        <v>30</v>
      </c>
      <c r="M2302" s="25"/>
      <c r="N2302" s="25" t="s">
        <v>98</v>
      </c>
      <c r="Q2302" s="99"/>
    </row>
    <row r="2303">
      <c r="A2303" s="141"/>
      <c r="B2303" s="134" t="s">
        <v>827</v>
      </c>
      <c r="C2303" s="134" t="s">
        <v>74</v>
      </c>
      <c r="D2303" s="133" t="s">
        <v>874</v>
      </c>
      <c r="E2303" s="241">
        <v>43224.0</v>
      </c>
      <c r="F2303" s="35" t="str">
        <f t="shared" si="194"/>
        <v>May-2018</v>
      </c>
      <c r="G2303" s="266" t="s">
        <v>222</v>
      </c>
      <c r="H2303" s="55" t="s">
        <v>862</v>
      </c>
      <c r="I2303" s="55" t="s">
        <v>592</v>
      </c>
      <c r="J2303" s="55" t="s">
        <v>9</v>
      </c>
      <c r="K2303" s="55" t="s">
        <v>9</v>
      </c>
      <c r="L2303" s="55" t="s">
        <v>30</v>
      </c>
      <c r="M2303" s="55"/>
      <c r="N2303" s="55" t="s">
        <v>106</v>
      </c>
      <c r="O2303" s="143"/>
      <c r="P2303" s="143"/>
      <c r="Q2303" s="144"/>
    </row>
    <row r="2304">
      <c r="B2304" s="275"/>
      <c r="C2304" s="275"/>
      <c r="D2304" s="275"/>
      <c r="E2304" s="275"/>
      <c r="F2304" s="24"/>
    </row>
    <row r="2305">
      <c r="A2305" s="133" t="s">
        <v>879</v>
      </c>
      <c r="B2305" s="134" t="s">
        <v>18</v>
      </c>
      <c r="C2305" s="134" t="s">
        <v>84</v>
      </c>
      <c r="D2305" s="133" t="s">
        <v>879</v>
      </c>
      <c r="E2305" s="239">
        <v>43225.0</v>
      </c>
      <c r="F2305" s="110" t="str">
        <f t="shared" ref="F2305:F2327" si="195">TEXT(E2297:E2305, "mmm") &amp; "-" &amp; TEXT(E2297:E2305, "yyyy") </f>
        <v>May-2018</v>
      </c>
      <c r="G2305" s="276" t="s">
        <v>20</v>
      </c>
      <c r="H2305" s="47" t="s">
        <v>287</v>
      </c>
      <c r="I2305" s="47" t="s">
        <v>880</v>
      </c>
      <c r="J2305" s="47" t="s">
        <v>86</v>
      </c>
      <c r="K2305" s="47" t="s">
        <v>9</v>
      </c>
      <c r="L2305" s="47" t="s">
        <v>30</v>
      </c>
      <c r="M2305" s="47" t="s">
        <v>30</v>
      </c>
      <c r="N2305" s="47" t="s">
        <v>29</v>
      </c>
      <c r="O2305" s="152"/>
      <c r="P2305" s="152"/>
      <c r="Q2305" s="153"/>
    </row>
    <row r="2306">
      <c r="A2306" s="134" t="s">
        <v>18</v>
      </c>
      <c r="B2306" s="134" t="s">
        <v>18</v>
      </c>
      <c r="C2306" s="134" t="s">
        <v>84</v>
      </c>
      <c r="D2306" s="133" t="s">
        <v>879</v>
      </c>
      <c r="E2306" s="240">
        <v>43225.0</v>
      </c>
      <c r="F2306" s="13" t="str">
        <f t="shared" si="195"/>
        <v>May-2018</v>
      </c>
      <c r="G2306" s="19" t="s">
        <v>25</v>
      </c>
      <c r="H2306" s="16" t="s">
        <v>287</v>
      </c>
      <c r="I2306" s="16" t="s">
        <v>880</v>
      </c>
      <c r="J2306" s="16" t="s">
        <v>86</v>
      </c>
      <c r="K2306" s="16" t="s">
        <v>9</v>
      </c>
      <c r="L2306" s="16" t="s">
        <v>30</v>
      </c>
      <c r="M2306" s="16"/>
      <c r="N2306" s="16" t="s">
        <v>98</v>
      </c>
      <c r="O2306" s="101"/>
      <c r="P2306" s="101"/>
      <c r="Q2306" s="102"/>
    </row>
    <row r="2307">
      <c r="A2307" s="134" t="s">
        <v>669</v>
      </c>
      <c r="B2307" s="134" t="s">
        <v>18</v>
      </c>
      <c r="C2307" s="134" t="s">
        <v>84</v>
      </c>
      <c r="D2307" s="133" t="s">
        <v>879</v>
      </c>
      <c r="E2307" s="240">
        <v>43225.0</v>
      </c>
      <c r="F2307" s="13" t="str">
        <f t="shared" si="195"/>
        <v>May-2018</v>
      </c>
      <c r="G2307" s="32" t="s">
        <v>20</v>
      </c>
      <c r="H2307" s="25" t="s">
        <v>287</v>
      </c>
      <c r="I2307" s="25" t="s">
        <v>881</v>
      </c>
      <c r="J2307" s="25" t="s">
        <v>882</v>
      </c>
      <c r="K2307" s="25" t="s">
        <v>9</v>
      </c>
      <c r="L2307" s="25" t="s">
        <v>30</v>
      </c>
      <c r="M2307" s="25" t="s">
        <v>30</v>
      </c>
      <c r="N2307" s="25" t="s">
        <v>69</v>
      </c>
      <c r="Q2307" s="99"/>
    </row>
    <row r="2308">
      <c r="A2308" s="168">
        <v>43225.0</v>
      </c>
      <c r="B2308" s="134" t="s">
        <v>18</v>
      </c>
      <c r="C2308" s="134" t="s">
        <v>84</v>
      </c>
      <c r="D2308" s="133" t="s">
        <v>879</v>
      </c>
      <c r="E2308" s="240">
        <v>43225.0</v>
      </c>
      <c r="F2308" s="13" t="str">
        <f t="shared" si="195"/>
        <v>May-2018</v>
      </c>
      <c r="G2308" s="32" t="s">
        <v>25</v>
      </c>
      <c r="H2308" s="25" t="s">
        <v>287</v>
      </c>
      <c r="I2308" s="25" t="s">
        <v>881</v>
      </c>
      <c r="J2308" s="25" t="s">
        <v>882</v>
      </c>
      <c r="K2308" s="25" t="s">
        <v>9</v>
      </c>
      <c r="L2308" s="25" t="s">
        <v>30</v>
      </c>
      <c r="M2308" s="25"/>
      <c r="N2308" s="25" t="s">
        <v>106</v>
      </c>
      <c r="Q2308" s="99"/>
    </row>
    <row r="2309">
      <c r="A2309" s="176" t="s">
        <v>883</v>
      </c>
      <c r="B2309" s="134" t="s">
        <v>18</v>
      </c>
      <c r="C2309" s="134" t="s">
        <v>84</v>
      </c>
      <c r="D2309" s="133" t="s">
        <v>879</v>
      </c>
      <c r="E2309" s="240">
        <v>43225.0</v>
      </c>
      <c r="F2309" s="13" t="str">
        <f t="shared" si="195"/>
        <v>May-2018</v>
      </c>
      <c r="G2309" s="19" t="s">
        <v>20</v>
      </c>
      <c r="H2309" s="16" t="s">
        <v>287</v>
      </c>
      <c r="I2309" s="16" t="s">
        <v>245</v>
      </c>
      <c r="J2309" s="16" t="s">
        <v>27</v>
      </c>
      <c r="K2309" s="16" t="s">
        <v>9</v>
      </c>
      <c r="L2309" s="16" t="s">
        <v>30</v>
      </c>
      <c r="M2309" s="16" t="s">
        <v>30</v>
      </c>
      <c r="N2309" s="16" t="s">
        <v>37</v>
      </c>
      <c r="O2309" s="101"/>
      <c r="P2309" s="101"/>
      <c r="Q2309" s="102"/>
      <c r="R2309" s="25" t="s">
        <v>247</v>
      </c>
    </row>
    <row r="2310">
      <c r="A2310" s="134" t="s">
        <v>884</v>
      </c>
      <c r="B2310" s="134" t="s">
        <v>18</v>
      </c>
      <c r="C2310" s="134" t="s">
        <v>84</v>
      </c>
      <c r="D2310" s="133" t="s">
        <v>879</v>
      </c>
      <c r="E2310" s="240">
        <v>43225.0</v>
      </c>
      <c r="F2310" s="13" t="str">
        <f t="shared" si="195"/>
        <v>May-2018</v>
      </c>
      <c r="G2310" s="19" t="s">
        <v>25</v>
      </c>
      <c r="H2310" s="16" t="s">
        <v>287</v>
      </c>
      <c r="I2310" s="16" t="s">
        <v>245</v>
      </c>
      <c r="J2310" s="16" t="s">
        <v>27</v>
      </c>
      <c r="K2310" s="16" t="s">
        <v>9</v>
      </c>
      <c r="L2310" s="16" t="s">
        <v>30</v>
      </c>
      <c r="M2310" s="16"/>
      <c r="N2310" s="16" t="s">
        <v>99</v>
      </c>
      <c r="O2310" s="101"/>
      <c r="P2310" s="101"/>
      <c r="Q2310" s="102"/>
      <c r="R2310" s="25" t="s">
        <v>247</v>
      </c>
    </row>
    <row r="2311">
      <c r="A2311" s="176" t="s">
        <v>885</v>
      </c>
      <c r="B2311" s="134" t="s">
        <v>18</v>
      </c>
      <c r="C2311" s="134" t="s">
        <v>84</v>
      </c>
      <c r="D2311" s="133" t="s">
        <v>879</v>
      </c>
      <c r="E2311" s="240">
        <v>43225.0</v>
      </c>
      <c r="F2311" s="13" t="str">
        <f t="shared" si="195"/>
        <v>May-2018</v>
      </c>
      <c r="G2311" s="32" t="s">
        <v>20</v>
      </c>
      <c r="H2311" s="25" t="s">
        <v>287</v>
      </c>
      <c r="I2311" s="25" t="s">
        <v>267</v>
      </c>
      <c r="J2311" s="25" t="s">
        <v>9</v>
      </c>
      <c r="K2311" s="25" t="s">
        <v>9</v>
      </c>
      <c r="L2311" s="25" t="s">
        <v>30</v>
      </c>
      <c r="M2311" s="25" t="s">
        <v>30</v>
      </c>
      <c r="N2311" s="25" t="s">
        <v>69</v>
      </c>
      <c r="Q2311" s="99"/>
    </row>
    <row r="2312">
      <c r="A2312" s="134" t="s">
        <v>84</v>
      </c>
      <c r="B2312" s="134" t="s">
        <v>18</v>
      </c>
      <c r="C2312" s="134" t="s">
        <v>84</v>
      </c>
      <c r="D2312" s="133" t="s">
        <v>879</v>
      </c>
      <c r="E2312" s="240">
        <v>43225.0</v>
      </c>
      <c r="F2312" s="13" t="str">
        <f t="shared" si="195"/>
        <v>May-2018</v>
      </c>
      <c r="G2312" s="32" t="s">
        <v>25</v>
      </c>
      <c r="H2312" s="25" t="s">
        <v>287</v>
      </c>
      <c r="I2312" s="25" t="s">
        <v>267</v>
      </c>
      <c r="J2312" s="25" t="s">
        <v>9</v>
      </c>
      <c r="K2312" s="25" t="s">
        <v>9</v>
      </c>
      <c r="L2312" s="25" t="s">
        <v>24</v>
      </c>
      <c r="M2312" s="25"/>
      <c r="N2312" s="25" t="s">
        <v>106</v>
      </c>
      <c r="Q2312" s="99"/>
    </row>
    <row r="2313">
      <c r="A2313" s="140"/>
      <c r="B2313" s="134" t="s">
        <v>18</v>
      </c>
      <c r="C2313" s="134" t="s">
        <v>84</v>
      </c>
      <c r="D2313" s="133" t="s">
        <v>879</v>
      </c>
      <c r="E2313" s="240">
        <v>43225.0</v>
      </c>
      <c r="F2313" s="13" t="str">
        <f t="shared" si="195"/>
        <v>May-2018</v>
      </c>
      <c r="G2313" s="32" t="s">
        <v>32</v>
      </c>
      <c r="H2313" s="25" t="s">
        <v>287</v>
      </c>
      <c r="I2313" s="25" t="s">
        <v>267</v>
      </c>
      <c r="J2313" s="25" t="s">
        <v>9</v>
      </c>
      <c r="K2313" s="25" t="s">
        <v>9</v>
      </c>
      <c r="L2313" s="25" t="s">
        <v>30</v>
      </c>
      <c r="M2313" s="25"/>
      <c r="N2313" s="25" t="s">
        <v>99</v>
      </c>
      <c r="Q2313" s="99"/>
    </row>
    <row r="2314">
      <c r="A2314" s="140"/>
      <c r="B2314" s="134" t="s">
        <v>18</v>
      </c>
      <c r="C2314" s="134" t="s">
        <v>84</v>
      </c>
      <c r="D2314" s="133" t="s">
        <v>879</v>
      </c>
      <c r="E2314" s="240">
        <v>43225.0</v>
      </c>
      <c r="F2314" s="13" t="str">
        <f t="shared" si="195"/>
        <v>May-2018</v>
      </c>
      <c r="G2314" s="19" t="s">
        <v>20</v>
      </c>
      <c r="H2314" s="16" t="s">
        <v>287</v>
      </c>
      <c r="I2314" s="16" t="s">
        <v>364</v>
      </c>
      <c r="J2314" s="16" t="s">
        <v>86</v>
      </c>
      <c r="K2314" s="16" t="s">
        <v>9</v>
      </c>
      <c r="L2314" s="16" t="s">
        <v>24</v>
      </c>
      <c r="M2314" s="16" t="s">
        <v>24</v>
      </c>
      <c r="N2314" s="16" t="s">
        <v>69</v>
      </c>
      <c r="O2314" s="101"/>
      <c r="P2314" s="101"/>
      <c r="Q2314" s="102"/>
    </row>
    <row r="2315">
      <c r="A2315" s="140"/>
      <c r="B2315" s="134" t="s">
        <v>18</v>
      </c>
      <c r="C2315" s="134" t="s">
        <v>84</v>
      </c>
      <c r="D2315" s="133" t="s">
        <v>879</v>
      </c>
      <c r="E2315" s="240">
        <v>43225.0</v>
      </c>
      <c r="F2315" s="13" t="str">
        <f t="shared" si="195"/>
        <v>May-2018</v>
      </c>
      <c r="G2315" s="19" t="s">
        <v>25</v>
      </c>
      <c r="H2315" s="16" t="s">
        <v>287</v>
      </c>
      <c r="I2315" s="16" t="s">
        <v>364</v>
      </c>
      <c r="J2315" s="16" t="s">
        <v>86</v>
      </c>
      <c r="K2315" s="16" t="s">
        <v>9</v>
      </c>
      <c r="L2315" s="16" t="s">
        <v>24</v>
      </c>
      <c r="M2315" s="16"/>
      <c r="N2315" s="16" t="s">
        <v>69</v>
      </c>
      <c r="O2315" s="101"/>
      <c r="P2315" s="101"/>
      <c r="Q2315" s="102"/>
    </row>
    <row r="2316">
      <c r="A2316" s="140"/>
      <c r="B2316" s="134" t="s">
        <v>18</v>
      </c>
      <c r="C2316" s="134" t="s">
        <v>84</v>
      </c>
      <c r="D2316" s="133" t="s">
        <v>879</v>
      </c>
      <c r="E2316" s="240">
        <v>43225.0</v>
      </c>
      <c r="F2316" s="13" t="str">
        <f t="shared" si="195"/>
        <v>May-2018</v>
      </c>
      <c r="G2316" s="32" t="s">
        <v>20</v>
      </c>
      <c r="H2316" s="25" t="s">
        <v>287</v>
      </c>
      <c r="I2316" s="25" t="s">
        <v>375</v>
      </c>
      <c r="J2316" s="25" t="s">
        <v>48</v>
      </c>
      <c r="K2316" s="25" t="s">
        <v>9</v>
      </c>
      <c r="L2316" s="25" t="s">
        <v>24</v>
      </c>
      <c r="M2316" s="25" t="s">
        <v>24</v>
      </c>
      <c r="N2316" s="25" t="s">
        <v>98</v>
      </c>
      <c r="Q2316" s="99"/>
    </row>
    <row r="2317">
      <c r="A2317" s="140"/>
      <c r="B2317" s="134" t="s">
        <v>18</v>
      </c>
      <c r="C2317" s="134" t="s">
        <v>84</v>
      </c>
      <c r="D2317" s="133" t="s">
        <v>879</v>
      </c>
      <c r="E2317" s="240">
        <v>43225.0</v>
      </c>
      <c r="F2317" s="13" t="str">
        <f t="shared" si="195"/>
        <v>May-2018</v>
      </c>
      <c r="G2317" s="32" t="s">
        <v>25</v>
      </c>
      <c r="H2317" s="25" t="s">
        <v>287</v>
      </c>
      <c r="I2317" s="25" t="s">
        <v>375</v>
      </c>
      <c r="J2317" s="25" t="s">
        <v>48</v>
      </c>
      <c r="K2317" s="25" t="s">
        <v>9</v>
      </c>
      <c r="L2317" s="25" t="s">
        <v>24</v>
      </c>
      <c r="M2317" s="25"/>
      <c r="N2317" s="25" t="s">
        <v>69</v>
      </c>
      <c r="Q2317" s="99"/>
    </row>
    <row r="2318">
      <c r="A2318" s="140"/>
      <c r="B2318" s="134" t="s">
        <v>18</v>
      </c>
      <c r="C2318" s="134" t="s">
        <v>84</v>
      </c>
      <c r="D2318" s="133" t="s">
        <v>879</v>
      </c>
      <c r="E2318" s="240">
        <v>43225.0</v>
      </c>
      <c r="F2318" s="13" t="str">
        <f t="shared" si="195"/>
        <v>May-2018</v>
      </c>
      <c r="G2318" s="19" t="s">
        <v>20</v>
      </c>
      <c r="H2318" s="16" t="s">
        <v>287</v>
      </c>
      <c r="I2318" s="16" t="s">
        <v>886</v>
      </c>
      <c r="J2318" s="16" t="s">
        <v>44</v>
      </c>
      <c r="K2318" s="16" t="s">
        <v>9</v>
      </c>
      <c r="L2318" s="16" t="s">
        <v>30</v>
      </c>
      <c r="M2318" s="16" t="s">
        <v>30</v>
      </c>
      <c r="N2318" s="16" t="s">
        <v>98</v>
      </c>
      <c r="O2318" s="101"/>
      <c r="P2318" s="101"/>
      <c r="Q2318" s="102"/>
    </row>
    <row r="2319">
      <c r="A2319" s="140"/>
      <c r="B2319" s="134" t="s">
        <v>18</v>
      </c>
      <c r="C2319" s="134" t="s">
        <v>84</v>
      </c>
      <c r="D2319" s="133" t="s">
        <v>879</v>
      </c>
      <c r="E2319" s="240">
        <v>43225.0</v>
      </c>
      <c r="F2319" s="13" t="str">
        <f t="shared" si="195"/>
        <v>May-2018</v>
      </c>
      <c r="G2319" s="19" t="s">
        <v>25</v>
      </c>
      <c r="H2319" s="16" t="s">
        <v>287</v>
      </c>
      <c r="I2319" s="16" t="s">
        <v>886</v>
      </c>
      <c r="J2319" s="16" t="s">
        <v>44</v>
      </c>
      <c r="K2319" s="16" t="s">
        <v>9</v>
      </c>
      <c r="L2319" s="16" t="s">
        <v>30</v>
      </c>
      <c r="M2319" s="16"/>
      <c r="N2319" s="16" t="s">
        <v>106</v>
      </c>
      <c r="O2319" s="101"/>
      <c r="P2319" s="101"/>
      <c r="Q2319" s="102"/>
    </row>
    <row r="2320">
      <c r="A2320" s="140"/>
      <c r="B2320" s="134" t="s">
        <v>18</v>
      </c>
      <c r="C2320" s="134" t="s">
        <v>84</v>
      </c>
      <c r="D2320" s="133" t="s">
        <v>879</v>
      </c>
      <c r="E2320" s="240">
        <v>43225.0</v>
      </c>
      <c r="F2320" s="13" t="str">
        <f t="shared" si="195"/>
        <v>May-2018</v>
      </c>
      <c r="G2320" s="32" t="s">
        <v>20</v>
      </c>
      <c r="H2320" s="24" t="s">
        <v>35</v>
      </c>
      <c r="I2320" s="25" t="s">
        <v>122</v>
      </c>
      <c r="J2320" s="25" t="s">
        <v>44</v>
      </c>
      <c r="K2320" s="25" t="s">
        <v>9</v>
      </c>
      <c r="L2320" s="25" t="s">
        <v>30</v>
      </c>
      <c r="M2320" s="25" t="s">
        <v>30</v>
      </c>
      <c r="N2320" s="25" t="s">
        <v>98</v>
      </c>
      <c r="Q2320" s="99"/>
    </row>
    <row r="2321">
      <c r="A2321" s="140"/>
      <c r="B2321" s="134" t="s">
        <v>18</v>
      </c>
      <c r="C2321" s="134" t="s">
        <v>84</v>
      </c>
      <c r="D2321" s="133" t="s">
        <v>879</v>
      </c>
      <c r="E2321" s="240">
        <v>43225.0</v>
      </c>
      <c r="F2321" s="13" t="str">
        <f t="shared" si="195"/>
        <v>May-2018</v>
      </c>
      <c r="G2321" s="32" t="s">
        <v>25</v>
      </c>
      <c r="H2321" s="24" t="s">
        <v>35</v>
      </c>
      <c r="I2321" s="25" t="s">
        <v>122</v>
      </c>
      <c r="J2321" s="25" t="s">
        <v>44</v>
      </c>
      <c r="K2321" s="25" t="s">
        <v>9</v>
      </c>
      <c r="L2321" s="25" t="s">
        <v>30</v>
      </c>
      <c r="M2321" s="25"/>
      <c r="N2321" s="25" t="s">
        <v>106</v>
      </c>
      <c r="Q2321" s="99"/>
    </row>
    <row r="2322">
      <c r="A2322" s="140"/>
      <c r="B2322" s="134" t="s">
        <v>18</v>
      </c>
      <c r="C2322" s="134" t="s">
        <v>84</v>
      </c>
      <c r="D2322" s="133" t="s">
        <v>879</v>
      </c>
      <c r="E2322" s="240">
        <v>43225.0</v>
      </c>
      <c r="F2322" s="13" t="str">
        <f t="shared" si="195"/>
        <v>May-2018</v>
      </c>
      <c r="G2322" s="19" t="s">
        <v>20</v>
      </c>
      <c r="H2322" s="15" t="s">
        <v>35</v>
      </c>
      <c r="I2322" s="16" t="s">
        <v>424</v>
      </c>
      <c r="J2322" s="16" t="s">
        <v>27</v>
      </c>
      <c r="K2322" s="16" t="s">
        <v>9</v>
      </c>
      <c r="L2322" s="16" t="s">
        <v>30</v>
      </c>
      <c r="M2322" s="16" t="s">
        <v>30</v>
      </c>
      <c r="N2322" s="16" t="s">
        <v>69</v>
      </c>
      <c r="O2322" s="101"/>
      <c r="P2322" s="101"/>
      <c r="Q2322" s="102"/>
    </row>
    <row r="2323">
      <c r="A2323" s="140"/>
      <c r="B2323" s="134" t="s">
        <v>18</v>
      </c>
      <c r="C2323" s="134" t="s">
        <v>84</v>
      </c>
      <c r="D2323" s="133" t="s">
        <v>879</v>
      </c>
      <c r="E2323" s="240">
        <v>43225.0</v>
      </c>
      <c r="F2323" s="13" t="str">
        <f t="shared" si="195"/>
        <v>May-2018</v>
      </c>
      <c r="G2323" s="19" t="s">
        <v>25</v>
      </c>
      <c r="H2323" s="15" t="s">
        <v>35</v>
      </c>
      <c r="I2323" s="16" t="s">
        <v>424</v>
      </c>
      <c r="J2323" s="16" t="s">
        <v>27</v>
      </c>
      <c r="K2323" s="16" t="s">
        <v>9</v>
      </c>
      <c r="L2323" s="16" t="s">
        <v>30</v>
      </c>
      <c r="M2323" s="16"/>
      <c r="N2323" s="16" t="s">
        <v>106</v>
      </c>
      <c r="O2323" s="101"/>
      <c r="P2323" s="101"/>
      <c r="Q2323" s="102"/>
    </row>
    <row r="2324">
      <c r="A2324" s="140"/>
      <c r="B2324" s="134" t="s">
        <v>18</v>
      </c>
      <c r="C2324" s="134" t="s">
        <v>84</v>
      </c>
      <c r="D2324" s="133" t="s">
        <v>879</v>
      </c>
      <c r="E2324" s="240">
        <v>43225.0</v>
      </c>
      <c r="F2324" s="13" t="str">
        <f t="shared" si="195"/>
        <v>May-2018</v>
      </c>
      <c r="G2324" s="32" t="s">
        <v>20</v>
      </c>
      <c r="H2324" s="24" t="s">
        <v>35</v>
      </c>
      <c r="I2324" s="25" t="s">
        <v>257</v>
      </c>
      <c r="J2324" s="25" t="s">
        <v>71</v>
      </c>
      <c r="K2324" s="25" t="s">
        <v>9</v>
      </c>
      <c r="L2324" s="25" t="s">
        <v>24</v>
      </c>
      <c r="M2324" s="25" t="s">
        <v>24</v>
      </c>
      <c r="N2324" s="25" t="s">
        <v>99</v>
      </c>
      <c r="Q2324" s="99"/>
    </row>
    <row r="2325">
      <c r="A2325" s="140"/>
      <c r="B2325" s="134" t="s">
        <v>18</v>
      </c>
      <c r="C2325" s="134" t="s">
        <v>84</v>
      </c>
      <c r="D2325" s="133" t="s">
        <v>879</v>
      </c>
      <c r="E2325" s="240">
        <v>43225.0</v>
      </c>
      <c r="F2325" s="13" t="str">
        <f t="shared" si="195"/>
        <v>May-2018</v>
      </c>
      <c r="G2325" s="32" t="s">
        <v>25</v>
      </c>
      <c r="H2325" s="24" t="s">
        <v>35</v>
      </c>
      <c r="I2325" s="25" t="s">
        <v>257</v>
      </c>
      <c r="J2325" s="25" t="s">
        <v>71</v>
      </c>
      <c r="K2325" s="25" t="s">
        <v>9</v>
      </c>
      <c r="L2325" s="25" t="s">
        <v>24</v>
      </c>
      <c r="M2325" s="25"/>
      <c r="N2325" s="25" t="s">
        <v>69</v>
      </c>
      <c r="Q2325" s="99"/>
    </row>
    <row r="2326">
      <c r="A2326" s="140"/>
      <c r="B2326" s="134" t="s">
        <v>18</v>
      </c>
      <c r="C2326" s="134" t="s">
        <v>84</v>
      </c>
      <c r="D2326" s="133" t="s">
        <v>879</v>
      </c>
      <c r="E2326" s="240">
        <v>43225.0</v>
      </c>
      <c r="F2326" s="13" t="str">
        <f t="shared" si="195"/>
        <v>May-2018</v>
      </c>
      <c r="G2326" s="19" t="s">
        <v>20</v>
      </c>
      <c r="H2326" s="15" t="s">
        <v>35</v>
      </c>
      <c r="I2326" s="16" t="s">
        <v>501</v>
      </c>
      <c r="J2326" s="16" t="s">
        <v>102</v>
      </c>
      <c r="K2326" s="16" t="s">
        <v>9</v>
      </c>
      <c r="L2326" s="16" t="s">
        <v>24</v>
      </c>
      <c r="M2326" s="16" t="s">
        <v>24</v>
      </c>
      <c r="N2326" s="16" t="s">
        <v>98</v>
      </c>
      <c r="O2326" s="101"/>
      <c r="P2326" s="101"/>
      <c r="Q2326" s="102"/>
    </row>
    <row r="2327">
      <c r="A2327" s="141"/>
      <c r="B2327" s="134" t="s">
        <v>18</v>
      </c>
      <c r="C2327" s="134" t="s">
        <v>84</v>
      </c>
      <c r="D2327" s="133" t="s">
        <v>879</v>
      </c>
      <c r="E2327" s="241">
        <v>43225.0</v>
      </c>
      <c r="F2327" s="35" t="str">
        <f t="shared" si="195"/>
        <v>May-2018</v>
      </c>
      <c r="G2327" s="39" t="s">
        <v>25</v>
      </c>
      <c r="H2327" s="37" t="s">
        <v>35</v>
      </c>
      <c r="I2327" s="38" t="s">
        <v>501</v>
      </c>
      <c r="J2327" s="38" t="s">
        <v>102</v>
      </c>
      <c r="K2327" s="38" t="s">
        <v>9</v>
      </c>
      <c r="L2327" s="38" t="s">
        <v>24</v>
      </c>
      <c r="M2327" s="38"/>
      <c r="N2327" s="38" t="s">
        <v>106</v>
      </c>
      <c r="O2327" s="105"/>
      <c r="P2327" s="105"/>
      <c r="Q2327" s="106"/>
    </row>
    <row r="2328">
      <c r="A2328" s="94"/>
    </row>
    <row r="2329">
      <c r="A2329" s="133" t="s">
        <v>887</v>
      </c>
      <c r="B2329" s="134" t="s">
        <v>18</v>
      </c>
      <c r="C2329" s="134" t="s">
        <v>74</v>
      </c>
      <c r="D2329" s="133" t="s">
        <v>887</v>
      </c>
      <c r="E2329" s="260">
        <v>43243.0</v>
      </c>
      <c r="F2329" s="110" t="str">
        <f t="shared" ref="F2329:F2340" si="196">TEXT(E2321:E2329, "mmm") &amp; "-" &amp; TEXT(E2321:E2329, "yyyy") </f>
        <v>May-2018</v>
      </c>
      <c r="G2329" s="276" t="s">
        <v>20</v>
      </c>
      <c r="H2329" s="46" t="s">
        <v>35</v>
      </c>
      <c r="I2329" s="47" t="s">
        <v>579</v>
      </c>
      <c r="J2329" s="47" t="s">
        <v>97</v>
      </c>
      <c r="K2329" s="47" t="s">
        <v>9</v>
      </c>
      <c r="L2329" s="47" t="s">
        <v>30</v>
      </c>
      <c r="M2329" s="47" t="s">
        <v>30</v>
      </c>
      <c r="N2329" s="47" t="s">
        <v>69</v>
      </c>
      <c r="O2329" s="152"/>
      <c r="P2329" s="152"/>
      <c r="Q2329" s="153"/>
    </row>
    <row r="2330">
      <c r="A2330" s="134" t="s">
        <v>18</v>
      </c>
      <c r="B2330" s="134" t="s">
        <v>18</v>
      </c>
      <c r="C2330" s="134" t="s">
        <v>74</v>
      </c>
      <c r="D2330" s="133" t="s">
        <v>887</v>
      </c>
      <c r="E2330" s="261">
        <v>43243.0</v>
      </c>
      <c r="F2330" s="13" t="str">
        <f t="shared" si="196"/>
        <v>May-2018</v>
      </c>
      <c r="G2330" s="19" t="s">
        <v>25</v>
      </c>
      <c r="H2330" s="15" t="s">
        <v>35</v>
      </c>
      <c r="I2330" s="16" t="s">
        <v>579</v>
      </c>
      <c r="J2330" s="16" t="s">
        <v>97</v>
      </c>
      <c r="K2330" s="16" t="s">
        <v>9</v>
      </c>
      <c r="L2330" s="16" t="s">
        <v>30</v>
      </c>
      <c r="M2330" s="16"/>
      <c r="N2330" s="16" t="s">
        <v>37</v>
      </c>
      <c r="O2330" s="101"/>
      <c r="P2330" s="101"/>
      <c r="Q2330" s="102"/>
    </row>
    <row r="2331">
      <c r="A2331" s="134" t="s">
        <v>638</v>
      </c>
      <c r="B2331" s="134" t="s">
        <v>18</v>
      </c>
      <c r="C2331" s="134" t="s">
        <v>74</v>
      </c>
      <c r="D2331" s="133" t="s">
        <v>887</v>
      </c>
      <c r="E2331" s="261">
        <v>43243.0</v>
      </c>
      <c r="F2331" s="13" t="str">
        <f t="shared" si="196"/>
        <v>May-2018</v>
      </c>
      <c r="G2331" s="32" t="s">
        <v>20</v>
      </c>
      <c r="H2331" s="24" t="s">
        <v>35</v>
      </c>
      <c r="I2331" s="25" t="s">
        <v>218</v>
      </c>
      <c r="J2331" s="25" t="s">
        <v>86</v>
      </c>
      <c r="K2331" s="25" t="s">
        <v>9</v>
      </c>
      <c r="L2331" s="25" t="s">
        <v>30</v>
      </c>
      <c r="M2331" s="25" t="s">
        <v>30</v>
      </c>
      <c r="N2331" s="25" t="s">
        <v>69</v>
      </c>
      <c r="Q2331" s="99"/>
    </row>
    <row r="2332">
      <c r="A2332" s="189">
        <v>43243.0</v>
      </c>
      <c r="B2332" s="134" t="s">
        <v>18</v>
      </c>
      <c r="C2332" s="134" t="s">
        <v>74</v>
      </c>
      <c r="D2332" s="133" t="s">
        <v>887</v>
      </c>
      <c r="E2332" s="261">
        <v>43243.0</v>
      </c>
      <c r="F2332" s="13" t="str">
        <f t="shared" si="196"/>
        <v>May-2018</v>
      </c>
      <c r="G2332" s="32" t="s">
        <v>25</v>
      </c>
      <c r="H2332" s="24" t="s">
        <v>35</v>
      </c>
      <c r="I2332" s="25" t="s">
        <v>218</v>
      </c>
      <c r="J2332" s="25" t="s">
        <v>86</v>
      </c>
      <c r="K2332" s="25" t="s">
        <v>9</v>
      </c>
      <c r="L2332" s="25" t="s">
        <v>30</v>
      </c>
      <c r="M2332" s="25"/>
      <c r="N2332" s="25" t="s">
        <v>98</v>
      </c>
      <c r="Q2332" s="99"/>
    </row>
    <row r="2333">
      <c r="A2333" s="134" t="s">
        <v>74</v>
      </c>
      <c r="B2333" s="134" t="s">
        <v>18</v>
      </c>
      <c r="C2333" s="134" t="s">
        <v>74</v>
      </c>
      <c r="D2333" s="133" t="s">
        <v>887</v>
      </c>
      <c r="E2333" s="261">
        <v>43243.0</v>
      </c>
      <c r="F2333" s="13" t="str">
        <f t="shared" si="196"/>
        <v>May-2018</v>
      </c>
      <c r="G2333" s="19" t="s">
        <v>20</v>
      </c>
      <c r="H2333" s="15" t="s">
        <v>35</v>
      </c>
      <c r="I2333" s="16" t="s">
        <v>409</v>
      </c>
      <c r="J2333" s="16" t="s">
        <v>23</v>
      </c>
      <c r="K2333" s="16" t="s">
        <v>9</v>
      </c>
      <c r="L2333" s="16" t="s">
        <v>30</v>
      </c>
      <c r="M2333" s="16" t="s">
        <v>30</v>
      </c>
      <c r="N2333" s="16" t="s">
        <v>69</v>
      </c>
      <c r="O2333" s="101"/>
      <c r="P2333" s="101"/>
      <c r="Q2333" s="102"/>
    </row>
    <row r="2334">
      <c r="A2334" s="176" t="s">
        <v>888</v>
      </c>
      <c r="B2334" s="134" t="s">
        <v>18</v>
      </c>
      <c r="C2334" s="134" t="s">
        <v>74</v>
      </c>
      <c r="D2334" s="133" t="s">
        <v>887</v>
      </c>
      <c r="E2334" s="261">
        <v>43243.0</v>
      </c>
      <c r="F2334" s="13" t="str">
        <f t="shared" si="196"/>
        <v>May-2018</v>
      </c>
      <c r="G2334" s="19" t="s">
        <v>25</v>
      </c>
      <c r="H2334" s="15" t="s">
        <v>35</v>
      </c>
      <c r="I2334" s="16" t="s">
        <v>409</v>
      </c>
      <c r="J2334" s="16" t="s">
        <v>23</v>
      </c>
      <c r="K2334" s="16" t="s">
        <v>9</v>
      </c>
      <c r="L2334" s="16" t="s">
        <v>30</v>
      </c>
      <c r="M2334" s="16"/>
      <c r="N2334" s="16" t="s">
        <v>99</v>
      </c>
      <c r="O2334" s="101"/>
      <c r="P2334" s="101"/>
      <c r="Q2334" s="102"/>
    </row>
    <row r="2335">
      <c r="A2335" s="176" t="s">
        <v>889</v>
      </c>
      <c r="B2335" s="134" t="s">
        <v>18</v>
      </c>
      <c r="C2335" s="134" t="s">
        <v>74</v>
      </c>
      <c r="D2335" s="133" t="s">
        <v>887</v>
      </c>
      <c r="E2335" s="261">
        <v>43243.0</v>
      </c>
      <c r="F2335" s="13" t="str">
        <f t="shared" si="196"/>
        <v>May-2018</v>
      </c>
      <c r="G2335" s="264" t="s">
        <v>146</v>
      </c>
      <c r="H2335" s="24" t="s">
        <v>35</v>
      </c>
      <c r="I2335" s="25" t="s">
        <v>194</v>
      </c>
      <c r="J2335" s="25" t="s">
        <v>23</v>
      </c>
      <c r="K2335" s="25" t="s">
        <v>9</v>
      </c>
      <c r="L2335" s="25" t="s">
        <v>24</v>
      </c>
      <c r="M2335" s="25" t="s">
        <v>24</v>
      </c>
      <c r="N2335" s="25" t="s">
        <v>37</v>
      </c>
      <c r="Q2335" s="99"/>
    </row>
    <row r="2336">
      <c r="A2336" s="140"/>
      <c r="B2336" s="134" t="s">
        <v>18</v>
      </c>
      <c r="C2336" s="134" t="s">
        <v>74</v>
      </c>
      <c r="D2336" s="133" t="s">
        <v>887</v>
      </c>
      <c r="E2336" s="261">
        <v>43243.0</v>
      </c>
      <c r="F2336" s="13" t="str">
        <f t="shared" si="196"/>
        <v>May-2018</v>
      </c>
      <c r="G2336" s="264" t="s">
        <v>149</v>
      </c>
      <c r="H2336" s="24" t="s">
        <v>35</v>
      </c>
      <c r="I2336" s="25" t="s">
        <v>194</v>
      </c>
      <c r="J2336" s="25" t="s">
        <v>23</v>
      </c>
      <c r="K2336" s="25" t="s">
        <v>9</v>
      </c>
      <c r="L2336" s="25" t="s">
        <v>24</v>
      </c>
      <c r="M2336" s="25"/>
      <c r="N2336" s="25" t="s">
        <v>29</v>
      </c>
      <c r="Q2336" s="99"/>
    </row>
    <row r="2337">
      <c r="A2337" s="140"/>
      <c r="B2337" s="134" t="s">
        <v>18</v>
      </c>
      <c r="C2337" s="134" t="s">
        <v>74</v>
      </c>
      <c r="D2337" s="133" t="s">
        <v>887</v>
      </c>
      <c r="E2337" s="261">
        <v>43243.0</v>
      </c>
      <c r="F2337" s="13" t="str">
        <f t="shared" si="196"/>
        <v>May-2018</v>
      </c>
      <c r="G2337" s="264" t="s">
        <v>222</v>
      </c>
      <c r="H2337" s="24" t="s">
        <v>35</v>
      </c>
      <c r="I2337" s="25" t="s">
        <v>194</v>
      </c>
      <c r="J2337" s="25" t="s">
        <v>23</v>
      </c>
      <c r="K2337" s="25" t="s">
        <v>9</v>
      </c>
      <c r="L2337" s="25" t="s">
        <v>24</v>
      </c>
      <c r="M2337" s="25"/>
      <c r="N2337" s="25" t="s">
        <v>29</v>
      </c>
      <c r="Q2337" s="99"/>
    </row>
    <row r="2338">
      <c r="A2338" s="140"/>
      <c r="B2338" s="134" t="s">
        <v>18</v>
      </c>
      <c r="C2338" s="134" t="s">
        <v>74</v>
      </c>
      <c r="D2338" s="133" t="s">
        <v>887</v>
      </c>
      <c r="E2338" s="261">
        <v>43243.0</v>
      </c>
      <c r="F2338" s="13" t="str">
        <f t="shared" si="196"/>
        <v>May-2018</v>
      </c>
      <c r="G2338" s="263" t="s">
        <v>146</v>
      </c>
      <c r="H2338" s="15" t="s">
        <v>35</v>
      </c>
      <c r="I2338" s="16" t="s">
        <v>218</v>
      </c>
      <c r="J2338" s="16" t="s">
        <v>86</v>
      </c>
      <c r="K2338" s="16" t="s">
        <v>9</v>
      </c>
      <c r="L2338" s="16" t="s">
        <v>24</v>
      </c>
      <c r="M2338" s="16" t="s">
        <v>24</v>
      </c>
      <c r="N2338" s="16" t="s">
        <v>69</v>
      </c>
      <c r="O2338" s="101"/>
      <c r="P2338" s="101"/>
      <c r="Q2338" s="102"/>
    </row>
    <row r="2339">
      <c r="A2339" s="140"/>
      <c r="B2339" s="134" t="s">
        <v>18</v>
      </c>
      <c r="C2339" s="134" t="s">
        <v>74</v>
      </c>
      <c r="D2339" s="133" t="s">
        <v>887</v>
      </c>
      <c r="E2339" s="261">
        <v>43243.0</v>
      </c>
      <c r="F2339" s="13" t="str">
        <f t="shared" si="196"/>
        <v>May-2018</v>
      </c>
      <c r="G2339" s="263" t="s">
        <v>149</v>
      </c>
      <c r="H2339" s="15" t="s">
        <v>35</v>
      </c>
      <c r="I2339" s="16" t="s">
        <v>218</v>
      </c>
      <c r="J2339" s="16" t="s">
        <v>86</v>
      </c>
      <c r="K2339" s="16" t="s">
        <v>9</v>
      </c>
      <c r="L2339" s="16" t="s">
        <v>24</v>
      </c>
      <c r="M2339" s="16"/>
      <c r="N2339" s="16" t="s">
        <v>29</v>
      </c>
      <c r="O2339" s="101"/>
      <c r="P2339" s="101"/>
      <c r="Q2339" s="102"/>
    </row>
    <row r="2340">
      <c r="A2340" s="141"/>
      <c r="B2340" s="134" t="s">
        <v>18</v>
      </c>
      <c r="C2340" s="134" t="s">
        <v>74</v>
      </c>
      <c r="D2340" s="133" t="s">
        <v>887</v>
      </c>
      <c r="E2340" s="262">
        <v>43243.0</v>
      </c>
      <c r="F2340" s="35" t="str">
        <f t="shared" si="196"/>
        <v>May-2018</v>
      </c>
      <c r="G2340" s="265" t="s">
        <v>222</v>
      </c>
      <c r="H2340" s="37" t="s">
        <v>35</v>
      </c>
      <c r="I2340" s="38" t="s">
        <v>218</v>
      </c>
      <c r="J2340" s="38" t="s">
        <v>86</v>
      </c>
      <c r="K2340" s="38" t="s">
        <v>9</v>
      </c>
      <c r="L2340" s="38" t="s">
        <v>24</v>
      </c>
      <c r="M2340" s="38"/>
      <c r="N2340" s="38" t="s">
        <v>29</v>
      </c>
      <c r="O2340" s="105"/>
      <c r="P2340" s="105"/>
      <c r="Q2340" s="106"/>
    </row>
    <row r="2341">
      <c r="A2341" s="94"/>
    </row>
    <row r="2342">
      <c r="A2342" s="133" t="s">
        <v>890</v>
      </c>
      <c r="B2342" s="134" t="s">
        <v>546</v>
      </c>
      <c r="C2342" s="134" t="s">
        <v>74</v>
      </c>
      <c r="D2342" s="133" t="s">
        <v>890</v>
      </c>
      <c r="E2342" s="168">
        <v>43249.0</v>
      </c>
      <c r="F2342" s="13" t="str">
        <f t="shared" ref="F2342:F2367" si="197">TEXT(E2334:E2342, "mmm") &amp; "-" &amp; TEXT(E2334:E2342, "yyyy") </f>
        <v>May-2018</v>
      </c>
      <c r="G2342" s="269" t="s">
        <v>146</v>
      </c>
      <c r="H2342" s="72" t="s">
        <v>35</v>
      </c>
      <c r="I2342" s="73" t="s">
        <v>607</v>
      </c>
      <c r="J2342" s="73" t="s">
        <v>27</v>
      </c>
      <c r="K2342" s="73" t="s">
        <v>9</v>
      </c>
      <c r="L2342" s="73" t="s">
        <v>30</v>
      </c>
      <c r="M2342" s="73" t="s">
        <v>30</v>
      </c>
      <c r="N2342" s="73" t="s">
        <v>98</v>
      </c>
      <c r="O2342" s="165"/>
      <c r="P2342" s="165"/>
      <c r="Q2342" s="166"/>
    </row>
    <row r="2343">
      <c r="A2343" s="134" t="s">
        <v>546</v>
      </c>
      <c r="B2343" s="134" t="s">
        <v>546</v>
      </c>
      <c r="C2343" s="134" t="s">
        <v>74</v>
      </c>
      <c r="D2343" s="133" t="s">
        <v>890</v>
      </c>
      <c r="E2343" s="168">
        <v>43249.0</v>
      </c>
      <c r="F2343" s="13" t="str">
        <f t="shared" si="197"/>
        <v>May-2018</v>
      </c>
      <c r="G2343" s="264" t="s">
        <v>149</v>
      </c>
      <c r="H2343" s="24" t="s">
        <v>35</v>
      </c>
      <c r="I2343" s="25" t="s">
        <v>607</v>
      </c>
      <c r="J2343" s="25" t="s">
        <v>139</v>
      </c>
      <c r="K2343" s="25" t="s">
        <v>9</v>
      </c>
      <c r="L2343" s="25" t="s">
        <v>30</v>
      </c>
      <c r="M2343" s="25"/>
      <c r="N2343" s="25" t="s">
        <v>29</v>
      </c>
      <c r="Q2343" s="99"/>
    </row>
    <row r="2344">
      <c r="A2344" s="134" t="s">
        <v>807</v>
      </c>
      <c r="B2344" s="134" t="s">
        <v>546</v>
      </c>
      <c r="C2344" s="134" t="s">
        <v>74</v>
      </c>
      <c r="D2344" s="133" t="s">
        <v>890</v>
      </c>
      <c r="E2344" s="168">
        <v>43249.0</v>
      </c>
      <c r="F2344" s="13" t="str">
        <f t="shared" si="197"/>
        <v>May-2018</v>
      </c>
      <c r="G2344" s="264" t="s">
        <v>222</v>
      </c>
      <c r="H2344" s="24" t="s">
        <v>35</v>
      </c>
      <c r="I2344" s="25" t="s">
        <v>607</v>
      </c>
      <c r="J2344" s="25" t="s">
        <v>27</v>
      </c>
      <c r="K2344" s="25" t="s">
        <v>64</v>
      </c>
      <c r="L2344" s="25" t="s">
        <v>24</v>
      </c>
      <c r="M2344" s="25"/>
      <c r="N2344" s="25" t="s">
        <v>29</v>
      </c>
      <c r="Q2344" s="99"/>
    </row>
    <row r="2345">
      <c r="A2345" s="168">
        <v>43249.0</v>
      </c>
      <c r="B2345" s="134" t="s">
        <v>546</v>
      </c>
      <c r="C2345" s="134" t="s">
        <v>74</v>
      </c>
      <c r="D2345" s="133" t="s">
        <v>890</v>
      </c>
      <c r="E2345" s="168">
        <v>43249.0</v>
      </c>
      <c r="F2345" s="13" t="str">
        <f t="shared" si="197"/>
        <v>May-2018</v>
      </c>
      <c r="G2345" s="264" t="s">
        <v>467</v>
      </c>
      <c r="H2345" s="24" t="s">
        <v>35</v>
      </c>
      <c r="I2345" s="25" t="s">
        <v>607</v>
      </c>
      <c r="J2345" s="25" t="s">
        <v>40</v>
      </c>
      <c r="K2345" s="25" t="s">
        <v>64</v>
      </c>
      <c r="L2345" s="25" t="s">
        <v>30</v>
      </c>
      <c r="M2345" s="25"/>
      <c r="N2345" s="25" t="s">
        <v>69</v>
      </c>
      <c r="Q2345" s="99"/>
    </row>
    <row r="2346">
      <c r="A2346" s="134" t="s">
        <v>74</v>
      </c>
      <c r="B2346" s="134" t="s">
        <v>546</v>
      </c>
      <c r="C2346" s="134" t="s">
        <v>74</v>
      </c>
      <c r="D2346" s="133" t="s">
        <v>890</v>
      </c>
      <c r="E2346" s="168">
        <v>43249.0</v>
      </c>
      <c r="F2346" s="13" t="str">
        <f t="shared" si="197"/>
        <v>May-2018</v>
      </c>
      <c r="G2346" s="263" t="s">
        <v>146</v>
      </c>
      <c r="H2346" s="15" t="s">
        <v>35</v>
      </c>
      <c r="I2346" s="16" t="s">
        <v>148</v>
      </c>
      <c r="J2346" s="16" t="s">
        <v>27</v>
      </c>
      <c r="K2346" s="16" t="s">
        <v>9</v>
      </c>
      <c r="L2346" s="16" t="s">
        <v>24</v>
      </c>
      <c r="M2346" s="16" t="s">
        <v>24</v>
      </c>
      <c r="N2346" s="16" t="s">
        <v>37</v>
      </c>
      <c r="O2346" s="101"/>
      <c r="P2346" s="101"/>
      <c r="Q2346" s="102"/>
    </row>
    <row r="2347">
      <c r="A2347" s="140"/>
      <c r="B2347" s="134" t="s">
        <v>546</v>
      </c>
      <c r="C2347" s="134" t="s">
        <v>74</v>
      </c>
      <c r="D2347" s="133" t="s">
        <v>890</v>
      </c>
      <c r="E2347" s="168">
        <v>43249.0</v>
      </c>
      <c r="F2347" s="13" t="str">
        <f t="shared" si="197"/>
        <v>May-2018</v>
      </c>
      <c r="G2347" s="263" t="s">
        <v>149</v>
      </c>
      <c r="H2347" s="15" t="s">
        <v>35</v>
      </c>
      <c r="I2347" s="16" t="s">
        <v>148</v>
      </c>
      <c r="J2347" s="16" t="s">
        <v>27</v>
      </c>
      <c r="K2347" s="16" t="s">
        <v>9</v>
      </c>
      <c r="L2347" s="16" t="s">
        <v>24</v>
      </c>
      <c r="M2347" s="16"/>
      <c r="N2347" s="16" t="s">
        <v>98</v>
      </c>
      <c r="O2347" s="101"/>
      <c r="P2347" s="101"/>
      <c r="Q2347" s="102"/>
    </row>
    <row r="2348">
      <c r="A2348" s="176" t="s">
        <v>891</v>
      </c>
      <c r="B2348" s="134" t="s">
        <v>546</v>
      </c>
      <c r="C2348" s="134" t="s">
        <v>74</v>
      </c>
      <c r="D2348" s="133" t="s">
        <v>890</v>
      </c>
      <c r="E2348" s="168">
        <v>43249.0</v>
      </c>
      <c r="F2348" s="13" t="str">
        <f t="shared" si="197"/>
        <v>May-2018</v>
      </c>
      <c r="G2348" s="263" t="s">
        <v>222</v>
      </c>
      <c r="H2348" s="15" t="s">
        <v>35</v>
      </c>
      <c r="I2348" s="16" t="s">
        <v>148</v>
      </c>
      <c r="J2348" s="16" t="s">
        <v>27</v>
      </c>
      <c r="K2348" s="16" t="s">
        <v>9</v>
      </c>
      <c r="L2348" s="16" t="s">
        <v>24</v>
      </c>
      <c r="M2348" s="16"/>
      <c r="N2348" s="16" t="s">
        <v>69</v>
      </c>
      <c r="O2348" s="101"/>
      <c r="P2348" s="101"/>
      <c r="Q2348" s="102"/>
    </row>
    <row r="2349">
      <c r="A2349" s="140"/>
      <c r="B2349" s="134" t="s">
        <v>546</v>
      </c>
      <c r="C2349" s="134" t="s">
        <v>74</v>
      </c>
      <c r="D2349" s="133" t="s">
        <v>890</v>
      </c>
      <c r="E2349" s="168">
        <v>43249.0</v>
      </c>
      <c r="F2349" s="13" t="str">
        <f t="shared" si="197"/>
        <v>May-2018</v>
      </c>
      <c r="G2349" s="264" t="s">
        <v>146</v>
      </c>
      <c r="H2349" s="24" t="s">
        <v>35</v>
      </c>
      <c r="I2349" s="25">
        <v>808.0</v>
      </c>
      <c r="J2349" s="25" t="s">
        <v>216</v>
      </c>
      <c r="K2349" s="25" t="s">
        <v>9</v>
      </c>
      <c r="L2349" s="25" t="s">
        <v>30</v>
      </c>
      <c r="M2349" s="25" t="s">
        <v>30</v>
      </c>
      <c r="N2349" s="25" t="s">
        <v>37</v>
      </c>
      <c r="Q2349" s="99"/>
    </row>
    <row r="2350">
      <c r="A2350" s="140"/>
      <c r="B2350" s="134" t="s">
        <v>546</v>
      </c>
      <c r="C2350" s="134" t="s">
        <v>74</v>
      </c>
      <c r="D2350" s="133" t="s">
        <v>890</v>
      </c>
      <c r="E2350" s="168">
        <v>43249.0</v>
      </c>
      <c r="F2350" s="13" t="str">
        <f t="shared" si="197"/>
        <v>May-2018</v>
      </c>
      <c r="G2350" s="264" t="s">
        <v>149</v>
      </c>
      <c r="H2350" s="24" t="s">
        <v>35</v>
      </c>
      <c r="I2350" s="25">
        <v>808.0</v>
      </c>
      <c r="J2350" s="25" t="s">
        <v>216</v>
      </c>
      <c r="K2350" s="25" t="s">
        <v>64</v>
      </c>
      <c r="L2350" s="25" t="s">
        <v>30</v>
      </c>
      <c r="M2350" s="25"/>
      <c r="N2350" s="25" t="s">
        <v>29</v>
      </c>
      <c r="Q2350" s="99"/>
    </row>
    <row r="2351">
      <c r="A2351" s="140"/>
      <c r="B2351" s="134" t="s">
        <v>546</v>
      </c>
      <c r="C2351" s="134" t="s">
        <v>74</v>
      </c>
      <c r="D2351" s="133" t="s">
        <v>890</v>
      </c>
      <c r="E2351" s="168">
        <v>43249.0</v>
      </c>
      <c r="F2351" s="13" t="str">
        <f t="shared" si="197"/>
        <v>May-2018</v>
      </c>
      <c r="G2351" s="264" t="s">
        <v>222</v>
      </c>
      <c r="H2351" s="24" t="s">
        <v>35</v>
      </c>
      <c r="I2351" s="25">
        <v>808.0</v>
      </c>
      <c r="J2351" s="25" t="s">
        <v>216</v>
      </c>
      <c r="K2351" s="25" t="s">
        <v>64</v>
      </c>
      <c r="L2351" s="25" t="s">
        <v>24</v>
      </c>
      <c r="M2351" s="25"/>
      <c r="N2351" s="25" t="s">
        <v>29</v>
      </c>
      <c r="Q2351" s="99"/>
    </row>
    <row r="2352">
      <c r="A2352" s="140"/>
      <c r="B2352" s="134" t="s">
        <v>546</v>
      </c>
      <c r="C2352" s="134" t="s">
        <v>74</v>
      </c>
      <c r="D2352" s="133" t="s">
        <v>890</v>
      </c>
      <c r="E2352" s="168">
        <v>43249.0</v>
      </c>
      <c r="F2352" s="13" t="str">
        <f t="shared" si="197"/>
        <v>May-2018</v>
      </c>
      <c r="G2352" s="264" t="s">
        <v>467</v>
      </c>
      <c r="H2352" s="24" t="s">
        <v>35</v>
      </c>
      <c r="I2352" s="25">
        <v>808.0</v>
      </c>
      <c r="J2352" s="25" t="s">
        <v>216</v>
      </c>
      <c r="K2352" s="25" t="s">
        <v>9</v>
      </c>
      <c r="L2352" s="25" t="s">
        <v>24</v>
      </c>
      <c r="M2352" s="25"/>
      <c r="N2352" s="25" t="s">
        <v>69</v>
      </c>
      <c r="Q2352" s="99"/>
    </row>
    <row r="2353">
      <c r="A2353" s="140"/>
      <c r="B2353" s="134" t="s">
        <v>546</v>
      </c>
      <c r="C2353" s="134" t="s">
        <v>74</v>
      </c>
      <c r="D2353" s="133" t="s">
        <v>890</v>
      </c>
      <c r="E2353" s="168">
        <v>43249.0</v>
      </c>
      <c r="F2353" s="13" t="str">
        <f t="shared" si="197"/>
        <v>May-2018</v>
      </c>
      <c r="G2353" s="25" t="s">
        <v>480</v>
      </c>
      <c r="H2353" s="24" t="s">
        <v>35</v>
      </c>
      <c r="I2353" s="25">
        <v>808.0</v>
      </c>
      <c r="J2353" s="25" t="s">
        <v>216</v>
      </c>
      <c r="K2353" s="25" t="s">
        <v>64</v>
      </c>
      <c r="L2353" s="25" t="s">
        <v>30</v>
      </c>
      <c r="M2353" s="25"/>
      <c r="N2353" s="25" t="s">
        <v>69</v>
      </c>
      <c r="Q2353" s="99"/>
    </row>
    <row r="2354">
      <c r="A2354" s="140"/>
      <c r="B2354" s="134" t="s">
        <v>546</v>
      </c>
      <c r="C2354" s="134" t="s">
        <v>74</v>
      </c>
      <c r="D2354" s="133" t="s">
        <v>890</v>
      </c>
      <c r="E2354" s="168">
        <v>43249.0</v>
      </c>
      <c r="F2354" s="13" t="str">
        <f t="shared" si="197"/>
        <v>May-2018</v>
      </c>
      <c r="G2354" s="263" t="s">
        <v>146</v>
      </c>
      <c r="H2354" s="15" t="s">
        <v>35</v>
      </c>
      <c r="I2354" s="16" t="s">
        <v>892</v>
      </c>
      <c r="J2354" s="16" t="s">
        <v>40</v>
      </c>
      <c r="K2354" s="16" t="s">
        <v>9</v>
      </c>
      <c r="L2354" s="16" t="s">
        <v>30</v>
      </c>
      <c r="M2354" s="16" t="s">
        <v>30</v>
      </c>
      <c r="N2354" s="16" t="s">
        <v>69</v>
      </c>
      <c r="O2354" s="101"/>
      <c r="P2354" s="101"/>
      <c r="Q2354" s="102"/>
    </row>
    <row r="2355">
      <c r="A2355" s="140"/>
      <c r="B2355" s="134" t="s">
        <v>546</v>
      </c>
      <c r="C2355" s="134" t="s">
        <v>74</v>
      </c>
      <c r="D2355" s="133" t="s">
        <v>890</v>
      </c>
      <c r="E2355" s="168">
        <v>43249.0</v>
      </c>
      <c r="F2355" s="13" t="str">
        <f t="shared" si="197"/>
        <v>May-2018</v>
      </c>
      <c r="G2355" s="263" t="s">
        <v>149</v>
      </c>
      <c r="H2355" s="15" t="s">
        <v>35</v>
      </c>
      <c r="I2355" s="16" t="s">
        <v>892</v>
      </c>
      <c r="J2355" s="16" t="s">
        <v>23</v>
      </c>
      <c r="K2355" s="16" t="s">
        <v>9</v>
      </c>
      <c r="L2355" s="16" t="s">
        <v>30</v>
      </c>
      <c r="M2355" s="16"/>
      <c r="N2355" s="16" t="s">
        <v>98</v>
      </c>
      <c r="O2355" s="101"/>
      <c r="P2355" s="101"/>
      <c r="Q2355" s="102"/>
    </row>
    <row r="2356">
      <c r="A2356" s="140"/>
      <c r="B2356" s="134" t="s">
        <v>546</v>
      </c>
      <c r="C2356" s="134" t="s">
        <v>74</v>
      </c>
      <c r="D2356" s="133" t="s">
        <v>890</v>
      </c>
      <c r="E2356" s="168">
        <v>43249.0</v>
      </c>
      <c r="F2356" s="13" t="str">
        <f t="shared" si="197"/>
        <v>May-2018</v>
      </c>
      <c r="G2356" s="263" t="s">
        <v>222</v>
      </c>
      <c r="H2356" s="15" t="s">
        <v>35</v>
      </c>
      <c r="I2356" s="16" t="s">
        <v>892</v>
      </c>
      <c r="J2356" s="16" t="s">
        <v>44</v>
      </c>
      <c r="K2356" s="16" t="s">
        <v>64</v>
      </c>
      <c r="L2356" s="16" t="s">
        <v>24</v>
      </c>
      <c r="M2356" s="16"/>
      <c r="N2356" s="16" t="s">
        <v>98</v>
      </c>
      <c r="O2356" s="101"/>
      <c r="P2356" s="101"/>
      <c r="Q2356" s="102"/>
    </row>
    <row r="2357">
      <c r="A2357" s="140"/>
      <c r="B2357" s="134" t="s">
        <v>546</v>
      </c>
      <c r="C2357" s="134" t="s">
        <v>74</v>
      </c>
      <c r="D2357" s="133" t="s">
        <v>890</v>
      </c>
      <c r="E2357" s="168">
        <v>43249.0</v>
      </c>
      <c r="F2357" s="13" t="str">
        <f t="shared" si="197"/>
        <v>May-2018</v>
      </c>
      <c r="G2357" s="263" t="s">
        <v>467</v>
      </c>
      <c r="H2357" s="15" t="s">
        <v>35</v>
      </c>
      <c r="I2357" s="16" t="s">
        <v>892</v>
      </c>
      <c r="J2357" s="16" t="s">
        <v>44</v>
      </c>
      <c r="K2357" s="16" t="s">
        <v>9</v>
      </c>
      <c r="L2357" s="16" t="s">
        <v>30</v>
      </c>
      <c r="M2357" s="16"/>
      <c r="N2357" s="16" t="s">
        <v>106</v>
      </c>
      <c r="O2357" s="101"/>
      <c r="P2357" s="101"/>
      <c r="Q2357" s="102"/>
    </row>
    <row r="2358">
      <c r="A2358" s="140"/>
      <c r="B2358" s="134" t="s">
        <v>546</v>
      </c>
      <c r="C2358" s="134" t="s">
        <v>74</v>
      </c>
      <c r="D2358" s="133" t="s">
        <v>890</v>
      </c>
      <c r="E2358" s="168">
        <v>43249.0</v>
      </c>
      <c r="F2358" s="13" t="str">
        <f t="shared" si="197"/>
        <v>May-2018</v>
      </c>
      <c r="G2358" s="264" t="s">
        <v>146</v>
      </c>
      <c r="H2358" s="24" t="s">
        <v>35</v>
      </c>
      <c r="I2358" s="25" t="s">
        <v>148</v>
      </c>
      <c r="J2358" s="25" t="s">
        <v>9</v>
      </c>
      <c r="K2358" s="25" t="s">
        <v>9</v>
      </c>
      <c r="L2358" s="25" t="s">
        <v>24</v>
      </c>
      <c r="M2358" s="25" t="s">
        <v>30</v>
      </c>
      <c r="N2358" s="25" t="s">
        <v>99</v>
      </c>
      <c r="Q2358" s="99"/>
    </row>
    <row r="2359">
      <c r="A2359" s="140"/>
      <c r="B2359" s="134" t="s">
        <v>546</v>
      </c>
      <c r="C2359" s="134" t="s">
        <v>74</v>
      </c>
      <c r="D2359" s="133" t="s">
        <v>890</v>
      </c>
      <c r="E2359" s="168">
        <v>43249.0</v>
      </c>
      <c r="F2359" s="13" t="str">
        <f t="shared" si="197"/>
        <v>May-2018</v>
      </c>
      <c r="G2359" s="264" t="s">
        <v>149</v>
      </c>
      <c r="H2359" s="24" t="s">
        <v>35</v>
      </c>
      <c r="I2359" s="25" t="s">
        <v>148</v>
      </c>
      <c r="J2359" s="25" t="s">
        <v>9</v>
      </c>
      <c r="K2359" s="25" t="s">
        <v>9</v>
      </c>
      <c r="L2359" s="25" t="s">
        <v>24</v>
      </c>
      <c r="M2359" s="25"/>
      <c r="N2359" s="25" t="s">
        <v>106</v>
      </c>
      <c r="Q2359" s="99"/>
    </row>
    <row r="2360">
      <c r="A2360" s="140"/>
      <c r="B2360" s="134" t="s">
        <v>546</v>
      </c>
      <c r="C2360" s="134" t="s">
        <v>74</v>
      </c>
      <c r="D2360" s="133" t="s">
        <v>890</v>
      </c>
      <c r="E2360" s="168">
        <v>43249.0</v>
      </c>
      <c r="F2360" s="13" t="str">
        <f t="shared" si="197"/>
        <v>May-2018</v>
      </c>
      <c r="G2360" s="264" t="s">
        <v>222</v>
      </c>
      <c r="H2360" s="24" t="s">
        <v>35</v>
      </c>
      <c r="I2360" s="25" t="s">
        <v>148</v>
      </c>
      <c r="J2360" s="25" t="s">
        <v>9</v>
      </c>
      <c r="K2360" s="25" t="s">
        <v>9</v>
      </c>
      <c r="L2360" s="25" t="s">
        <v>30</v>
      </c>
      <c r="M2360" s="25"/>
      <c r="N2360" s="25" t="s">
        <v>69</v>
      </c>
      <c r="Q2360" s="99"/>
    </row>
    <row r="2361">
      <c r="A2361" s="140"/>
      <c r="B2361" s="134" t="s">
        <v>546</v>
      </c>
      <c r="C2361" s="134" t="s">
        <v>74</v>
      </c>
      <c r="D2361" s="133" t="s">
        <v>890</v>
      </c>
      <c r="E2361" s="168">
        <v>43249.0</v>
      </c>
      <c r="F2361" s="13" t="str">
        <f t="shared" si="197"/>
        <v>May-2018</v>
      </c>
      <c r="G2361" s="264" t="s">
        <v>467</v>
      </c>
      <c r="H2361" s="24" t="s">
        <v>35</v>
      </c>
      <c r="I2361" s="25" t="s">
        <v>148</v>
      </c>
      <c r="J2361" s="25" t="s">
        <v>9</v>
      </c>
      <c r="K2361" s="25" t="s">
        <v>9</v>
      </c>
      <c r="L2361" s="25" t="s">
        <v>30</v>
      </c>
      <c r="M2361" s="25"/>
      <c r="N2361" s="25" t="s">
        <v>29</v>
      </c>
      <c r="Q2361" s="99"/>
    </row>
    <row r="2362">
      <c r="A2362" s="140"/>
      <c r="B2362" s="134" t="s">
        <v>546</v>
      </c>
      <c r="C2362" s="134" t="s">
        <v>74</v>
      </c>
      <c r="D2362" s="133" t="s">
        <v>890</v>
      </c>
      <c r="E2362" s="168">
        <v>43249.0</v>
      </c>
      <c r="F2362" s="13" t="str">
        <f t="shared" si="197"/>
        <v>May-2018</v>
      </c>
      <c r="G2362" s="25" t="s">
        <v>480</v>
      </c>
      <c r="H2362" s="24" t="s">
        <v>35</v>
      </c>
      <c r="I2362" s="25" t="s">
        <v>148</v>
      </c>
      <c r="J2362" s="25" t="s">
        <v>27</v>
      </c>
      <c r="K2362" s="25" t="s">
        <v>9</v>
      </c>
      <c r="L2362" s="25" t="s">
        <v>30</v>
      </c>
      <c r="M2362" s="25"/>
      <c r="N2362" s="25" t="s">
        <v>29</v>
      </c>
      <c r="Q2362" s="99"/>
    </row>
    <row r="2363">
      <c r="A2363" s="140"/>
      <c r="B2363" s="134" t="s">
        <v>546</v>
      </c>
      <c r="C2363" s="134" t="s">
        <v>74</v>
      </c>
      <c r="D2363" s="133" t="s">
        <v>890</v>
      </c>
      <c r="E2363" s="168">
        <v>43249.0</v>
      </c>
      <c r="F2363" s="13" t="str">
        <f t="shared" si="197"/>
        <v>May-2018</v>
      </c>
      <c r="G2363" s="263" t="s">
        <v>146</v>
      </c>
      <c r="H2363" s="15" t="s">
        <v>35</v>
      </c>
      <c r="I2363" s="16" t="s">
        <v>81</v>
      </c>
      <c r="J2363" s="16" t="s">
        <v>48</v>
      </c>
      <c r="K2363" s="16" t="s">
        <v>9</v>
      </c>
      <c r="L2363" s="16" t="s">
        <v>24</v>
      </c>
      <c r="M2363" s="16" t="s">
        <v>24</v>
      </c>
      <c r="N2363" s="16" t="s">
        <v>98</v>
      </c>
      <c r="O2363" s="101"/>
      <c r="P2363" s="101"/>
      <c r="Q2363" s="102"/>
    </row>
    <row r="2364">
      <c r="A2364" s="140"/>
      <c r="B2364" s="134" t="s">
        <v>546</v>
      </c>
      <c r="C2364" s="134" t="s">
        <v>74</v>
      </c>
      <c r="D2364" s="133" t="s">
        <v>890</v>
      </c>
      <c r="E2364" s="168">
        <v>43249.0</v>
      </c>
      <c r="F2364" s="13" t="str">
        <f t="shared" si="197"/>
        <v>May-2018</v>
      </c>
      <c r="G2364" s="263" t="s">
        <v>149</v>
      </c>
      <c r="H2364" s="15" t="s">
        <v>35</v>
      </c>
      <c r="I2364" s="16" t="s">
        <v>81</v>
      </c>
      <c r="J2364" s="16" t="s">
        <v>216</v>
      </c>
      <c r="K2364" s="16" t="s">
        <v>9</v>
      </c>
      <c r="L2364" s="16" t="s">
        <v>30</v>
      </c>
      <c r="M2364" s="16"/>
      <c r="N2364" s="16" t="s">
        <v>69</v>
      </c>
      <c r="O2364" s="101"/>
      <c r="P2364" s="101"/>
      <c r="Q2364" s="102"/>
    </row>
    <row r="2365">
      <c r="A2365" s="140"/>
      <c r="B2365" s="134" t="s">
        <v>546</v>
      </c>
      <c r="C2365" s="134" t="s">
        <v>74</v>
      </c>
      <c r="D2365" s="133" t="s">
        <v>890</v>
      </c>
      <c r="E2365" s="168">
        <v>43249.0</v>
      </c>
      <c r="F2365" s="13" t="str">
        <f t="shared" si="197"/>
        <v>May-2018</v>
      </c>
      <c r="G2365" s="263" t="s">
        <v>222</v>
      </c>
      <c r="H2365" s="15" t="s">
        <v>35</v>
      </c>
      <c r="I2365" s="16" t="s">
        <v>81</v>
      </c>
      <c r="J2365" s="16" t="s">
        <v>48</v>
      </c>
      <c r="K2365" s="16" t="s">
        <v>9</v>
      </c>
      <c r="L2365" s="16" t="s">
        <v>30</v>
      </c>
      <c r="M2365" s="16"/>
      <c r="N2365" s="16" t="s">
        <v>99</v>
      </c>
      <c r="O2365" s="101"/>
      <c r="P2365" s="101"/>
      <c r="Q2365" s="102"/>
    </row>
    <row r="2366">
      <c r="A2366" s="140"/>
      <c r="B2366" s="134" t="s">
        <v>546</v>
      </c>
      <c r="C2366" s="134" t="s">
        <v>74</v>
      </c>
      <c r="D2366" s="133" t="s">
        <v>890</v>
      </c>
      <c r="E2366" s="168">
        <v>43249.0</v>
      </c>
      <c r="F2366" s="13" t="str">
        <f t="shared" si="197"/>
        <v>May-2018</v>
      </c>
      <c r="G2366" s="263" t="s">
        <v>467</v>
      </c>
      <c r="H2366" s="15" t="s">
        <v>35</v>
      </c>
      <c r="I2366" s="16" t="s">
        <v>81</v>
      </c>
      <c r="J2366" s="16" t="s">
        <v>9</v>
      </c>
      <c r="K2366" s="16" t="s">
        <v>9</v>
      </c>
      <c r="L2366" s="16" t="s">
        <v>24</v>
      </c>
      <c r="M2366" s="16"/>
      <c r="N2366" s="16" t="s">
        <v>37</v>
      </c>
      <c r="O2366" s="101"/>
      <c r="P2366" s="101"/>
      <c r="Q2366" s="102"/>
    </row>
    <row r="2367">
      <c r="A2367" s="141"/>
      <c r="B2367" s="134" t="s">
        <v>546</v>
      </c>
      <c r="C2367" s="134" t="s">
        <v>74</v>
      </c>
      <c r="D2367" s="133" t="s">
        <v>890</v>
      </c>
      <c r="E2367" s="168">
        <v>43249.0</v>
      </c>
      <c r="F2367" s="13" t="str">
        <f t="shared" si="197"/>
        <v>May-2018</v>
      </c>
      <c r="G2367" s="38" t="s">
        <v>480</v>
      </c>
      <c r="H2367" s="37" t="s">
        <v>35</v>
      </c>
      <c r="I2367" s="38" t="s">
        <v>81</v>
      </c>
      <c r="J2367" s="38" t="s">
        <v>9</v>
      </c>
      <c r="K2367" s="38" t="s">
        <v>9</v>
      </c>
      <c r="L2367" s="38" t="s">
        <v>24</v>
      </c>
      <c r="M2367" s="38"/>
      <c r="N2367" s="38" t="s">
        <v>106</v>
      </c>
      <c r="O2367" s="105"/>
      <c r="P2367" s="105"/>
      <c r="Q2367" s="106"/>
    </row>
    <row r="2368">
      <c r="A2368" s="94"/>
    </row>
    <row r="2369">
      <c r="A2369" s="133" t="s">
        <v>893</v>
      </c>
      <c r="B2369" s="134" t="s">
        <v>894</v>
      </c>
      <c r="C2369" s="134" t="s">
        <v>74</v>
      </c>
      <c r="D2369" s="133" t="s">
        <v>893</v>
      </c>
      <c r="E2369" s="168">
        <v>43259.0</v>
      </c>
      <c r="F2369" s="13" t="str">
        <f t="shared" ref="F2369:F2380" si="198">TEXT(E2361:E2369, "mmm") &amp; "-" &amp; TEXT(E2361:E2369, "yyyy") </f>
        <v>Jun-2018</v>
      </c>
      <c r="G2369" s="274" t="s">
        <v>20</v>
      </c>
      <c r="H2369" s="72" t="s">
        <v>35</v>
      </c>
      <c r="I2369" s="269" t="s">
        <v>895</v>
      </c>
      <c r="J2369" s="73" t="s">
        <v>48</v>
      </c>
      <c r="K2369" s="73" t="s">
        <v>9</v>
      </c>
      <c r="L2369" s="73" t="s">
        <v>30</v>
      </c>
      <c r="M2369" s="73" t="s">
        <v>30</v>
      </c>
      <c r="N2369" s="73" t="s">
        <v>29</v>
      </c>
      <c r="O2369" s="165"/>
      <c r="P2369" s="165"/>
      <c r="Q2369" s="166"/>
    </row>
    <row r="2370">
      <c r="A2370" s="134" t="s">
        <v>894</v>
      </c>
      <c r="B2370" s="134" t="s">
        <v>894</v>
      </c>
      <c r="C2370" s="134" t="s">
        <v>74</v>
      </c>
      <c r="D2370" s="133" t="s">
        <v>893</v>
      </c>
      <c r="E2370" s="168">
        <v>43259.0</v>
      </c>
      <c r="F2370" s="13" t="str">
        <f t="shared" si="198"/>
        <v>Jun-2018</v>
      </c>
      <c r="G2370" s="32" t="s">
        <v>25</v>
      </c>
      <c r="H2370" s="24" t="s">
        <v>35</v>
      </c>
      <c r="I2370" s="264" t="s">
        <v>895</v>
      </c>
      <c r="J2370" s="25" t="s">
        <v>48</v>
      </c>
      <c r="K2370" s="25" t="s">
        <v>9</v>
      </c>
      <c r="L2370" s="25" t="s">
        <v>30</v>
      </c>
      <c r="M2370" s="25"/>
      <c r="N2370" s="25" t="s">
        <v>99</v>
      </c>
      <c r="Q2370" s="99"/>
    </row>
    <row r="2371">
      <c r="A2371" s="134" t="s">
        <v>896</v>
      </c>
      <c r="B2371" s="134" t="s">
        <v>894</v>
      </c>
      <c r="C2371" s="134" t="s">
        <v>74</v>
      </c>
      <c r="D2371" s="133" t="s">
        <v>893</v>
      </c>
      <c r="E2371" s="168">
        <v>43259.0</v>
      </c>
      <c r="F2371" s="13" t="str">
        <f t="shared" si="198"/>
        <v>Jun-2018</v>
      </c>
      <c r="G2371" s="19" t="s">
        <v>20</v>
      </c>
      <c r="H2371" s="15" t="s">
        <v>35</v>
      </c>
      <c r="I2371" s="16" t="s">
        <v>407</v>
      </c>
      <c r="J2371" s="16" t="s">
        <v>44</v>
      </c>
      <c r="K2371" s="16" t="s">
        <v>9</v>
      </c>
      <c r="L2371" s="16" t="s">
        <v>30</v>
      </c>
      <c r="M2371" s="16" t="s">
        <v>30</v>
      </c>
      <c r="N2371" s="16" t="s">
        <v>69</v>
      </c>
      <c r="O2371" s="101"/>
      <c r="P2371" s="101"/>
      <c r="Q2371" s="102"/>
    </row>
    <row r="2372">
      <c r="A2372" s="168">
        <v>43259.0</v>
      </c>
      <c r="B2372" s="134" t="s">
        <v>894</v>
      </c>
      <c r="C2372" s="134" t="s">
        <v>74</v>
      </c>
      <c r="D2372" s="133" t="s">
        <v>893</v>
      </c>
      <c r="E2372" s="168">
        <v>43259.0</v>
      </c>
      <c r="F2372" s="13" t="str">
        <f t="shared" si="198"/>
        <v>Jun-2018</v>
      </c>
      <c r="G2372" s="19" t="s">
        <v>25</v>
      </c>
      <c r="H2372" s="15" t="s">
        <v>35</v>
      </c>
      <c r="I2372" s="16" t="s">
        <v>407</v>
      </c>
      <c r="J2372" s="16" t="s">
        <v>44</v>
      </c>
      <c r="K2372" s="16" t="s">
        <v>9</v>
      </c>
      <c r="L2372" s="16" t="s">
        <v>24</v>
      </c>
      <c r="M2372" s="16"/>
      <c r="N2372" s="16" t="s">
        <v>99</v>
      </c>
      <c r="O2372" s="101"/>
      <c r="P2372" s="101"/>
      <c r="Q2372" s="102"/>
    </row>
    <row r="2373">
      <c r="A2373" s="134" t="s">
        <v>74</v>
      </c>
      <c r="B2373" s="134" t="s">
        <v>894</v>
      </c>
      <c r="C2373" s="134" t="s">
        <v>74</v>
      </c>
      <c r="D2373" s="133" t="s">
        <v>893</v>
      </c>
      <c r="E2373" s="168">
        <v>43259.0</v>
      </c>
      <c r="F2373" s="13" t="str">
        <f t="shared" si="198"/>
        <v>Jun-2018</v>
      </c>
      <c r="G2373" s="19" t="s">
        <v>32</v>
      </c>
      <c r="H2373" s="15" t="s">
        <v>35</v>
      </c>
      <c r="I2373" s="16" t="s">
        <v>407</v>
      </c>
      <c r="J2373" s="16" t="s">
        <v>44</v>
      </c>
      <c r="K2373" s="16" t="s">
        <v>9</v>
      </c>
      <c r="L2373" s="16" t="s">
        <v>30</v>
      </c>
      <c r="M2373" s="16"/>
      <c r="N2373" s="16" t="s">
        <v>106</v>
      </c>
      <c r="O2373" s="101"/>
      <c r="P2373" s="101"/>
      <c r="Q2373" s="102"/>
    </row>
    <row r="2374">
      <c r="A2374" s="176" t="s">
        <v>897</v>
      </c>
      <c r="B2374" s="134" t="s">
        <v>894</v>
      </c>
      <c r="C2374" s="134" t="s">
        <v>74</v>
      </c>
      <c r="D2374" s="133" t="s">
        <v>893</v>
      </c>
      <c r="E2374" s="168">
        <v>43259.0</v>
      </c>
      <c r="F2374" s="13" t="str">
        <f t="shared" si="198"/>
        <v>Jun-2018</v>
      </c>
      <c r="G2374" s="264" t="s">
        <v>146</v>
      </c>
      <c r="H2374" s="24" t="s">
        <v>35</v>
      </c>
      <c r="I2374" s="25" t="s">
        <v>194</v>
      </c>
      <c r="J2374" s="25" t="s">
        <v>23</v>
      </c>
      <c r="K2374" s="25" t="s">
        <v>9</v>
      </c>
      <c r="L2374" s="25" t="s">
        <v>24</v>
      </c>
      <c r="M2374" s="25" t="s">
        <v>24</v>
      </c>
      <c r="N2374" s="25" t="s">
        <v>99</v>
      </c>
      <c r="Q2374" s="99"/>
    </row>
    <row r="2375">
      <c r="A2375" s="140"/>
      <c r="B2375" s="134" t="s">
        <v>894</v>
      </c>
      <c r="C2375" s="134" t="s">
        <v>74</v>
      </c>
      <c r="D2375" s="133" t="s">
        <v>893</v>
      </c>
      <c r="E2375" s="168">
        <v>43259.0</v>
      </c>
      <c r="F2375" s="13" t="str">
        <f t="shared" si="198"/>
        <v>Jun-2018</v>
      </c>
      <c r="G2375" s="264" t="s">
        <v>149</v>
      </c>
      <c r="H2375" s="24" t="s">
        <v>35</v>
      </c>
      <c r="I2375" s="25" t="s">
        <v>194</v>
      </c>
      <c r="J2375" s="25" t="s">
        <v>27</v>
      </c>
      <c r="K2375" s="25" t="s">
        <v>9</v>
      </c>
      <c r="L2375" s="25" t="s">
        <v>24</v>
      </c>
      <c r="M2375" s="25"/>
      <c r="N2375" s="25" t="s">
        <v>29</v>
      </c>
      <c r="Q2375" s="99"/>
    </row>
    <row r="2376">
      <c r="A2376" s="140"/>
      <c r="B2376" s="134" t="s">
        <v>894</v>
      </c>
      <c r="C2376" s="134" t="s">
        <v>74</v>
      </c>
      <c r="D2376" s="133" t="s">
        <v>893</v>
      </c>
      <c r="E2376" s="168">
        <v>43259.0</v>
      </c>
      <c r="F2376" s="13" t="str">
        <f t="shared" si="198"/>
        <v>Jun-2018</v>
      </c>
      <c r="G2376" s="264" t="s">
        <v>222</v>
      </c>
      <c r="H2376" s="24" t="s">
        <v>35</v>
      </c>
      <c r="I2376" s="25" t="s">
        <v>194</v>
      </c>
      <c r="J2376" s="25" t="s">
        <v>27</v>
      </c>
      <c r="K2376" s="25" t="s">
        <v>9</v>
      </c>
      <c r="L2376" s="25" t="s">
        <v>24</v>
      </c>
      <c r="M2376" s="25"/>
      <c r="N2376" s="25" t="s">
        <v>29</v>
      </c>
      <c r="Q2376" s="99"/>
    </row>
    <row r="2377">
      <c r="A2377" s="140"/>
      <c r="B2377" s="134" t="s">
        <v>894</v>
      </c>
      <c r="C2377" s="134" t="s">
        <v>74</v>
      </c>
      <c r="D2377" s="133" t="s">
        <v>893</v>
      </c>
      <c r="E2377" s="168">
        <v>43259.0</v>
      </c>
      <c r="F2377" s="13" t="str">
        <f t="shared" si="198"/>
        <v>Jun-2018</v>
      </c>
      <c r="G2377" s="263" t="s">
        <v>146</v>
      </c>
      <c r="H2377" s="15" t="s">
        <v>35</v>
      </c>
      <c r="I2377" s="16" t="s">
        <v>399</v>
      </c>
      <c r="J2377" s="16" t="s">
        <v>9</v>
      </c>
      <c r="K2377" s="16" t="s">
        <v>9</v>
      </c>
      <c r="L2377" s="16" t="s">
        <v>24</v>
      </c>
      <c r="M2377" s="16" t="s">
        <v>24</v>
      </c>
      <c r="N2377" s="16" t="s">
        <v>69</v>
      </c>
      <c r="O2377" s="101"/>
      <c r="P2377" s="101"/>
      <c r="Q2377" s="102"/>
    </row>
    <row r="2378">
      <c r="A2378" s="140"/>
      <c r="B2378" s="134" t="s">
        <v>894</v>
      </c>
      <c r="C2378" s="134" t="s">
        <v>74</v>
      </c>
      <c r="D2378" s="133" t="s">
        <v>893</v>
      </c>
      <c r="E2378" s="168">
        <v>43259.0</v>
      </c>
      <c r="F2378" s="13" t="str">
        <f t="shared" si="198"/>
        <v>Jun-2018</v>
      </c>
      <c r="G2378" s="263" t="s">
        <v>149</v>
      </c>
      <c r="H2378" s="15" t="s">
        <v>35</v>
      </c>
      <c r="I2378" s="16" t="s">
        <v>399</v>
      </c>
      <c r="J2378" s="16" t="s">
        <v>9</v>
      </c>
      <c r="K2378" s="16" t="s">
        <v>9</v>
      </c>
      <c r="L2378" s="16" t="s">
        <v>24</v>
      </c>
      <c r="M2378" s="16"/>
      <c r="N2378" s="16" t="s">
        <v>106</v>
      </c>
      <c r="O2378" s="101"/>
      <c r="P2378" s="101"/>
      <c r="Q2378" s="102"/>
    </row>
    <row r="2379">
      <c r="A2379" s="140"/>
      <c r="B2379" s="134" t="s">
        <v>894</v>
      </c>
      <c r="C2379" s="134" t="s">
        <v>74</v>
      </c>
      <c r="D2379" s="133" t="s">
        <v>893</v>
      </c>
      <c r="E2379" s="168">
        <v>43259.0</v>
      </c>
      <c r="F2379" s="13" t="str">
        <f t="shared" si="198"/>
        <v>Jun-2018</v>
      </c>
      <c r="G2379" s="263" t="s">
        <v>222</v>
      </c>
      <c r="H2379" s="15" t="s">
        <v>35</v>
      </c>
      <c r="I2379" s="16" t="s">
        <v>399</v>
      </c>
      <c r="J2379" s="16" t="s">
        <v>9</v>
      </c>
      <c r="K2379" s="16" t="s">
        <v>9</v>
      </c>
      <c r="L2379" s="16" t="s">
        <v>30</v>
      </c>
      <c r="M2379" s="16"/>
      <c r="N2379" s="16" t="s">
        <v>69</v>
      </c>
      <c r="O2379" s="101"/>
      <c r="P2379" s="101"/>
      <c r="Q2379" s="102"/>
    </row>
    <row r="2380">
      <c r="A2380" s="141"/>
      <c r="B2380" s="134" t="s">
        <v>894</v>
      </c>
      <c r="C2380" s="134" t="s">
        <v>74</v>
      </c>
      <c r="D2380" s="133" t="s">
        <v>893</v>
      </c>
      <c r="E2380" s="168">
        <v>43259.0</v>
      </c>
      <c r="F2380" s="13" t="str">
        <f t="shared" si="198"/>
        <v>Jun-2018</v>
      </c>
      <c r="G2380" s="265" t="s">
        <v>467</v>
      </c>
      <c r="H2380" s="37" t="s">
        <v>35</v>
      </c>
      <c r="I2380" s="38" t="s">
        <v>399</v>
      </c>
      <c r="J2380" s="38" t="s">
        <v>9</v>
      </c>
      <c r="K2380" s="38" t="s">
        <v>9</v>
      </c>
      <c r="L2380" s="38" t="s">
        <v>24</v>
      </c>
      <c r="M2380" s="38"/>
      <c r="N2380" s="38" t="s">
        <v>37</v>
      </c>
      <c r="O2380" s="105"/>
      <c r="P2380" s="105"/>
      <c r="Q2380" s="106"/>
    </row>
    <row r="2381">
      <c r="A2381" s="94"/>
      <c r="I2381" s="25" t="s">
        <v>898</v>
      </c>
    </row>
    <row r="2382">
      <c r="A2382" s="133" t="s">
        <v>899</v>
      </c>
      <c r="B2382" s="134" t="s">
        <v>433</v>
      </c>
      <c r="C2382" s="134" t="s">
        <v>74</v>
      </c>
      <c r="D2382" s="133" t="s">
        <v>899</v>
      </c>
      <c r="E2382" s="168">
        <v>43264.0</v>
      </c>
      <c r="F2382" s="13" t="str">
        <f t="shared" ref="F2382:F2390" si="199">TEXT(E2374:E2382, "mmm") &amp; "-" &amp; TEXT(E2374:E2382, "yyyy") </f>
        <v>Jun-2018</v>
      </c>
      <c r="G2382" s="274" t="s">
        <v>20</v>
      </c>
      <c r="H2382" s="72" t="s">
        <v>35</v>
      </c>
      <c r="I2382" s="73" t="s">
        <v>900</v>
      </c>
      <c r="J2382" s="73" t="s">
        <v>97</v>
      </c>
      <c r="K2382" s="73" t="s">
        <v>9</v>
      </c>
      <c r="L2382" s="73" t="s">
        <v>30</v>
      </c>
      <c r="M2382" s="73" t="s">
        <v>30</v>
      </c>
      <c r="N2382" s="73" t="s">
        <v>99</v>
      </c>
      <c r="O2382" s="165"/>
      <c r="P2382" s="165"/>
      <c r="Q2382" s="166"/>
    </row>
    <row r="2383">
      <c r="A2383" s="134" t="s">
        <v>433</v>
      </c>
      <c r="B2383" s="134" t="s">
        <v>433</v>
      </c>
      <c r="C2383" s="134" t="s">
        <v>74</v>
      </c>
      <c r="D2383" s="133" t="s">
        <v>899</v>
      </c>
      <c r="E2383" s="168">
        <v>43264.0</v>
      </c>
      <c r="F2383" s="13" t="str">
        <f t="shared" si="199"/>
        <v>Jun-2018</v>
      </c>
      <c r="G2383" s="32" t="s">
        <v>25</v>
      </c>
      <c r="H2383" s="24" t="s">
        <v>35</v>
      </c>
      <c r="I2383" s="25" t="s">
        <v>900</v>
      </c>
      <c r="J2383" s="25" t="s">
        <v>97</v>
      </c>
      <c r="K2383" s="25" t="s">
        <v>9</v>
      </c>
      <c r="L2383" s="25" t="s">
        <v>30</v>
      </c>
      <c r="M2383" s="25"/>
      <c r="N2383" s="25" t="s">
        <v>37</v>
      </c>
      <c r="Q2383" s="99"/>
    </row>
    <row r="2384">
      <c r="A2384" s="134" t="s">
        <v>901</v>
      </c>
      <c r="B2384" s="134" t="s">
        <v>433</v>
      </c>
      <c r="C2384" s="134" t="s">
        <v>74</v>
      </c>
      <c r="D2384" s="133" t="s">
        <v>899</v>
      </c>
      <c r="E2384" s="168">
        <v>43264.0</v>
      </c>
      <c r="F2384" s="13" t="str">
        <f t="shared" si="199"/>
        <v>Jun-2018</v>
      </c>
      <c r="G2384" s="19" t="s">
        <v>20</v>
      </c>
      <c r="H2384" s="15" t="s">
        <v>35</v>
      </c>
      <c r="I2384" s="16" t="s">
        <v>36</v>
      </c>
      <c r="J2384" s="16" t="s">
        <v>27</v>
      </c>
      <c r="K2384" s="16" t="s">
        <v>9</v>
      </c>
      <c r="L2384" s="16" t="s">
        <v>30</v>
      </c>
      <c r="M2384" s="16" t="s">
        <v>24</v>
      </c>
      <c r="N2384" s="16" t="s">
        <v>69</v>
      </c>
      <c r="O2384" s="101"/>
      <c r="P2384" s="101"/>
      <c r="Q2384" s="102"/>
    </row>
    <row r="2385">
      <c r="A2385" s="168">
        <v>43264.0</v>
      </c>
      <c r="B2385" s="134" t="s">
        <v>433</v>
      </c>
      <c r="C2385" s="134" t="s">
        <v>74</v>
      </c>
      <c r="D2385" s="133" t="s">
        <v>899</v>
      </c>
      <c r="E2385" s="168">
        <v>43264.0</v>
      </c>
      <c r="F2385" s="13" t="str">
        <f t="shared" si="199"/>
        <v>Jun-2018</v>
      </c>
      <c r="G2385" s="19" t="s">
        <v>25</v>
      </c>
      <c r="H2385" s="15" t="s">
        <v>35</v>
      </c>
      <c r="I2385" s="16" t="s">
        <v>36</v>
      </c>
      <c r="J2385" s="16" t="s">
        <v>27</v>
      </c>
      <c r="K2385" s="16" t="s">
        <v>9</v>
      </c>
      <c r="L2385" s="16" t="s">
        <v>24</v>
      </c>
      <c r="M2385" s="16"/>
      <c r="N2385" s="16" t="s">
        <v>37</v>
      </c>
      <c r="O2385" s="101"/>
      <c r="P2385" s="101"/>
      <c r="Q2385" s="102"/>
    </row>
    <row r="2386">
      <c r="A2386" s="134" t="s">
        <v>74</v>
      </c>
      <c r="B2386" s="134" t="s">
        <v>433</v>
      </c>
      <c r="C2386" s="134" t="s">
        <v>74</v>
      </c>
      <c r="D2386" s="133" t="s">
        <v>899</v>
      </c>
      <c r="E2386" s="168">
        <v>43264.0</v>
      </c>
      <c r="F2386" s="13" t="str">
        <f t="shared" si="199"/>
        <v>Jun-2018</v>
      </c>
      <c r="G2386" s="19" t="s">
        <v>32</v>
      </c>
      <c r="H2386" s="15" t="s">
        <v>35</v>
      </c>
      <c r="I2386" s="16" t="s">
        <v>36</v>
      </c>
      <c r="J2386" s="16" t="s">
        <v>27</v>
      </c>
      <c r="K2386" s="16" t="s">
        <v>9</v>
      </c>
      <c r="L2386" s="16" t="s">
        <v>24</v>
      </c>
      <c r="M2386" s="16"/>
      <c r="N2386" s="16" t="s">
        <v>106</v>
      </c>
      <c r="O2386" s="101"/>
      <c r="P2386" s="101"/>
      <c r="Q2386" s="102"/>
    </row>
    <row r="2387">
      <c r="A2387" s="176" t="s">
        <v>902</v>
      </c>
      <c r="B2387" s="134" t="s">
        <v>433</v>
      </c>
      <c r="C2387" s="134" t="s">
        <v>74</v>
      </c>
      <c r="D2387" s="133" t="s">
        <v>899</v>
      </c>
      <c r="E2387" s="168">
        <v>43264.0</v>
      </c>
      <c r="F2387" s="13" t="str">
        <f t="shared" si="199"/>
        <v>Jun-2018</v>
      </c>
      <c r="G2387" s="32" t="s">
        <v>20</v>
      </c>
      <c r="H2387" s="24" t="s">
        <v>35</v>
      </c>
      <c r="I2387" s="25" t="s">
        <v>471</v>
      </c>
      <c r="J2387" s="25" t="s">
        <v>71</v>
      </c>
      <c r="K2387" s="25" t="s">
        <v>9</v>
      </c>
      <c r="L2387" s="25" t="s">
        <v>30</v>
      </c>
      <c r="M2387" s="25" t="s">
        <v>30</v>
      </c>
      <c r="N2387" s="25" t="s">
        <v>99</v>
      </c>
      <c r="Q2387" s="99"/>
    </row>
    <row r="2388">
      <c r="A2388" s="134" t="s">
        <v>903</v>
      </c>
      <c r="B2388" s="134" t="s">
        <v>433</v>
      </c>
      <c r="C2388" s="134" t="s">
        <v>74</v>
      </c>
      <c r="D2388" s="133" t="s">
        <v>899</v>
      </c>
      <c r="E2388" s="168">
        <v>43264.0</v>
      </c>
      <c r="F2388" s="13" t="str">
        <f t="shared" si="199"/>
        <v>Jun-2018</v>
      </c>
      <c r="G2388" s="32" t="s">
        <v>25</v>
      </c>
      <c r="H2388" s="24" t="s">
        <v>35</v>
      </c>
      <c r="I2388" s="25" t="s">
        <v>471</v>
      </c>
      <c r="J2388" s="25" t="s">
        <v>71</v>
      </c>
      <c r="K2388" s="25" t="s">
        <v>9</v>
      </c>
      <c r="L2388" s="25" t="s">
        <v>30</v>
      </c>
      <c r="M2388" s="25"/>
      <c r="N2388" s="25" t="s">
        <v>37</v>
      </c>
      <c r="Q2388" s="99"/>
    </row>
    <row r="2389">
      <c r="A2389" s="176" t="s">
        <v>904</v>
      </c>
      <c r="B2389" s="134" t="s">
        <v>433</v>
      </c>
      <c r="C2389" s="134" t="s">
        <v>74</v>
      </c>
      <c r="D2389" s="133" t="s">
        <v>899</v>
      </c>
      <c r="E2389" s="168">
        <v>43264.0</v>
      </c>
      <c r="F2389" s="13" t="str">
        <f t="shared" si="199"/>
        <v>Jun-2018</v>
      </c>
      <c r="G2389" s="19" t="s">
        <v>20</v>
      </c>
      <c r="H2389" s="15" t="s">
        <v>35</v>
      </c>
      <c r="I2389" s="16" t="s">
        <v>266</v>
      </c>
      <c r="J2389" s="16" t="s">
        <v>27</v>
      </c>
      <c r="K2389" s="16" t="s">
        <v>9</v>
      </c>
      <c r="L2389" s="16" t="s">
        <v>24</v>
      </c>
      <c r="M2389" s="16" t="s">
        <v>24</v>
      </c>
      <c r="N2389" s="16" t="s">
        <v>69</v>
      </c>
      <c r="O2389" s="101"/>
      <c r="P2389" s="101"/>
      <c r="Q2389" s="102"/>
    </row>
    <row r="2390">
      <c r="A2390" s="141"/>
      <c r="B2390" s="134" t="s">
        <v>433</v>
      </c>
      <c r="C2390" s="134" t="s">
        <v>74</v>
      </c>
      <c r="D2390" s="133" t="s">
        <v>899</v>
      </c>
      <c r="E2390" s="168">
        <v>43264.0</v>
      </c>
      <c r="F2390" s="13" t="str">
        <f t="shared" si="199"/>
        <v>Jun-2018</v>
      </c>
      <c r="G2390" s="39" t="s">
        <v>25</v>
      </c>
      <c r="H2390" s="37" t="s">
        <v>35</v>
      </c>
      <c r="I2390" s="38" t="s">
        <v>266</v>
      </c>
      <c r="J2390" s="38" t="s">
        <v>27</v>
      </c>
      <c r="K2390" s="38" t="s">
        <v>9</v>
      </c>
      <c r="L2390" s="38" t="s">
        <v>24</v>
      </c>
      <c r="M2390" s="38"/>
      <c r="N2390" s="38" t="s">
        <v>98</v>
      </c>
      <c r="O2390" s="105"/>
      <c r="P2390" s="105"/>
      <c r="Q2390" s="106"/>
    </row>
    <row r="2391">
      <c r="A2391" s="94"/>
      <c r="G2391" s="32"/>
    </row>
    <row r="2392">
      <c r="A2392" s="133" t="s">
        <v>905</v>
      </c>
      <c r="B2392" s="134" t="s">
        <v>73</v>
      </c>
      <c r="C2392" s="134" t="s">
        <v>84</v>
      </c>
      <c r="D2392" s="133" t="s">
        <v>905</v>
      </c>
      <c r="E2392" s="168">
        <v>43267.0</v>
      </c>
      <c r="F2392" s="13" t="str">
        <f t="shared" ref="F2392:F2408" si="200">TEXT(E2384:E2392, "mmm") &amp; "-" &amp; TEXT(E2384:E2392, "yyyy") </f>
        <v>Jun-2018</v>
      </c>
      <c r="G2392" s="165" t="s">
        <v>20</v>
      </c>
      <c r="H2392" s="73" t="s">
        <v>287</v>
      </c>
      <c r="I2392" s="73" t="s">
        <v>906</v>
      </c>
      <c r="J2392" s="73" t="s">
        <v>27</v>
      </c>
      <c r="K2392" s="73" t="s">
        <v>9</v>
      </c>
      <c r="L2392" s="73" t="s">
        <v>30</v>
      </c>
      <c r="M2392" s="73" t="s">
        <v>30</v>
      </c>
      <c r="N2392" s="73" t="s">
        <v>69</v>
      </c>
      <c r="O2392" s="165"/>
      <c r="P2392" s="165"/>
      <c r="Q2392" s="166"/>
    </row>
    <row r="2393">
      <c r="A2393" s="134" t="s">
        <v>73</v>
      </c>
      <c r="B2393" s="134" t="s">
        <v>73</v>
      </c>
      <c r="C2393" s="134" t="s">
        <v>84</v>
      </c>
      <c r="D2393" s="133" t="s">
        <v>905</v>
      </c>
      <c r="E2393" s="168">
        <v>43267.0</v>
      </c>
      <c r="F2393" s="13" t="str">
        <f t="shared" si="200"/>
        <v>Jun-2018</v>
      </c>
      <c r="G2393" t="s">
        <v>25</v>
      </c>
      <c r="H2393" s="25" t="s">
        <v>287</v>
      </c>
      <c r="I2393" s="25" t="s">
        <v>906</v>
      </c>
      <c r="J2393" s="25" t="s">
        <v>27</v>
      </c>
      <c r="K2393" s="25" t="s">
        <v>9</v>
      </c>
      <c r="L2393" s="25" t="s">
        <v>30</v>
      </c>
      <c r="M2393" s="25"/>
      <c r="N2393" s="25" t="s">
        <v>37</v>
      </c>
      <c r="Q2393" s="99"/>
    </row>
    <row r="2394">
      <c r="A2394" s="134" t="s">
        <v>907</v>
      </c>
      <c r="B2394" s="134" t="s">
        <v>73</v>
      </c>
      <c r="C2394" s="134" t="s">
        <v>84</v>
      </c>
      <c r="D2394" s="133" t="s">
        <v>905</v>
      </c>
      <c r="E2394" s="168">
        <v>43267.0</v>
      </c>
      <c r="F2394" s="13" t="str">
        <f t="shared" si="200"/>
        <v>Jun-2018</v>
      </c>
      <c r="G2394" s="101" t="s">
        <v>20</v>
      </c>
      <c r="H2394" s="16" t="s">
        <v>287</v>
      </c>
      <c r="I2394" s="16" t="s">
        <v>233</v>
      </c>
      <c r="J2394" s="16" t="s">
        <v>9</v>
      </c>
      <c r="K2394" s="16" t="s">
        <v>9</v>
      </c>
      <c r="L2394" s="16" t="s">
        <v>30</v>
      </c>
      <c r="M2394" s="16" t="s">
        <v>30</v>
      </c>
      <c r="N2394" s="16" t="s">
        <v>69</v>
      </c>
      <c r="O2394" s="101"/>
      <c r="P2394" s="101"/>
      <c r="Q2394" s="102"/>
    </row>
    <row r="2395">
      <c r="A2395" s="168">
        <v>43267.0</v>
      </c>
      <c r="B2395" s="134" t="s">
        <v>73</v>
      </c>
      <c r="C2395" s="134" t="s">
        <v>84</v>
      </c>
      <c r="D2395" s="133" t="s">
        <v>905</v>
      </c>
      <c r="E2395" s="168">
        <v>43267.0</v>
      </c>
      <c r="F2395" s="13" t="str">
        <f t="shared" si="200"/>
        <v>Jun-2018</v>
      </c>
      <c r="G2395" s="101" t="s">
        <v>25</v>
      </c>
      <c r="H2395" s="16" t="s">
        <v>287</v>
      </c>
      <c r="I2395" s="16" t="s">
        <v>233</v>
      </c>
      <c r="J2395" s="16" t="s">
        <v>27</v>
      </c>
      <c r="K2395" s="16" t="s">
        <v>9</v>
      </c>
      <c r="L2395" s="16" t="s">
        <v>30</v>
      </c>
      <c r="M2395" s="16"/>
      <c r="N2395" s="16" t="s">
        <v>98</v>
      </c>
      <c r="O2395" s="101"/>
      <c r="P2395" s="101"/>
      <c r="Q2395" s="102"/>
    </row>
    <row r="2396">
      <c r="A2396" s="134" t="s">
        <v>84</v>
      </c>
      <c r="B2396" s="134" t="s">
        <v>73</v>
      </c>
      <c r="C2396" s="134" t="s">
        <v>84</v>
      </c>
      <c r="D2396" s="133" t="s">
        <v>905</v>
      </c>
      <c r="E2396" s="168">
        <v>43267.0</v>
      </c>
      <c r="F2396" s="13" t="str">
        <f t="shared" si="200"/>
        <v>Jun-2018</v>
      </c>
      <c r="G2396" t="s">
        <v>20</v>
      </c>
      <c r="H2396" s="25" t="s">
        <v>287</v>
      </c>
      <c r="I2396" s="25" t="s">
        <v>404</v>
      </c>
      <c r="J2396" s="25" t="s">
        <v>27</v>
      </c>
      <c r="K2396" s="25" t="s">
        <v>9</v>
      </c>
      <c r="L2396" s="25" t="s">
        <v>30</v>
      </c>
      <c r="M2396" s="25" t="s">
        <v>30</v>
      </c>
      <c r="N2396" s="25" t="s">
        <v>98</v>
      </c>
      <c r="Q2396" s="99"/>
    </row>
    <row r="2397">
      <c r="A2397" s="176" t="s">
        <v>908</v>
      </c>
      <c r="B2397" s="134" t="s">
        <v>73</v>
      </c>
      <c r="C2397" s="134" t="s">
        <v>84</v>
      </c>
      <c r="D2397" s="133" t="s">
        <v>905</v>
      </c>
      <c r="E2397" s="168">
        <v>43267.0</v>
      </c>
      <c r="F2397" s="13" t="str">
        <f t="shared" si="200"/>
        <v>Jun-2018</v>
      </c>
      <c r="G2397" t="s">
        <v>25</v>
      </c>
      <c r="H2397" s="25" t="s">
        <v>287</v>
      </c>
      <c r="I2397" s="25" t="s">
        <v>404</v>
      </c>
      <c r="J2397" s="25" t="s">
        <v>27</v>
      </c>
      <c r="K2397" s="25" t="s">
        <v>9</v>
      </c>
      <c r="L2397" s="25" t="s">
        <v>24</v>
      </c>
      <c r="M2397" s="25"/>
      <c r="N2397" s="25" t="s">
        <v>69</v>
      </c>
      <c r="Q2397" s="99"/>
    </row>
    <row r="2398">
      <c r="A2398" s="134" t="s">
        <v>909</v>
      </c>
      <c r="B2398" s="134" t="s">
        <v>73</v>
      </c>
      <c r="C2398" s="134" t="s">
        <v>84</v>
      </c>
      <c r="D2398" s="133" t="s">
        <v>905</v>
      </c>
      <c r="E2398" s="168">
        <v>43267.0</v>
      </c>
      <c r="F2398" s="13" t="str">
        <f t="shared" si="200"/>
        <v>Jun-2018</v>
      </c>
      <c r="G2398" t="s">
        <v>32</v>
      </c>
      <c r="H2398" s="25" t="s">
        <v>287</v>
      </c>
      <c r="I2398" s="25" t="s">
        <v>404</v>
      </c>
      <c r="J2398" s="25" t="s">
        <v>27</v>
      </c>
      <c r="K2398" s="25" t="s">
        <v>9</v>
      </c>
      <c r="L2398" s="25" t="s">
        <v>30</v>
      </c>
      <c r="M2398" s="25"/>
      <c r="N2398" s="25" t="s">
        <v>106</v>
      </c>
      <c r="Q2398" s="99"/>
    </row>
    <row r="2399">
      <c r="A2399" s="176" t="s">
        <v>910</v>
      </c>
      <c r="B2399" s="134" t="s">
        <v>73</v>
      </c>
      <c r="C2399" s="134" t="s">
        <v>84</v>
      </c>
      <c r="D2399" s="133" t="s">
        <v>905</v>
      </c>
      <c r="E2399" s="168">
        <v>43267.0</v>
      </c>
      <c r="F2399" s="13" t="str">
        <f t="shared" si="200"/>
        <v>Jun-2018</v>
      </c>
      <c r="G2399" s="19" t="s">
        <v>20</v>
      </c>
      <c r="H2399" s="16" t="s">
        <v>287</v>
      </c>
      <c r="I2399" s="16" t="s">
        <v>259</v>
      </c>
      <c r="J2399" s="16" t="s">
        <v>97</v>
      </c>
      <c r="K2399" s="16" t="s">
        <v>9</v>
      </c>
      <c r="L2399" s="16" t="s">
        <v>24</v>
      </c>
      <c r="M2399" s="16" t="s">
        <v>24</v>
      </c>
      <c r="N2399" s="16" t="s">
        <v>98</v>
      </c>
      <c r="O2399" s="101"/>
      <c r="P2399" s="101"/>
      <c r="Q2399" s="102"/>
    </row>
    <row r="2400">
      <c r="A2400" s="140"/>
      <c r="B2400" s="134" t="s">
        <v>73</v>
      </c>
      <c r="C2400" s="134" t="s">
        <v>84</v>
      </c>
      <c r="D2400" s="133" t="s">
        <v>905</v>
      </c>
      <c r="E2400" s="168">
        <v>43267.0</v>
      </c>
      <c r="F2400" s="13" t="str">
        <f t="shared" si="200"/>
        <v>Jun-2018</v>
      </c>
      <c r="G2400" s="19" t="s">
        <v>25</v>
      </c>
      <c r="H2400" s="16" t="s">
        <v>287</v>
      </c>
      <c r="I2400" s="16" t="s">
        <v>259</v>
      </c>
      <c r="J2400" s="16" t="s">
        <v>97</v>
      </c>
      <c r="K2400" s="16" t="s">
        <v>9</v>
      </c>
      <c r="L2400" s="16" t="s">
        <v>24</v>
      </c>
      <c r="M2400" s="16"/>
      <c r="N2400" s="16" t="s">
        <v>29</v>
      </c>
      <c r="O2400" s="101"/>
      <c r="P2400" s="101"/>
      <c r="Q2400" s="102"/>
    </row>
    <row r="2401">
      <c r="A2401" s="140"/>
      <c r="B2401" s="134" t="s">
        <v>73</v>
      </c>
      <c r="C2401" s="134" t="s">
        <v>84</v>
      </c>
      <c r="D2401" s="133" t="s">
        <v>905</v>
      </c>
      <c r="E2401" s="168">
        <v>43267.0</v>
      </c>
      <c r="F2401" s="13" t="str">
        <f t="shared" si="200"/>
        <v>Jun-2018</v>
      </c>
      <c r="G2401" s="32" t="s">
        <v>20</v>
      </c>
      <c r="H2401" s="24" t="s">
        <v>35</v>
      </c>
      <c r="I2401" s="25" t="s">
        <v>911</v>
      </c>
      <c r="J2401" s="25" t="s">
        <v>86</v>
      </c>
      <c r="K2401" s="25" t="s">
        <v>9</v>
      </c>
      <c r="L2401" s="25" t="s">
        <v>30</v>
      </c>
      <c r="M2401" s="25" t="s">
        <v>30</v>
      </c>
      <c r="N2401" s="25" t="s">
        <v>69</v>
      </c>
      <c r="Q2401" s="99"/>
      <c r="R2401" s="25" t="s">
        <v>912</v>
      </c>
    </row>
    <row r="2402">
      <c r="A2402" s="140"/>
      <c r="B2402" s="134" t="s">
        <v>73</v>
      </c>
      <c r="C2402" s="134" t="s">
        <v>84</v>
      </c>
      <c r="D2402" s="133" t="s">
        <v>905</v>
      </c>
      <c r="E2402" s="168">
        <v>43267.0</v>
      </c>
      <c r="F2402" s="13" t="str">
        <f t="shared" si="200"/>
        <v>Jun-2018</v>
      </c>
      <c r="G2402" s="32" t="s">
        <v>25</v>
      </c>
      <c r="H2402" s="24" t="s">
        <v>35</v>
      </c>
      <c r="I2402" s="25" t="s">
        <v>911</v>
      </c>
      <c r="J2402" s="25" t="s">
        <v>86</v>
      </c>
      <c r="K2402" s="25" t="s">
        <v>9</v>
      </c>
      <c r="L2402" s="25" t="s">
        <v>30</v>
      </c>
      <c r="M2402" s="25"/>
      <c r="N2402" s="25" t="s">
        <v>69</v>
      </c>
      <c r="Q2402" s="99"/>
      <c r="R2402" s="25" t="s">
        <v>912</v>
      </c>
    </row>
    <row r="2403">
      <c r="A2403" s="140"/>
      <c r="B2403" s="134" t="s">
        <v>73</v>
      </c>
      <c r="C2403" s="134" t="s">
        <v>84</v>
      </c>
      <c r="D2403" s="133" t="s">
        <v>905</v>
      </c>
      <c r="E2403" s="168">
        <v>43267.0</v>
      </c>
      <c r="F2403" s="13" t="str">
        <f t="shared" si="200"/>
        <v>Jun-2018</v>
      </c>
      <c r="G2403" s="19" t="s">
        <v>20</v>
      </c>
      <c r="H2403" s="15" t="s">
        <v>35</v>
      </c>
      <c r="I2403" s="16" t="s">
        <v>866</v>
      </c>
      <c r="J2403" s="16" t="s">
        <v>27</v>
      </c>
      <c r="K2403" s="16" t="s">
        <v>9</v>
      </c>
      <c r="L2403" s="16" t="s">
        <v>30</v>
      </c>
      <c r="M2403" s="16" t="s">
        <v>30</v>
      </c>
      <c r="N2403" s="16" t="s">
        <v>98</v>
      </c>
      <c r="O2403" s="101"/>
      <c r="P2403" s="101"/>
      <c r="Q2403" s="102"/>
    </row>
    <row r="2404">
      <c r="A2404" s="140"/>
      <c r="B2404" s="134" t="s">
        <v>73</v>
      </c>
      <c r="C2404" s="134" t="s">
        <v>84</v>
      </c>
      <c r="D2404" s="133" t="s">
        <v>905</v>
      </c>
      <c r="E2404" s="168">
        <v>43267.0</v>
      </c>
      <c r="F2404" s="13" t="str">
        <f t="shared" si="200"/>
        <v>Jun-2018</v>
      </c>
      <c r="G2404" s="19" t="s">
        <v>25</v>
      </c>
      <c r="H2404" s="15" t="s">
        <v>35</v>
      </c>
      <c r="I2404" s="16" t="s">
        <v>866</v>
      </c>
      <c r="J2404" s="16" t="s">
        <v>27</v>
      </c>
      <c r="K2404" s="16" t="s">
        <v>9</v>
      </c>
      <c r="L2404" s="16" t="s">
        <v>24</v>
      </c>
      <c r="M2404" s="16"/>
      <c r="N2404" s="16" t="s">
        <v>37</v>
      </c>
      <c r="O2404" s="101"/>
      <c r="P2404" s="101"/>
      <c r="Q2404" s="102"/>
    </row>
    <row r="2405">
      <c r="A2405" s="140"/>
      <c r="B2405" s="134" t="s">
        <v>73</v>
      </c>
      <c r="C2405" s="134" t="s">
        <v>84</v>
      </c>
      <c r="D2405" s="133" t="s">
        <v>905</v>
      </c>
      <c r="E2405" s="168">
        <v>43267.0</v>
      </c>
      <c r="F2405" s="13" t="str">
        <f t="shared" si="200"/>
        <v>Jun-2018</v>
      </c>
      <c r="G2405" s="19" t="s">
        <v>32</v>
      </c>
      <c r="H2405" s="15" t="s">
        <v>35</v>
      </c>
      <c r="I2405" s="16" t="s">
        <v>866</v>
      </c>
      <c r="J2405" s="16" t="s">
        <v>27</v>
      </c>
      <c r="K2405" s="16" t="s">
        <v>9</v>
      </c>
      <c r="L2405" s="16" t="s">
        <v>30</v>
      </c>
      <c r="M2405" s="16"/>
      <c r="N2405" s="16" t="s">
        <v>106</v>
      </c>
      <c r="O2405" s="101"/>
      <c r="P2405" s="101"/>
      <c r="Q2405" s="102"/>
    </row>
    <row r="2406">
      <c r="A2406" s="140"/>
      <c r="B2406" s="134" t="s">
        <v>73</v>
      </c>
      <c r="C2406" s="134" t="s">
        <v>84</v>
      </c>
      <c r="D2406" s="133" t="s">
        <v>905</v>
      </c>
      <c r="E2406" s="168">
        <v>43267.0</v>
      </c>
      <c r="F2406" s="13" t="str">
        <f t="shared" si="200"/>
        <v>Jun-2018</v>
      </c>
      <c r="G2406" s="32" t="s">
        <v>20</v>
      </c>
      <c r="H2406" s="24" t="s">
        <v>35</v>
      </c>
      <c r="I2406" s="25" t="s">
        <v>346</v>
      </c>
      <c r="J2406" s="25" t="s">
        <v>44</v>
      </c>
      <c r="K2406" s="25" t="s">
        <v>9</v>
      </c>
      <c r="L2406" s="25" t="s">
        <v>30</v>
      </c>
      <c r="M2406" s="25" t="s">
        <v>24</v>
      </c>
      <c r="N2406" s="25" t="s">
        <v>69</v>
      </c>
      <c r="Q2406" s="99"/>
    </row>
    <row r="2407">
      <c r="A2407" s="140"/>
      <c r="B2407" s="134" t="s">
        <v>73</v>
      </c>
      <c r="C2407" s="134" t="s">
        <v>84</v>
      </c>
      <c r="D2407" s="133" t="s">
        <v>905</v>
      </c>
      <c r="E2407" s="168">
        <v>43267.0</v>
      </c>
      <c r="F2407" s="13" t="str">
        <f t="shared" si="200"/>
        <v>Jun-2018</v>
      </c>
      <c r="G2407" s="32" t="s">
        <v>25</v>
      </c>
      <c r="H2407" s="24" t="s">
        <v>35</v>
      </c>
      <c r="I2407" s="25" t="s">
        <v>346</v>
      </c>
      <c r="J2407" s="25" t="s">
        <v>44</v>
      </c>
      <c r="K2407" s="25" t="s">
        <v>9</v>
      </c>
      <c r="L2407" s="25" t="s">
        <v>24</v>
      </c>
      <c r="M2407" s="25"/>
      <c r="N2407" s="25" t="s">
        <v>69</v>
      </c>
      <c r="Q2407" s="99"/>
    </row>
    <row r="2408">
      <c r="A2408" s="141"/>
      <c r="B2408" s="134" t="s">
        <v>73</v>
      </c>
      <c r="C2408" s="134" t="s">
        <v>84</v>
      </c>
      <c r="D2408" s="133" t="s">
        <v>905</v>
      </c>
      <c r="E2408" s="168">
        <v>43267.0</v>
      </c>
      <c r="F2408" s="13" t="str">
        <f t="shared" si="200"/>
        <v>Jun-2018</v>
      </c>
      <c r="G2408" s="43" t="s">
        <v>32</v>
      </c>
      <c r="H2408" s="54" t="s">
        <v>35</v>
      </c>
      <c r="I2408" s="55" t="s">
        <v>346</v>
      </c>
      <c r="J2408" s="55" t="s">
        <v>44</v>
      </c>
      <c r="K2408" s="55" t="s">
        <v>9</v>
      </c>
      <c r="L2408" s="55" t="s">
        <v>24</v>
      </c>
      <c r="M2408" s="55"/>
      <c r="N2408" s="55" t="s">
        <v>98</v>
      </c>
      <c r="O2408" s="143"/>
      <c r="P2408" s="143"/>
      <c r="Q2408" s="144"/>
    </row>
    <row r="2409">
      <c r="A2409" s="107"/>
    </row>
    <row r="2410">
      <c r="A2410" s="133" t="s">
        <v>913</v>
      </c>
      <c r="B2410" s="134" t="s">
        <v>18</v>
      </c>
      <c r="C2410" s="134" t="s">
        <v>74</v>
      </c>
      <c r="D2410" s="133" t="s">
        <v>913</v>
      </c>
      <c r="E2410" s="168">
        <v>43283.0</v>
      </c>
      <c r="F2410" s="13" t="str">
        <f t="shared" ref="F2410:F2424" si="201">TEXT(E2402:E2410, "mmm") &amp; "-" &amp; TEXT(E2402:E2410, "yyyy") </f>
        <v>Jul-2018</v>
      </c>
      <c r="G2410" s="152" t="s">
        <v>20</v>
      </c>
      <c r="H2410" s="46" t="s">
        <v>35</v>
      </c>
      <c r="I2410" s="47" t="s">
        <v>914</v>
      </c>
      <c r="J2410" s="47" t="s">
        <v>23</v>
      </c>
      <c r="K2410" s="47" t="s">
        <v>9</v>
      </c>
      <c r="L2410" s="47" t="s">
        <v>30</v>
      </c>
      <c r="M2410" s="47" t="s">
        <v>30</v>
      </c>
      <c r="N2410" s="47" t="s">
        <v>37</v>
      </c>
      <c r="O2410" s="152"/>
      <c r="P2410" s="152"/>
      <c r="Q2410" s="153"/>
    </row>
    <row r="2411">
      <c r="A2411" s="134" t="s">
        <v>18</v>
      </c>
      <c r="B2411" s="134" t="s">
        <v>18</v>
      </c>
      <c r="C2411" s="134" t="s">
        <v>74</v>
      </c>
      <c r="D2411" s="133" t="s">
        <v>913</v>
      </c>
      <c r="E2411" s="168">
        <v>43283.0</v>
      </c>
      <c r="F2411" s="13" t="str">
        <f t="shared" si="201"/>
        <v>Jul-2018</v>
      </c>
      <c r="G2411" s="101" t="s">
        <v>25</v>
      </c>
      <c r="H2411" s="15" t="s">
        <v>35</v>
      </c>
      <c r="I2411" s="16" t="s">
        <v>914</v>
      </c>
      <c r="J2411" s="16" t="s">
        <v>23</v>
      </c>
      <c r="K2411" s="16" t="s">
        <v>9</v>
      </c>
      <c r="L2411" s="16" t="s">
        <v>30</v>
      </c>
      <c r="M2411" s="16"/>
      <c r="N2411" s="16" t="s">
        <v>99</v>
      </c>
      <c r="O2411" s="101"/>
      <c r="P2411" s="101"/>
      <c r="Q2411" s="102"/>
    </row>
    <row r="2412">
      <c r="A2412" s="134" t="s">
        <v>915</v>
      </c>
      <c r="B2412" s="134" t="s">
        <v>18</v>
      </c>
      <c r="C2412" s="134" t="s">
        <v>74</v>
      </c>
      <c r="D2412" s="133" t="s">
        <v>913</v>
      </c>
      <c r="E2412" s="168">
        <v>43283.0</v>
      </c>
      <c r="F2412" s="13" t="str">
        <f t="shared" si="201"/>
        <v>Jul-2018</v>
      </c>
      <c r="G2412" t="s">
        <v>20</v>
      </c>
      <c r="H2412" s="24" t="s">
        <v>35</v>
      </c>
      <c r="I2412" s="25" t="s">
        <v>81</v>
      </c>
      <c r="J2412" s="25" t="s">
        <v>9</v>
      </c>
      <c r="K2412" s="25" t="s">
        <v>9</v>
      </c>
      <c r="L2412" s="25" t="s">
        <v>24</v>
      </c>
      <c r="M2412" s="25" t="s">
        <v>24</v>
      </c>
      <c r="N2412" s="25" t="s">
        <v>69</v>
      </c>
      <c r="Q2412" s="99"/>
    </row>
    <row r="2413">
      <c r="A2413" s="168">
        <v>43283.0</v>
      </c>
      <c r="B2413" s="134" t="s">
        <v>18</v>
      </c>
      <c r="C2413" s="134" t="s">
        <v>74</v>
      </c>
      <c r="D2413" s="133" t="s">
        <v>913</v>
      </c>
      <c r="E2413" s="168">
        <v>43283.0</v>
      </c>
      <c r="F2413" s="13" t="str">
        <f t="shared" si="201"/>
        <v>Jul-2018</v>
      </c>
      <c r="G2413" t="s">
        <v>25</v>
      </c>
      <c r="H2413" s="24" t="s">
        <v>35</v>
      </c>
      <c r="I2413" s="25" t="s">
        <v>81</v>
      </c>
      <c r="J2413" s="25" t="s">
        <v>9</v>
      </c>
      <c r="K2413" s="25" t="s">
        <v>9</v>
      </c>
      <c r="L2413" s="25" t="s">
        <v>24</v>
      </c>
      <c r="M2413" s="25"/>
      <c r="N2413" s="25" t="s">
        <v>99</v>
      </c>
      <c r="Q2413" s="99"/>
    </row>
    <row r="2414">
      <c r="A2414" s="134" t="s">
        <v>74</v>
      </c>
      <c r="B2414" s="134" t="s">
        <v>18</v>
      </c>
      <c r="C2414" s="134" t="s">
        <v>74</v>
      </c>
      <c r="D2414" s="133" t="s">
        <v>913</v>
      </c>
      <c r="E2414" s="168">
        <v>43283.0</v>
      </c>
      <c r="F2414" s="13" t="str">
        <f t="shared" si="201"/>
        <v>Jul-2018</v>
      </c>
      <c r="G2414" s="101" t="s">
        <v>20</v>
      </c>
      <c r="H2414" s="15" t="s">
        <v>35</v>
      </c>
      <c r="I2414" s="16" t="s">
        <v>916</v>
      </c>
      <c r="J2414" s="16" t="s">
        <v>86</v>
      </c>
      <c r="K2414" s="16" t="s">
        <v>9</v>
      </c>
      <c r="L2414" s="16" t="s">
        <v>30</v>
      </c>
      <c r="M2414" s="16" t="s">
        <v>30</v>
      </c>
      <c r="N2414" s="16" t="s">
        <v>69</v>
      </c>
      <c r="O2414" s="101"/>
      <c r="P2414" s="101"/>
      <c r="Q2414" s="102"/>
    </row>
    <row r="2415">
      <c r="A2415" s="176" t="s">
        <v>917</v>
      </c>
      <c r="B2415" s="134" t="s">
        <v>18</v>
      </c>
      <c r="C2415" s="134" t="s">
        <v>74</v>
      </c>
      <c r="D2415" s="133" t="s">
        <v>913</v>
      </c>
      <c r="E2415" s="168">
        <v>43283.0</v>
      </c>
      <c r="F2415" s="13" t="str">
        <f t="shared" si="201"/>
        <v>Jul-2018</v>
      </c>
      <c r="G2415" s="101" t="s">
        <v>25</v>
      </c>
      <c r="H2415" s="15" t="s">
        <v>35</v>
      </c>
      <c r="I2415" s="16" t="s">
        <v>916</v>
      </c>
      <c r="J2415" s="16" t="s">
        <v>86</v>
      </c>
      <c r="K2415" s="16" t="s">
        <v>9</v>
      </c>
      <c r="L2415" s="16" t="s">
        <v>30</v>
      </c>
      <c r="M2415" s="16"/>
      <c r="N2415" s="16" t="s">
        <v>98</v>
      </c>
      <c r="O2415" s="101"/>
      <c r="P2415" s="101"/>
      <c r="Q2415" s="102"/>
    </row>
    <row r="2416">
      <c r="A2416" s="134" t="s">
        <v>918</v>
      </c>
      <c r="B2416" s="134" t="s">
        <v>18</v>
      </c>
      <c r="C2416" s="134" t="s">
        <v>74</v>
      </c>
      <c r="D2416" s="133" t="s">
        <v>913</v>
      </c>
      <c r="E2416" s="168">
        <v>43283.0</v>
      </c>
      <c r="F2416" s="13" t="str">
        <f t="shared" si="201"/>
        <v>Jul-2018</v>
      </c>
      <c r="G2416" s="264" t="s">
        <v>146</v>
      </c>
      <c r="H2416" s="24" t="s">
        <v>35</v>
      </c>
      <c r="I2416" s="25" t="s">
        <v>36</v>
      </c>
      <c r="J2416" s="25" t="s">
        <v>27</v>
      </c>
      <c r="K2416" s="25" t="s">
        <v>9</v>
      </c>
      <c r="L2416" s="25" t="s">
        <v>24</v>
      </c>
      <c r="M2416" s="25" t="s">
        <v>30</v>
      </c>
      <c r="N2416" s="25" t="s">
        <v>29</v>
      </c>
      <c r="Q2416" s="99"/>
    </row>
    <row r="2417">
      <c r="A2417" s="176" t="s">
        <v>919</v>
      </c>
      <c r="B2417" s="134" t="s">
        <v>18</v>
      </c>
      <c r="C2417" s="134" t="s">
        <v>74</v>
      </c>
      <c r="D2417" s="133" t="s">
        <v>913</v>
      </c>
      <c r="E2417" s="168">
        <v>43283.0</v>
      </c>
      <c r="F2417" s="13" t="str">
        <f t="shared" si="201"/>
        <v>Jul-2018</v>
      </c>
      <c r="G2417" s="264" t="s">
        <v>149</v>
      </c>
      <c r="H2417" s="24" t="s">
        <v>35</v>
      </c>
      <c r="I2417" s="25" t="s">
        <v>36</v>
      </c>
      <c r="J2417" s="25" t="s">
        <v>27</v>
      </c>
      <c r="K2417" s="25" t="s">
        <v>9</v>
      </c>
      <c r="L2417" s="25" t="s">
        <v>24</v>
      </c>
      <c r="M2417" s="25"/>
      <c r="N2417" s="25" t="s">
        <v>98</v>
      </c>
      <c r="Q2417" s="99"/>
    </row>
    <row r="2418">
      <c r="A2418" s="140"/>
      <c r="B2418" s="134" t="s">
        <v>18</v>
      </c>
      <c r="C2418" s="134" t="s">
        <v>74</v>
      </c>
      <c r="D2418" s="133" t="s">
        <v>913</v>
      </c>
      <c r="E2418" s="168">
        <v>43283.0</v>
      </c>
      <c r="F2418" s="13" t="str">
        <f t="shared" si="201"/>
        <v>Jul-2018</v>
      </c>
      <c r="G2418" s="264" t="s">
        <v>222</v>
      </c>
      <c r="H2418" s="24" t="s">
        <v>35</v>
      </c>
      <c r="I2418" s="25" t="s">
        <v>36</v>
      </c>
      <c r="J2418" s="25" t="s">
        <v>27</v>
      </c>
      <c r="K2418" s="25" t="s">
        <v>9</v>
      </c>
      <c r="L2418" s="25" t="s">
        <v>30</v>
      </c>
      <c r="M2418" s="25"/>
      <c r="N2418" s="25" t="s">
        <v>106</v>
      </c>
      <c r="Q2418" s="99"/>
    </row>
    <row r="2419">
      <c r="A2419" s="140"/>
      <c r="B2419" s="134" t="s">
        <v>18</v>
      </c>
      <c r="C2419" s="134" t="s">
        <v>74</v>
      </c>
      <c r="D2419" s="133" t="s">
        <v>913</v>
      </c>
      <c r="E2419" s="168">
        <v>43283.0</v>
      </c>
      <c r="F2419" s="13" t="str">
        <f t="shared" si="201"/>
        <v>Jul-2018</v>
      </c>
      <c r="G2419" s="264" t="s">
        <v>467</v>
      </c>
      <c r="H2419" s="24" t="s">
        <v>35</v>
      </c>
      <c r="I2419" s="25" t="s">
        <v>36</v>
      </c>
      <c r="J2419" s="25" t="s">
        <v>27</v>
      </c>
      <c r="K2419" s="25" t="s">
        <v>9</v>
      </c>
      <c r="L2419" s="25" t="s">
        <v>30</v>
      </c>
      <c r="M2419" s="25"/>
      <c r="N2419" s="25" t="s">
        <v>69</v>
      </c>
      <c r="Q2419" s="99"/>
    </row>
    <row r="2420">
      <c r="A2420" s="140"/>
      <c r="B2420" s="134" t="s">
        <v>18</v>
      </c>
      <c r="C2420" s="134" t="s">
        <v>74</v>
      </c>
      <c r="D2420" s="133" t="s">
        <v>913</v>
      </c>
      <c r="E2420" s="168">
        <v>43283.0</v>
      </c>
      <c r="F2420" s="13" t="str">
        <f t="shared" si="201"/>
        <v>Jul-2018</v>
      </c>
      <c r="G2420" s="25" t="s">
        <v>480</v>
      </c>
      <c r="H2420" s="24" t="s">
        <v>35</v>
      </c>
      <c r="I2420" s="25" t="s">
        <v>36</v>
      </c>
      <c r="J2420" s="25" t="s">
        <v>27</v>
      </c>
      <c r="K2420" s="25" t="s">
        <v>9</v>
      </c>
      <c r="L2420" s="25" t="s">
        <v>30</v>
      </c>
      <c r="M2420" s="25"/>
      <c r="N2420" s="25" t="s">
        <v>37</v>
      </c>
      <c r="Q2420" s="99"/>
    </row>
    <row r="2421">
      <c r="A2421" s="140"/>
      <c r="B2421" s="134" t="s">
        <v>18</v>
      </c>
      <c r="C2421" s="134" t="s">
        <v>74</v>
      </c>
      <c r="D2421" s="133" t="s">
        <v>913</v>
      </c>
      <c r="E2421" s="168">
        <v>43283.0</v>
      </c>
      <c r="F2421" s="13" t="str">
        <f t="shared" si="201"/>
        <v>Jul-2018</v>
      </c>
      <c r="G2421" s="263" t="s">
        <v>146</v>
      </c>
      <c r="H2421" s="15" t="s">
        <v>35</v>
      </c>
      <c r="I2421" s="16" t="s">
        <v>111</v>
      </c>
      <c r="J2421" s="16" t="s">
        <v>216</v>
      </c>
      <c r="K2421" s="16" t="s">
        <v>9</v>
      </c>
      <c r="L2421" s="16" t="s">
        <v>24</v>
      </c>
      <c r="M2421" s="16" t="s">
        <v>24</v>
      </c>
      <c r="N2421" s="16" t="s">
        <v>98</v>
      </c>
      <c r="O2421" s="101"/>
      <c r="P2421" s="101"/>
      <c r="Q2421" s="102"/>
    </row>
    <row r="2422">
      <c r="A2422" s="140"/>
      <c r="B2422" s="134" t="s">
        <v>18</v>
      </c>
      <c r="C2422" s="134" t="s">
        <v>74</v>
      </c>
      <c r="D2422" s="133" t="s">
        <v>913</v>
      </c>
      <c r="E2422" s="168">
        <v>43283.0</v>
      </c>
      <c r="F2422" s="13" t="str">
        <f t="shared" si="201"/>
        <v>Jul-2018</v>
      </c>
      <c r="G2422" s="263" t="s">
        <v>149</v>
      </c>
      <c r="H2422" s="15" t="s">
        <v>35</v>
      </c>
      <c r="I2422" s="16" t="s">
        <v>111</v>
      </c>
      <c r="J2422" s="16" t="s">
        <v>216</v>
      </c>
      <c r="K2422" s="16" t="s">
        <v>9</v>
      </c>
      <c r="L2422" s="16" t="s">
        <v>30</v>
      </c>
      <c r="M2422" s="16"/>
      <c r="N2422" s="16" t="s">
        <v>69</v>
      </c>
      <c r="O2422" s="101"/>
      <c r="P2422" s="101"/>
      <c r="Q2422" s="102"/>
    </row>
    <row r="2423">
      <c r="A2423" s="140"/>
      <c r="B2423" s="134" t="s">
        <v>18</v>
      </c>
      <c r="C2423" s="134" t="s">
        <v>74</v>
      </c>
      <c r="D2423" s="133" t="s">
        <v>913</v>
      </c>
      <c r="E2423" s="168">
        <v>43283.0</v>
      </c>
      <c r="F2423" s="13" t="str">
        <f t="shared" si="201"/>
        <v>Jul-2018</v>
      </c>
      <c r="G2423" s="263" t="s">
        <v>222</v>
      </c>
      <c r="H2423" s="15" t="s">
        <v>35</v>
      </c>
      <c r="I2423" s="16" t="s">
        <v>111</v>
      </c>
      <c r="J2423" s="16" t="s">
        <v>216</v>
      </c>
      <c r="K2423" s="16" t="s">
        <v>9</v>
      </c>
      <c r="L2423" s="16" t="s">
        <v>24</v>
      </c>
      <c r="M2423" s="16"/>
      <c r="N2423" s="16" t="s">
        <v>29</v>
      </c>
      <c r="O2423" s="101"/>
      <c r="P2423" s="101"/>
      <c r="Q2423" s="102"/>
    </row>
    <row r="2424">
      <c r="A2424" s="141"/>
      <c r="B2424" s="134" t="s">
        <v>18</v>
      </c>
      <c r="C2424" s="134" t="s">
        <v>74</v>
      </c>
      <c r="D2424" s="133" t="s">
        <v>913</v>
      </c>
      <c r="E2424" s="168">
        <v>43283.0</v>
      </c>
      <c r="F2424" s="13" t="str">
        <f t="shared" si="201"/>
        <v>Jul-2018</v>
      </c>
      <c r="G2424" s="265" t="s">
        <v>467</v>
      </c>
      <c r="H2424" s="37" t="s">
        <v>35</v>
      </c>
      <c r="I2424" s="38" t="s">
        <v>111</v>
      </c>
      <c r="J2424" s="38" t="s">
        <v>216</v>
      </c>
      <c r="K2424" s="38" t="s">
        <v>9</v>
      </c>
      <c r="L2424" s="38" t="s">
        <v>24</v>
      </c>
      <c r="M2424" s="38"/>
      <c r="N2424" s="38" t="s">
        <v>98</v>
      </c>
      <c r="O2424" s="105"/>
      <c r="P2424" s="105"/>
      <c r="Q2424" s="106"/>
    </row>
    <row r="2425">
      <c r="A2425" s="94"/>
    </row>
    <row r="2426">
      <c r="A2426" s="133" t="s">
        <v>920</v>
      </c>
      <c r="B2426" s="134" t="s">
        <v>18</v>
      </c>
      <c r="C2426" s="134" t="s">
        <v>74</v>
      </c>
      <c r="D2426" s="133" t="s">
        <v>920</v>
      </c>
      <c r="E2426" s="168">
        <v>43290.0</v>
      </c>
      <c r="F2426" s="13" t="str">
        <f t="shared" ref="F2426:F2433" si="202">TEXT(E2418:E2426, "mmm") &amp; "-" &amp; TEXT(E2418:E2426, "yyyy") </f>
        <v>Jul-2018</v>
      </c>
      <c r="G2426" s="165" t="s">
        <v>20</v>
      </c>
      <c r="H2426" s="72" t="s">
        <v>35</v>
      </c>
      <c r="I2426" s="73" t="s">
        <v>921</v>
      </c>
      <c r="J2426" s="73" t="s">
        <v>9</v>
      </c>
      <c r="K2426" s="73" t="s">
        <v>9</v>
      </c>
      <c r="L2426" s="73" t="s">
        <v>30</v>
      </c>
      <c r="M2426" s="73" t="s">
        <v>30</v>
      </c>
      <c r="N2426" s="73" t="s">
        <v>98</v>
      </c>
      <c r="O2426" s="165"/>
      <c r="P2426" s="165"/>
      <c r="Q2426" s="166"/>
    </row>
    <row r="2427">
      <c r="A2427" s="134" t="s">
        <v>18</v>
      </c>
      <c r="B2427" s="134" t="s">
        <v>18</v>
      </c>
      <c r="C2427" s="134" t="s">
        <v>74</v>
      </c>
      <c r="D2427" s="133" t="s">
        <v>920</v>
      </c>
      <c r="E2427" s="168">
        <v>43290.0</v>
      </c>
      <c r="F2427" s="13" t="str">
        <f t="shared" si="202"/>
        <v>Jul-2018</v>
      </c>
      <c r="G2427" t="s">
        <v>25</v>
      </c>
      <c r="H2427" s="24" t="s">
        <v>35</v>
      </c>
      <c r="I2427" s="25" t="s">
        <v>921</v>
      </c>
      <c r="J2427" s="25" t="s">
        <v>27</v>
      </c>
      <c r="K2427" s="25" t="s">
        <v>9</v>
      </c>
      <c r="L2427" s="25" t="s">
        <v>30</v>
      </c>
      <c r="M2427" s="25"/>
      <c r="N2427" s="25" t="s">
        <v>106</v>
      </c>
      <c r="Q2427" s="99"/>
    </row>
    <row r="2428">
      <c r="A2428" s="134" t="s">
        <v>915</v>
      </c>
      <c r="B2428" s="134" t="s">
        <v>18</v>
      </c>
      <c r="C2428" s="134" t="s">
        <v>74</v>
      </c>
      <c r="D2428" s="133" t="s">
        <v>920</v>
      </c>
      <c r="E2428" s="168">
        <v>43290.0</v>
      </c>
      <c r="F2428" s="13" t="str">
        <f t="shared" si="202"/>
        <v>Jul-2018</v>
      </c>
      <c r="G2428" s="101" t="s">
        <v>20</v>
      </c>
      <c r="H2428" s="15" t="s">
        <v>35</v>
      </c>
      <c r="I2428" s="16" t="s">
        <v>93</v>
      </c>
      <c r="J2428" s="16" t="s">
        <v>23</v>
      </c>
      <c r="K2428" s="16" t="s">
        <v>9</v>
      </c>
      <c r="L2428" s="16" t="s">
        <v>24</v>
      </c>
      <c r="M2428" s="16" t="s">
        <v>24</v>
      </c>
      <c r="N2428" s="16" t="s">
        <v>99</v>
      </c>
      <c r="O2428" s="101"/>
      <c r="P2428" s="101"/>
      <c r="Q2428" s="102"/>
    </row>
    <row r="2429">
      <c r="A2429" s="168">
        <v>43290.0</v>
      </c>
      <c r="B2429" s="134" t="s">
        <v>18</v>
      </c>
      <c r="C2429" s="134" t="s">
        <v>74</v>
      </c>
      <c r="D2429" s="133" t="s">
        <v>920</v>
      </c>
      <c r="E2429" s="168">
        <v>43290.0</v>
      </c>
      <c r="F2429" s="13" t="str">
        <f t="shared" si="202"/>
        <v>Jul-2018</v>
      </c>
      <c r="G2429" s="101" t="s">
        <v>25</v>
      </c>
      <c r="H2429" s="15" t="s">
        <v>35</v>
      </c>
      <c r="I2429" s="16" t="s">
        <v>93</v>
      </c>
      <c r="J2429" s="16" t="s">
        <v>23</v>
      </c>
      <c r="K2429" s="16" t="s">
        <v>9</v>
      </c>
      <c r="L2429" s="16" t="s">
        <v>30</v>
      </c>
      <c r="M2429" s="16"/>
      <c r="N2429" s="16" t="s">
        <v>106</v>
      </c>
      <c r="O2429" s="101"/>
      <c r="P2429" s="101"/>
      <c r="Q2429" s="102"/>
    </row>
    <row r="2430">
      <c r="A2430" s="134" t="s">
        <v>74</v>
      </c>
      <c r="B2430" s="134" t="s">
        <v>18</v>
      </c>
      <c r="C2430" s="134" t="s">
        <v>74</v>
      </c>
      <c r="D2430" s="133" t="s">
        <v>920</v>
      </c>
      <c r="E2430" s="168">
        <v>43290.0</v>
      </c>
      <c r="F2430" s="13" t="str">
        <f t="shared" si="202"/>
        <v>Jul-2018</v>
      </c>
      <c r="G2430" s="101" t="s">
        <v>32</v>
      </c>
      <c r="H2430" s="15" t="s">
        <v>35</v>
      </c>
      <c r="I2430" s="16" t="s">
        <v>93</v>
      </c>
      <c r="J2430" s="16" t="s">
        <v>23</v>
      </c>
      <c r="K2430" s="16" t="s">
        <v>9</v>
      </c>
      <c r="L2430" s="16" t="s">
        <v>24</v>
      </c>
      <c r="M2430" s="16"/>
      <c r="N2430" s="16" t="s">
        <v>37</v>
      </c>
      <c r="O2430" s="101"/>
      <c r="P2430" s="101"/>
      <c r="Q2430" s="102"/>
    </row>
    <row r="2431">
      <c r="A2431" s="176" t="s">
        <v>922</v>
      </c>
      <c r="B2431" s="134" t="s">
        <v>18</v>
      </c>
      <c r="C2431" s="134" t="s">
        <v>74</v>
      </c>
      <c r="D2431" s="133" t="s">
        <v>920</v>
      </c>
      <c r="E2431" s="168">
        <v>43290.0</v>
      </c>
      <c r="F2431" s="13" t="str">
        <f t="shared" si="202"/>
        <v>Jul-2018</v>
      </c>
      <c r="G2431" t="s">
        <v>20</v>
      </c>
      <c r="H2431" s="24" t="s">
        <v>35</v>
      </c>
      <c r="I2431" s="25" t="s">
        <v>633</v>
      </c>
      <c r="J2431" s="25" t="s">
        <v>27</v>
      </c>
      <c r="K2431" s="25" t="s">
        <v>9</v>
      </c>
      <c r="L2431" s="25" t="s">
        <v>24</v>
      </c>
      <c r="M2431" s="25" t="s">
        <v>24</v>
      </c>
      <c r="N2431" s="25" t="s">
        <v>69</v>
      </c>
      <c r="Q2431" s="99"/>
    </row>
    <row r="2432">
      <c r="A2432" s="176" t="s">
        <v>923</v>
      </c>
      <c r="B2432" s="134" t="s">
        <v>18</v>
      </c>
      <c r="C2432" s="134" t="s">
        <v>74</v>
      </c>
      <c r="D2432" s="133" t="s">
        <v>920</v>
      </c>
      <c r="E2432" s="168">
        <v>43290.0</v>
      </c>
      <c r="F2432" s="13" t="str">
        <f t="shared" si="202"/>
        <v>Jul-2018</v>
      </c>
      <c r="G2432" t="s">
        <v>25</v>
      </c>
      <c r="H2432" s="24" t="s">
        <v>35</v>
      </c>
      <c r="I2432" s="25" t="s">
        <v>633</v>
      </c>
      <c r="J2432" s="25" t="s">
        <v>27</v>
      </c>
      <c r="K2432" s="25" t="s">
        <v>9</v>
      </c>
      <c r="L2432" s="25" t="s">
        <v>30</v>
      </c>
      <c r="M2432" s="25"/>
      <c r="N2432" s="25" t="s">
        <v>106</v>
      </c>
      <c r="Q2432" s="99"/>
    </row>
    <row r="2433">
      <c r="A2433" s="134" t="s">
        <v>924</v>
      </c>
      <c r="B2433" s="134" t="s">
        <v>18</v>
      </c>
      <c r="C2433" s="134" t="s">
        <v>74</v>
      </c>
      <c r="D2433" s="133" t="s">
        <v>920</v>
      </c>
      <c r="E2433" s="168">
        <v>43290.0</v>
      </c>
      <c r="F2433" s="13" t="str">
        <f t="shared" si="202"/>
        <v>Jul-2018</v>
      </c>
      <c r="G2433" s="143" t="s">
        <v>32</v>
      </c>
      <c r="H2433" s="54" t="s">
        <v>35</v>
      </c>
      <c r="I2433" s="55" t="s">
        <v>633</v>
      </c>
      <c r="J2433" s="55" t="s">
        <v>27</v>
      </c>
      <c r="K2433" s="55" t="s">
        <v>9</v>
      </c>
      <c r="L2433" s="55" t="s">
        <v>24</v>
      </c>
      <c r="M2433" s="55"/>
      <c r="N2433" s="55" t="s">
        <v>99</v>
      </c>
      <c r="O2433" s="143"/>
      <c r="P2433" s="143"/>
      <c r="Q2433" s="144"/>
    </row>
    <row r="2434">
      <c r="A2434" s="94"/>
    </row>
    <row r="2435">
      <c r="A2435" s="133" t="s">
        <v>925</v>
      </c>
      <c r="B2435" s="134" t="s">
        <v>433</v>
      </c>
      <c r="C2435" s="134" t="s">
        <v>74</v>
      </c>
      <c r="D2435" s="133" t="s">
        <v>925</v>
      </c>
      <c r="E2435" s="239">
        <v>43291.0</v>
      </c>
      <c r="F2435" s="110" t="str">
        <f t="shared" ref="F2435:F2445" si="203">TEXT(E2427:E2435, "mmm") &amp; "-" &amp; TEXT(E2427:E2435, "yyyy") </f>
        <v>Jul-2018</v>
      </c>
      <c r="G2435" s="152" t="s">
        <v>20</v>
      </c>
      <c r="H2435" s="46" t="s">
        <v>35</v>
      </c>
      <c r="I2435" s="47" t="s">
        <v>453</v>
      </c>
      <c r="J2435" s="47" t="s">
        <v>23</v>
      </c>
      <c r="K2435" s="47" t="s">
        <v>9</v>
      </c>
      <c r="L2435" s="47" t="s">
        <v>30</v>
      </c>
      <c r="M2435" s="47" t="s">
        <v>30</v>
      </c>
      <c r="N2435" s="47" t="s">
        <v>69</v>
      </c>
      <c r="O2435" s="152"/>
      <c r="P2435" s="152"/>
      <c r="Q2435" s="153"/>
    </row>
    <row r="2436">
      <c r="A2436" s="134" t="s">
        <v>433</v>
      </c>
      <c r="B2436" s="134" t="s">
        <v>433</v>
      </c>
      <c r="C2436" s="134" t="s">
        <v>74</v>
      </c>
      <c r="D2436" s="133" t="s">
        <v>925</v>
      </c>
      <c r="E2436" s="240">
        <v>43291.0</v>
      </c>
      <c r="F2436" s="13" t="str">
        <f t="shared" si="203"/>
        <v>Jul-2018</v>
      </c>
      <c r="G2436" s="101" t="s">
        <v>25</v>
      </c>
      <c r="H2436" s="15" t="s">
        <v>35</v>
      </c>
      <c r="I2436" s="16" t="s">
        <v>453</v>
      </c>
      <c r="J2436" s="16" t="s">
        <v>23</v>
      </c>
      <c r="K2436" s="16" t="s">
        <v>9</v>
      </c>
      <c r="L2436" s="16" t="s">
        <v>30</v>
      </c>
      <c r="M2436" s="16"/>
      <c r="N2436" s="16" t="s">
        <v>69</v>
      </c>
      <c r="O2436" s="101"/>
      <c r="P2436" s="101"/>
      <c r="Q2436" s="102"/>
    </row>
    <row r="2437">
      <c r="A2437" s="134" t="s">
        <v>901</v>
      </c>
      <c r="B2437" s="134" t="s">
        <v>433</v>
      </c>
      <c r="C2437" s="134" t="s">
        <v>74</v>
      </c>
      <c r="D2437" s="133" t="s">
        <v>925</v>
      </c>
      <c r="E2437" s="240">
        <v>43291.0</v>
      </c>
      <c r="F2437" s="13" t="str">
        <f t="shared" si="203"/>
        <v>Jul-2018</v>
      </c>
      <c r="G2437" t="s">
        <v>20</v>
      </c>
      <c r="H2437" s="24" t="s">
        <v>35</v>
      </c>
      <c r="I2437" s="25" t="s">
        <v>194</v>
      </c>
      <c r="J2437" s="25" t="s">
        <v>23</v>
      </c>
      <c r="K2437" s="25" t="s">
        <v>9</v>
      </c>
      <c r="L2437" s="25" t="s">
        <v>24</v>
      </c>
      <c r="M2437" s="25" t="s">
        <v>24</v>
      </c>
      <c r="N2437" s="25" t="s">
        <v>37</v>
      </c>
      <c r="Q2437" s="99"/>
    </row>
    <row r="2438">
      <c r="A2438" s="168">
        <v>43291.0</v>
      </c>
      <c r="B2438" s="134" t="s">
        <v>433</v>
      </c>
      <c r="C2438" s="134" t="s">
        <v>74</v>
      </c>
      <c r="D2438" s="133" t="s">
        <v>925</v>
      </c>
      <c r="E2438" s="240">
        <v>43291.0</v>
      </c>
      <c r="F2438" s="13" t="str">
        <f t="shared" si="203"/>
        <v>Jul-2018</v>
      </c>
      <c r="G2438" t="s">
        <v>25</v>
      </c>
      <c r="H2438" s="24" t="s">
        <v>35</v>
      </c>
      <c r="I2438" s="25" t="s">
        <v>194</v>
      </c>
      <c r="J2438" s="25" t="s">
        <v>23</v>
      </c>
      <c r="K2438" s="25" t="s">
        <v>9</v>
      </c>
      <c r="L2438" s="25" t="s">
        <v>30</v>
      </c>
      <c r="M2438" s="25"/>
      <c r="N2438" s="25" t="s">
        <v>29</v>
      </c>
      <c r="Q2438" s="99"/>
    </row>
    <row r="2439">
      <c r="A2439" s="134" t="s">
        <v>74</v>
      </c>
      <c r="B2439" s="134" t="s">
        <v>433</v>
      </c>
      <c r="C2439" s="134" t="s">
        <v>74</v>
      </c>
      <c r="D2439" s="133" t="s">
        <v>925</v>
      </c>
      <c r="E2439" s="240">
        <v>43291.0</v>
      </c>
      <c r="F2439" s="13" t="str">
        <f t="shared" si="203"/>
        <v>Jul-2018</v>
      </c>
      <c r="G2439" t="s">
        <v>32</v>
      </c>
      <c r="H2439" s="24" t="s">
        <v>35</v>
      </c>
      <c r="I2439" s="25" t="s">
        <v>194</v>
      </c>
      <c r="J2439" s="25" t="s">
        <v>23</v>
      </c>
      <c r="K2439" s="25" t="s">
        <v>9</v>
      </c>
      <c r="L2439" s="25" t="s">
        <v>24</v>
      </c>
      <c r="M2439" s="25"/>
      <c r="N2439" s="25" t="s">
        <v>69</v>
      </c>
      <c r="Q2439" s="99"/>
    </row>
    <row r="2440">
      <c r="A2440" s="176" t="s">
        <v>926</v>
      </c>
      <c r="B2440" s="134" t="s">
        <v>433</v>
      </c>
      <c r="C2440" s="134" t="s">
        <v>74</v>
      </c>
      <c r="D2440" s="133" t="s">
        <v>925</v>
      </c>
      <c r="E2440" s="240">
        <v>43291.0</v>
      </c>
      <c r="F2440" s="13" t="str">
        <f t="shared" si="203"/>
        <v>Jul-2018</v>
      </c>
      <c r="G2440" s="19" t="s">
        <v>20</v>
      </c>
      <c r="H2440" s="15" t="s">
        <v>35</v>
      </c>
      <c r="I2440" s="16" t="s">
        <v>127</v>
      </c>
      <c r="J2440" s="16" t="s">
        <v>44</v>
      </c>
      <c r="K2440" s="16" t="s">
        <v>9</v>
      </c>
      <c r="L2440" s="16" t="s">
        <v>30</v>
      </c>
      <c r="M2440" s="16" t="s">
        <v>30</v>
      </c>
      <c r="N2440" s="16" t="s">
        <v>98</v>
      </c>
      <c r="O2440" s="101"/>
      <c r="P2440" s="101"/>
      <c r="Q2440" s="102"/>
    </row>
    <row r="2441">
      <c r="A2441" s="134" t="s">
        <v>927</v>
      </c>
      <c r="B2441" s="134" t="s">
        <v>433</v>
      </c>
      <c r="C2441" s="134" t="s">
        <v>74</v>
      </c>
      <c r="D2441" s="133" t="s">
        <v>925</v>
      </c>
      <c r="E2441" s="240">
        <v>43291.0</v>
      </c>
      <c r="F2441" s="13" t="str">
        <f t="shared" si="203"/>
        <v>Jul-2018</v>
      </c>
      <c r="G2441" s="19" t="s">
        <v>25</v>
      </c>
      <c r="H2441" s="15" t="s">
        <v>35</v>
      </c>
      <c r="I2441" s="16" t="s">
        <v>127</v>
      </c>
      <c r="J2441" s="16" t="s">
        <v>44</v>
      </c>
      <c r="K2441" s="16" t="s">
        <v>9</v>
      </c>
      <c r="L2441" s="16" t="s">
        <v>30</v>
      </c>
      <c r="M2441" s="16"/>
      <c r="N2441" s="16" t="s">
        <v>98</v>
      </c>
      <c r="O2441" s="101"/>
      <c r="P2441" s="101"/>
      <c r="Q2441" s="102"/>
    </row>
    <row r="2442">
      <c r="A2442" s="176" t="s">
        <v>928</v>
      </c>
      <c r="B2442" s="134" t="s">
        <v>433</v>
      </c>
      <c r="C2442" s="134" t="s">
        <v>74</v>
      </c>
      <c r="D2442" s="133" t="s">
        <v>925</v>
      </c>
      <c r="E2442" s="240">
        <v>43291.0</v>
      </c>
      <c r="F2442" s="13" t="str">
        <f t="shared" si="203"/>
        <v>Jul-2018</v>
      </c>
      <c r="G2442" s="32" t="s">
        <v>20</v>
      </c>
      <c r="H2442" s="24" t="s">
        <v>35</v>
      </c>
      <c r="I2442" s="25" t="s">
        <v>914</v>
      </c>
      <c r="J2442" s="25" t="s">
        <v>23</v>
      </c>
      <c r="K2442" s="25" t="s">
        <v>9</v>
      </c>
      <c r="L2442" s="25" t="s">
        <v>30</v>
      </c>
      <c r="M2442" s="25" t="s">
        <v>30</v>
      </c>
      <c r="N2442" s="25" t="s">
        <v>37</v>
      </c>
      <c r="Q2442" s="99"/>
    </row>
    <row r="2443">
      <c r="A2443" s="140"/>
      <c r="B2443" s="134" t="s">
        <v>433</v>
      </c>
      <c r="C2443" s="134" t="s">
        <v>74</v>
      </c>
      <c r="D2443" s="133" t="s">
        <v>925</v>
      </c>
      <c r="E2443" s="240">
        <v>43291.0</v>
      </c>
      <c r="F2443" s="13" t="str">
        <f t="shared" si="203"/>
        <v>Jul-2018</v>
      </c>
      <c r="G2443" s="32" t="s">
        <v>25</v>
      </c>
      <c r="H2443" s="24" t="s">
        <v>35</v>
      </c>
      <c r="I2443" s="25" t="s">
        <v>914</v>
      </c>
      <c r="J2443" s="25" t="s">
        <v>23</v>
      </c>
      <c r="K2443" s="25" t="s">
        <v>9</v>
      </c>
      <c r="L2443" s="25" t="s">
        <v>30</v>
      </c>
      <c r="M2443" s="25"/>
      <c r="N2443" s="25" t="s">
        <v>99</v>
      </c>
      <c r="Q2443" s="99"/>
    </row>
    <row r="2444">
      <c r="A2444" s="140"/>
      <c r="B2444" s="134" t="s">
        <v>433</v>
      </c>
      <c r="C2444" s="134" t="s">
        <v>74</v>
      </c>
      <c r="D2444" s="133" t="s">
        <v>925</v>
      </c>
      <c r="E2444" s="240">
        <v>43291.0</v>
      </c>
      <c r="F2444" s="13" t="str">
        <f t="shared" si="203"/>
        <v>Jul-2018</v>
      </c>
      <c r="G2444" s="19" t="s">
        <v>20</v>
      </c>
      <c r="H2444" s="15" t="s">
        <v>35</v>
      </c>
      <c r="I2444" s="16" t="s">
        <v>94</v>
      </c>
      <c r="J2444" s="16" t="s">
        <v>44</v>
      </c>
      <c r="K2444" s="16" t="s">
        <v>9</v>
      </c>
      <c r="L2444" s="16" t="s">
        <v>24</v>
      </c>
      <c r="M2444" s="16" t="s">
        <v>24</v>
      </c>
      <c r="N2444" s="16" t="s">
        <v>69</v>
      </c>
      <c r="O2444" s="101"/>
      <c r="P2444" s="101"/>
      <c r="Q2444" s="102"/>
    </row>
    <row r="2445">
      <c r="A2445" s="141"/>
      <c r="B2445" s="134" t="s">
        <v>433</v>
      </c>
      <c r="C2445" s="134" t="s">
        <v>74</v>
      </c>
      <c r="D2445" s="133" t="s">
        <v>925</v>
      </c>
      <c r="E2445" s="241">
        <v>43291.0</v>
      </c>
      <c r="F2445" s="35" t="str">
        <f t="shared" si="203"/>
        <v>Jul-2018</v>
      </c>
      <c r="G2445" s="39" t="s">
        <v>25</v>
      </c>
      <c r="H2445" s="37" t="s">
        <v>35</v>
      </c>
      <c r="I2445" s="38" t="s">
        <v>94</v>
      </c>
      <c r="J2445" s="38" t="s">
        <v>44</v>
      </c>
      <c r="K2445" s="38" t="s">
        <v>9</v>
      </c>
      <c r="L2445" s="38" t="s">
        <v>24</v>
      </c>
      <c r="M2445" s="38"/>
      <c r="N2445" s="38" t="s">
        <v>106</v>
      </c>
      <c r="O2445" s="105"/>
      <c r="P2445" s="105"/>
      <c r="Q2445" s="106"/>
    </row>
    <row r="2446">
      <c r="A2446" s="94"/>
      <c r="G2446" s="32"/>
    </row>
    <row r="2447">
      <c r="A2447" s="133" t="s">
        <v>929</v>
      </c>
      <c r="B2447" s="134" t="s">
        <v>827</v>
      </c>
      <c r="C2447" s="134" t="s">
        <v>74</v>
      </c>
      <c r="D2447" s="133" t="s">
        <v>929</v>
      </c>
      <c r="E2447" s="239">
        <v>43294.0</v>
      </c>
      <c r="F2447" s="110" t="str">
        <f t="shared" ref="F2447:F2458" si="204">TEXT(E2439:E2447, "mmm") &amp; "-" &amp; TEXT(E2439:E2447, "yyyy") </f>
        <v>Jul-2018</v>
      </c>
      <c r="G2447" s="165" t="s">
        <v>20</v>
      </c>
      <c r="H2447" s="72" t="s">
        <v>35</v>
      </c>
      <c r="I2447" s="73" t="s">
        <v>930</v>
      </c>
      <c r="J2447" s="73" t="s">
        <v>44</v>
      </c>
      <c r="K2447" s="73" t="s">
        <v>9</v>
      </c>
      <c r="L2447" s="73" t="s">
        <v>30</v>
      </c>
      <c r="M2447" s="73" t="s">
        <v>30</v>
      </c>
      <c r="N2447" s="73" t="s">
        <v>69</v>
      </c>
      <c r="O2447" s="165"/>
      <c r="P2447" s="165"/>
      <c r="Q2447" s="166"/>
    </row>
    <row r="2448">
      <c r="A2448" s="134" t="s">
        <v>827</v>
      </c>
      <c r="B2448" s="134" t="s">
        <v>827</v>
      </c>
      <c r="C2448" s="134" t="s">
        <v>74</v>
      </c>
      <c r="D2448" s="133" t="s">
        <v>929</v>
      </c>
      <c r="E2448" s="240">
        <v>43294.0</v>
      </c>
      <c r="F2448" s="13" t="str">
        <f t="shared" si="204"/>
        <v>Jul-2018</v>
      </c>
      <c r="G2448" t="s">
        <v>25</v>
      </c>
      <c r="H2448" s="24" t="s">
        <v>35</v>
      </c>
      <c r="I2448" s="25" t="s">
        <v>930</v>
      </c>
      <c r="J2448" s="25" t="s">
        <v>44</v>
      </c>
      <c r="K2448" s="25" t="s">
        <v>9</v>
      </c>
      <c r="L2448" s="25" t="s">
        <v>30</v>
      </c>
      <c r="M2448" s="25"/>
      <c r="N2448" s="25" t="s">
        <v>106</v>
      </c>
      <c r="Q2448" s="99"/>
    </row>
    <row r="2449">
      <c r="A2449" s="134" t="s">
        <v>931</v>
      </c>
      <c r="B2449" s="134" t="s">
        <v>827</v>
      </c>
      <c r="C2449" s="134" t="s">
        <v>74</v>
      </c>
      <c r="D2449" s="133" t="s">
        <v>929</v>
      </c>
      <c r="E2449" s="240">
        <v>43294.0</v>
      </c>
      <c r="F2449" s="13" t="str">
        <f t="shared" si="204"/>
        <v>Jul-2018</v>
      </c>
      <c r="G2449" s="101" t="s">
        <v>20</v>
      </c>
      <c r="H2449" s="15" t="s">
        <v>35</v>
      </c>
      <c r="I2449" s="16" t="s">
        <v>771</v>
      </c>
      <c r="J2449" s="16" t="s">
        <v>64</v>
      </c>
      <c r="K2449" s="16" t="s">
        <v>9</v>
      </c>
      <c r="L2449" s="16" t="s">
        <v>30</v>
      </c>
      <c r="M2449" s="16" t="s">
        <v>30</v>
      </c>
      <c r="N2449" s="16" t="s">
        <v>98</v>
      </c>
      <c r="O2449" s="101"/>
      <c r="P2449" s="101"/>
      <c r="Q2449" s="102"/>
    </row>
    <row r="2450">
      <c r="A2450" s="168">
        <v>43294.0</v>
      </c>
      <c r="B2450" s="134" t="s">
        <v>827</v>
      </c>
      <c r="C2450" s="134" t="s">
        <v>74</v>
      </c>
      <c r="D2450" s="133" t="s">
        <v>929</v>
      </c>
      <c r="E2450" s="240">
        <v>43294.0</v>
      </c>
      <c r="F2450" s="13" t="str">
        <f t="shared" si="204"/>
        <v>Jul-2018</v>
      </c>
      <c r="G2450" s="101" t="s">
        <v>25</v>
      </c>
      <c r="H2450" s="15" t="s">
        <v>35</v>
      </c>
      <c r="I2450" s="16" t="s">
        <v>771</v>
      </c>
      <c r="J2450" s="16" t="s">
        <v>64</v>
      </c>
      <c r="K2450" s="16" t="s">
        <v>9</v>
      </c>
      <c r="L2450" s="16" t="s">
        <v>30</v>
      </c>
      <c r="M2450" s="16"/>
      <c r="N2450" s="16" t="s">
        <v>99</v>
      </c>
      <c r="O2450" s="101"/>
      <c r="P2450" s="101"/>
      <c r="Q2450" s="102"/>
    </row>
    <row r="2451">
      <c r="A2451" s="134" t="s">
        <v>74</v>
      </c>
      <c r="B2451" s="134" t="s">
        <v>827</v>
      </c>
      <c r="C2451" s="134" t="s">
        <v>74</v>
      </c>
      <c r="D2451" s="133" t="s">
        <v>929</v>
      </c>
      <c r="E2451" s="240">
        <v>43294.0</v>
      </c>
      <c r="F2451" s="13" t="str">
        <f t="shared" si="204"/>
        <v>Jul-2018</v>
      </c>
      <c r="G2451" s="264" t="s">
        <v>146</v>
      </c>
      <c r="H2451" s="24" t="s">
        <v>35</v>
      </c>
      <c r="I2451" s="25" t="s">
        <v>450</v>
      </c>
      <c r="J2451" s="25" t="s">
        <v>9</v>
      </c>
      <c r="K2451" s="25" t="s">
        <v>9</v>
      </c>
      <c r="L2451" s="25" t="s">
        <v>24</v>
      </c>
      <c r="M2451" s="25" t="s">
        <v>24</v>
      </c>
      <c r="N2451" s="25" t="s">
        <v>69</v>
      </c>
      <c r="Q2451" s="99"/>
    </row>
    <row r="2452">
      <c r="A2452" s="176" t="s">
        <v>932</v>
      </c>
      <c r="B2452" s="134" t="s">
        <v>827</v>
      </c>
      <c r="C2452" s="134" t="s">
        <v>74</v>
      </c>
      <c r="D2452" s="133" t="s">
        <v>929</v>
      </c>
      <c r="E2452" s="240">
        <v>43294.0</v>
      </c>
      <c r="F2452" s="13" t="str">
        <f t="shared" si="204"/>
        <v>Jul-2018</v>
      </c>
      <c r="G2452" s="264" t="s">
        <v>149</v>
      </c>
      <c r="H2452" s="24" t="s">
        <v>35</v>
      </c>
      <c r="I2452" s="25" t="s">
        <v>450</v>
      </c>
      <c r="J2452" s="25" t="s">
        <v>9</v>
      </c>
      <c r="K2452" s="25" t="s">
        <v>9</v>
      </c>
      <c r="L2452" s="25" t="s">
        <v>24</v>
      </c>
      <c r="M2452" s="25"/>
      <c r="N2452" s="25" t="s">
        <v>99</v>
      </c>
      <c r="Q2452" s="99"/>
    </row>
    <row r="2453">
      <c r="A2453" s="140"/>
      <c r="B2453" s="134" t="s">
        <v>827</v>
      </c>
      <c r="C2453" s="134" t="s">
        <v>74</v>
      </c>
      <c r="D2453" s="133" t="s">
        <v>929</v>
      </c>
      <c r="E2453" s="240">
        <v>43294.0</v>
      </c>
      <c r="F2453" s="13" t="str">
        <f t="shared" si="204"/>
        <v>Jul-2018</v>
      </c>
      <c r="G2453" s="264" t="s">
        <v>222</v>
      </c>
      <c r="H2453" s="24" t="s">
        <v>35</v>
      </c>
      <c r="I2453" s="25" t="s">
        <v>450</v>
      </c>
      <c r="J2453" s="25" t="s">
        <v>9</v>
      </c>
      <c r="K2453" s="25" t="s">
        <v>9</v>
      </c>
      <c r="L2453" s="25" t="s">
        <v>24</v>
      </c>
      <c r="M2453" s="25"/>
      <c r="N2453" s="25" t="s">
        <v>106</v>
      </c>
      <c r="Q2453" s="99"/>
    </row>
    <row r="2454">
      <c r="A2454" s="140"/>
      <c r="B2454" s="134" t="s">
        <v>827</v>
      </c>
      <c r="C2454" s="134" t="s">
        <v>74</v>
      </c>
      <c r="D2454" s="133" t="s">
        <v>929</v>
      </c>
      <c r="E2454" s="240">
        <v>43294.0</v>
      </c>
      <c r="F2454" s="13" t="str">
        <f t="shared" si="204"/>
        <v>Jul-2018</v>
      </c>
      <c r="G2454" s="263" t="s">
        <v>146</v>
      </c>
      <c r="H2454" s="15" t="s">
        <v>35</v>
      </c>
      <c r="I2454" s="16" t="s">
        <v>933</v>
      </c>
      <c r="J2454" s="16" t="s">
        <v>23</v>
      </c>
      <c r="K2454" s="16" t="s">
        <v>9</v>
      </c>
      <c r="L2454" s="16" t="s">
        <v>30</v>
      </c>
      <c r="M2454" s="16" t="s">
        <v>24</v>
      </c>
      <c r="N2454" s="16" t="s">
        <v>37</v>
      </c>
      <c r="O2454" s="101"/>
      <c r="P2454" s="101"/>
      <c r="Q2454" s="102"/>
    </row>
    <row r="2455">
      <c r="A2455" s="140"/>
      <c r="B2455" s="134" t="s">
        <v>827</v>
      </c>
      <c r="C2455" s="134" t="s">
        <v>74</v>
      </c>
      <c r="D2455" s="133" t="s">
        <v>929</v>
      </c>
      <c r="E2455" s="240">
        <v>43294.0</v>
      </c>
      <c r="F2455" s="13" t="str">
        <f t="shared" si="204"/>
        <v>Jul-2018</v>
      </c>
      <c r="G2455" s="263" t="s">
        <v>149</v>
      </c>
      <c r="H2455" s="15" t="s">
        <v>35</v>
      </c>
      <c r="I2455" s="16" t="s">
        <v>933</v>
      </c>
      <c r="J2455" s="16" t="s">
        <v>71</v>
      </c>
      <c r="K2455" s="16" t="s">
        <v>9</v>
      </c>
      <c r="L2455" s="16" t="s">
        <v>24</v>
      </c>
      <c r="M2455" s="16"/>
      <c r="N2455" s="16" t="s">
        <v>98</v>
      </c>
      <c r="O2455" s="101"/>
      <c r="P2455" s="101"/>
      <c r="Q2455" s="102"/>
    </row>
    <row r="2456">
      <c r="A2456" s="140"/>
      <c r="B2456" s="134" t="s">
        <v>827</v>
      </c>
      <c r="C2456" s="134" t="s">
        <v>74</v>
      </c>
      <c r="D2456" s="133" t="s">
        <v>929</v>
      </c>
      <c r="E2456" s="240">
        <v>43294.0</v>
      </c>
      <c r="F2456" s="13" t="str">
        <f t="shared" si="204"/>
        <v>Jul-2018</v>
      </c>
      <c r="G2456" s="263" t="s">
        <v>222</v>
      </c>
      <c r="H2456" s="15" t="s">
        <v>35</v>
      </c>
      <c r="I2456" s="16" t="s">
        <v>933</v>
      </c>
      <c r="J2456" s="16" t="s">
        <v>71</v>
      </c>
      <c r="K2456" s="16" t="s">
        <v>9</v>
      </c>
      <c r="L2456" s="16" t="s">
        <v>30</v>
      </c>
      <c r="M2456" s="16"/>
      <c r="N2456" s="16" t="s">
        <v>69</v>
      </c>
      <c r="O2456" s="101"/>
      <c r="P2456" s="101"/>
      <c r="Q2456" s="102"/>
    </row>
    <row r="2457">
      <c r="A2457" s="140"/>
      <c r="B2457" s="134" t="s">
        <v>827</v>
      </c>
      <c r="C2457" s="134" t="s">
        <v>74</v>
      </c>
      <c r="D2457" s="133" t="s">
        <v>929</v>
      </c>
      <c r="E2457" s="240">
        <v>43294.0</v>
      </c>
      <c r="F2457" s="13" t="str">
        <f t="shared" si="204"/>
        <v>Jul-2018</v>
      </c>
      <c r="G2457" s="263" t="s">
        <v>467</v>
      </c>
      <c r="H2457" s="15" t="s">
        <v>35</v>
      </c>
      <c r="I2457" s="16" t="s">
        <v>933</v>
      </c>
      <c r="J2457" s="16" t="s">
        <v>71</v>
      </c>
      <c r="K2457" s="16" t="s">
        <v>9</v>
      </c>
      <c r="L2457" s="16" t="s">
        <v>24</v>
      </c>
      <c r="M2457" s="16"/>
      <c r="N2457" s="16" t="s">
        <v>99</v>
      </c>
      <c r="O2457" s="101"/>
      <c r="P2457" s="101"/>
      <c r="Q2457" s="102"/>
    </row>
    <row r="2458">
      <c r="A2458" s="141"/>
      <c r="B2458" s="134" t="s">
        <v>827</v>
      </c>
      <c r="C2458" s="134" t="s">
        <v>74</v>
      </c>
      <c r="D2458" s="133" t="s">
        <v>929</v>
      </c>
      <c r="E2458" s="241">
        <v>43294.0</v>
      </c>
      <c r="F2458" s="35" t="str">
        <f t="shared" si="204"/>
        <v>Jul-2018</v>
      </c>
      <c r="G2458" s="38" t="s">
        <v>480</v>
      </c>
      <c r="H2458" s="37" t="s">
        <v>35</v>
      </c>
      <c r="I2458" s="38" t="s">
        <v>933</v>
      </c>
      <c r="J2458" s="38" t="s">
        <v>71</v>
      </c>
      <c r="K2458" s="38" t="s">
        <v>9</v>
      </c>
      <c r="L2458" s="38" t="s">
        <v>24</v>
      </c>
      <c r="M2458" s="38"/>
      <c r="N2458" s="38" t="s">
        <v>98</v>
      </c>
      <c r="O2458" s="105"/>
      <c r="P2458" s="105"/>
      <c r="Q2458" s="106"/>
    </row>
    <row r="2459">
      <c r="A2459" s="94"/>
    </row>
    <row r="2460">
      <c r="A2460" s="133" t="s">
        <v>934</v>
      </c>
      <c r="B2460" s="134" t="s">
        <v>827</v>
      </c>
      <c r="C2460" s="134" t="s">
        <v>84</v>
      </c>
      <c r="D2460" s="133" t="s">
        <v>934</v>
      </c>
      <c r="E2460" s="239">
        <v>43295.0</v>
      </c>
      <c r="F2460" s="110" t="str">
        <f t="shared" ref="F2460:F2481" si="205">TEXT(E2452:E2460, "mmm") &amp; "-" &amp; TEXT(E2452:E2460, "yyyy") </f>
        <v>Jul-2018</v>
      </c>
      <c r="G2460" s="165" t="s">
        <v>20</v>
      </c>
      <c r="H2460" s="73" t="s">
        <v>287</v>
      </c>
      <c r="I2460" s="73" t="s">
        <v>935</v>
      </c>
      <c r="J2460" s="73" t="s">
        <v>71</v>
      </c>
      <c r="K2460" s="73" t="s">
        <v>9</v>
      </c>
      <c r="L2460" s="73" t="s">
        <v>30</v>
      </c>
      <c r="M2460" s="73" t="s">
        <v>30</v>
      </c>
      <c r="N2460" s="73" t="s">
        <v>98</v>
      </c>
      <c r="O2460" s="165"/>
      <c r="P2460" s="165"/>
      <c r="Q2460" s="166"/>
    </row>
    <row r="2461">
      <c r="A2461" s="134" t="s">
        <v>827</v>
      </c>
      <c r="B2461" s="134" t="s">
        <v>827</v>
      </c>
      <c r="C2461" s="134" t="s">
        <v>84</v>
      </c>
      <c r="D2461" s="133" t="s">
        <v>934</v>
      </c>
      <c r="E2461" s="240">
        <v>43295.0</v>
      </c>
      <c r="F2461" s="13" t="str">
        <f t="shared" si="205"/>
        <v>Jul-2018</v>
      </c>
      <c r="G2461" t="s">
        <v>25</v>
      </c>
      <c r="H2461" s="25" t="s">
        <v>287</v>
      </c>
      <c r="I2461" s="25" t="s">
        <v>935</v>
      </c>
      <c r="J2461" s="25" t="s">
        <v>71</v>
      </c>
      <c r="K2461" s="25" t="s">
        <v>9</v>
      </c>
      <c r="L2461" s="25" t="s">
        <v>30</v>
      </c>
      <c r="M2461" s="25"/>
      <c r="N2461" s="25" t="s">
        <v>37</v>
      </c>
      <c r="Q2461" s="99"/>
    </row>
    <row r="2462">
      <c r="A2462" s="134" t="s">
        <v>931</v>
      </c>
      <c r="B2462" s="134" t="s">
        <v>827</v>
      </c>
      <c r="C2462" s="134" t="s">
        <v>84</v>
      </c>
      <c r="D2462" s="133" t="s">
        <v>934</v>
      </c>
      <c r="E2462" s="240">
        <v>43295.0</v>
      </c>
      <c r="F2462" s="13" t="str">
        <f t="shared" si="205"/>
        <v>Jul-2018</v>
      </c>
      <c r="G2462" s="101" t="s">
        <v>20</v>
      </c>
      <c r="H2462" s="16" t="s">
        <v>287</v>
      </c>
      <c r="I2462" s="16" t="s">
        <v>936</v>
      </c>
      <c r="J2462" s="16" t="s">
        <v>86</v>
      </c>
      <c r="K2462" s="16" t="s">
        <v>9</v>
      </c>
      <c r="L2462" s="16" t="s">
        <v>30</v>
      </c>
      <c r="M2462" s="16" t="s">
        <v>30</v>
      </c>
      <c r="N2462" s="16" t="s">
        <v>69</v>
      </c>
      <c r="O2462" s="16">
        <v>9.0</v>
      </c>
      <c r="P2462" s="16" t="s">
        <v>596</v>
      </c>
      <c r="Q2462" s="102"/>
    </row>
    <row r="2463">
      <c r="A2463" s="168">
        <v>43295.0</v>
      </c>
      <c r="B2463" s="134" t="s">
        <v>827</v>
      </c>
      <c r="C2463" s="134" t="s">
        <v>84</v>
      </c>
      <c r="D2463" s="133" t="s">
        <v>934</v>
      </c>
      <c r="E2463" s="240">
        <v>43295.0</v>
      </c>
      <c r="F2463" s="13" t="str">
        <f t="shared" si="205"/>
        <v>Jul-2018</v>
      </c>
      <c r="G2463" s="101" t="s">
        <v>25</v>
      </c>
      <c r="H2463" s="16" t="s">
        <v>287</v>
      </c>
      <c r="I2463" s="16" t="s">
        <v>936</v>
      </c>
      <c r="J2463" s="16" t="s">
        <v>86</v>
      </c>
      <c r="K2463" s="16" t="s">
        <v>9</v>
      </c>
      <c r="L2463" s="16" t="s">
        <v>24</v>
      </c>
      <c r="M2463" s="16"/>
      <c r="N2463" s="16" t="s">
        <v>98</v>
      </c>
      <c r="O2463" s="16">
        <v>9.0</v>
      </c>
      <c r="P2463" s="16" t="s">
        <v>596</v>
      </c>
      <c r="Q2463" s="102"/>
    </row>
    <row r="2464">
      <c r="A2464" s="134" t="s">
        <v>84</v>
      </c>
      <c r="B2464" s="134" t="s">
        <v>827</v>
      </c>
      <c r="C2464" s="134" t="s">
        <v>84</v>
      </c>
      <c r="D2464" s="133" t="s">
        <v>934</v>
      </c>
      <c r="E2464" s="240">
        <v>43295.0</v>
      </c>
      <c r="F2464" s="13" t="str">
        <f t="shared" si="205"/>
        <v>Jul-2018</v>
      </c>
      <c r="G2464" s="101" t="s">
        <v>32</v>
      </c>
      <c r="H2464" s="16" t="s">
        <v>287</v>
      </c>
      <c r="I2464" s="16" t="s">
        <v>936</v>
      </c>
      <c r="J2464" s="16" t="s">
        <v>86</v>
      </c>
      <c r="K2464" s="16" t="s">
        <v>9</v>
      </c>
      <c r="L2464" s="16" t="s">
        <v>30</v>
      </c>
      <c r="M2464" s="16"/>
      <c r="N2464" s="16" t="s">
        <v>29</v>
      </c>
      <c r="O2464" s="16">
        <v>9.0</v>
      </c>
      <c r="P2464" s="16" t="s">
        <v>596</v>
      </c>
      <c r="Q2464" s="102"/>
    </row>
    <row r="2465">
      <c r="A2465" s="176" t="s">
        <v>937</v>
      </c>
      <c r="B2465" s="134" t="s">
        <v>827</v>
      </c>
      <c r="C2465" s="134" t="s">
        <v>84</v>
      </c>
      <c r="D2465" s="133" t="s">
        <v>934</v>
      </c>
      <c r="E2465" s="240">
        <v>43295.0</v>
      </c>
      <c r="F2465" s="13" t="str">
        <f t="shared" si="205"/>
        <v>Jul-2018</v>
      </c>
      <c r="G2465" t="s">
        <v>20</v>
      </c>
      <c r="H2465" s="25" t="s">
        <v>287</v>
      </c>
      <c r="I2465" s="25" t="s">
        <v>302</v>
      </c>
      <c r="J2465" s="25" t="s">
        <v>27</v>
      </c>
      <c r="K2465" s="25" t="s">
        <v>9</v>
      </c>
      <c r="L2465" s="25" t="s">
        <v>30</v>
      </c>
      <c r="M2465" s="25" t="s">
        <v>30</v>
      </c>
      <c r="N2465" s="25" t="s">
        <v>69</v>
      </c>
      <c r="Q2465" s="99"/>
    </row>
    <row r="2466">
      <c r="A2466" s="134" t="s">
        <v>938</v>
      </c>
      <c r="B2466" s="134" t="s">
        <v>827</v>
      </c>
      <c r="C2466" s="134" t="s">
        <v>84</v>
      </c>
      <c r="D2466" s="133" t="s">
        <v>934</v>
      </c>
      <c r="E2466" s="240">
        <v>43295.0</v>
      </c>
      <c r="F2466" s="13" t="str">
        <f t="shared" si="205"/>
        <v>Jul-2018</v>
      </c>
      <c r="G2466" t="s">
        <v>25</v>
      </c>
      <c r="H2466" s="25" t="s">
        <v>287</v>
      </c>
      <c r="I2466" s="25" t="s">
        <v>302</v>
      </c>
      <c r="J2466" s="25" t="s">
        <v>27</v>
      </c>
      <c r="K2466" s="25" t="s">
        <v>9</v>
      </c>
      <c r="L2466" s="25" t="s">
        <v>30</v>
      </c>
      <c r="M2466" s="25"/>
      <c r="N2466" s="25" t="s">
        <v>99</v>
      </c>
      <c r="Q2466" s="99"/>
    </row>
    <row r="2467">
      <c r="A2467" s="176" t="s">
        <v>939</v>
      </c>
      <c r="B2467" s="134" t="s">
        <v>827</v>
      </c>
      <c r="C2467" s="134" t="s">
        <v>84</v>
      </c>
      <c r="D2467" s="133" t="s">
        <v>934</v>
      </c>
      <c r="E2467" s="240">
        <v>43295.0</v>
      </c>
      <c r="F2467" s="13" t="str">
        <f t="shared" si="205"/>
        <v>Jul-2018</v>
      </c>
      <c r="G2467" s="101" t="s">
        <v>20</v>
      </c>
      <c r="H2467" s="16" t="s">
        <v>287</v>
      </c>
      <c r="I2467" s="16" t="s">
        <v>726</v>
      </c>
      <c r="J2467" s="16" t="s">
        <v>216</v>
      </c>
      <c r="K2467" s="16" t="s">
        <v>9</v>
      </c>
      <c r="L2467" s="16" t="s">
        <v>30</v>
      </c>
      <c r="M2467" s="16" t="s">
        <v>30</v>
      </c>
      <c r="N2467" s="16" t="s">
        <v>37</v>
      </c>
      <c r="O2467" s="101"/>
      <c r="P2467" s="101"/>
      <c r="Q2467" s="102"/>
    </row>
    <row r="2468">
      <c r="A2468" s="140"/>
      <c r="B2468" s="134" t="s">
        <v>827</v>
      </c>
      <c r="C2468" s="134" t="s">
        <v>84</v>
      </c>
      <c r="D2468" s="133" t="s">
        <v>934</v>
      </c>
      <c r="E2468" s="240">
        <v>43295.0</v>
      </c>
      <c r="F2468" s="13" t="str">
        <f t="shared" si="205"/>
        <v>Jul-2018</v>
      </c>
      <c r="G2468" s="101" t="s">
        <v>25</v>
      </c>
      <c r="H2468" s="16" t="s">
        <v>287</v>
      </c>
      <c r="I2468" s="16" t="s">
        <v>726</v>
      </c>
      <c r="J2468" s="16" t="s">
        <v>216</v>
      </c>
      <c r="K2468" s="16" t="s">
        <v>9</v>
      </c>
      <c r="L2468" s="16" t="s">
        <v>30</v>
      </c>
      <c r="M2468" s="16"/>
      <c r="N2468" s="16" t="s">
        <v>99</v>
      </c>
      <c r="O2468" s="101"/>
      <c r="P2468" s="101"/>
      <c r="Q2468" s="102"/>
    </row>
    <row r="2469">
      <c r="A2469" s="140"/>
      <c r="B2469" s="134" t="s">
        <v>827</v>
      </c>
      <c r="C2469" s="134" t="s">
        <v>84</v>
      </c>
      <c r="D2469" s="133" t="s">
        <v>934</v>
      </c>
      <c r="E2469" s="240">
        <v>43295.0</v>
      </c>
      <c r="F2469" s="13" t="str">
        <f t="shared" si="205"/>
        <v>Jul-2018</v>
      </c>
      <c r="G2469" t="s">
        <v>20</v>
      </c>
      <c r="H2469" s="25" t="s">
        <v>287</v>
      </c>
      <c r="I2469" s="25" t="s">
        <v>940</v>
      </c>
      <c r="J2469" s="25" t="s">
        <v>44</v>
      </c>
      <c r="K2469" s="25" t="s">
        <v>9</v>
      </c>
      <c r="L2469" s="25" t="s">
        <v>30</v>
      </c>
      <c r="M2469" s="25" t="s">
        <v>30</v>
      </c>
      <c r="N2469" s="25" t="s">
        <v>37</v>
      </c>
      <c r="Q2469" s="99"/>
    </row>
    <row r="2470">
      <c r="A2470" s="140"/>
      <c r="B2470" s="134" t="s">
        <v>827</v>
      </c>
      <c r="C2470" s="134" t="s">
        <v>84</v>
      </c>
      <c r="D2470" s="133" t="s">
        <v>934</v>
      </c>
      <c r="E2470" s="240">
        <v>43295.0</v>
      </c>
      <c r="F2470" s="13" t="str">
        <f t="shared" si="205"/>
        <v>Jul-2018</v>
      </c>
      <c r="G2470" t="s">
        <v>25</v>
      </c>
      <c r="H2470" s="25" t="s">
        <v>287</v>
      </c>
      <c r="I2470" s="25" t="s">
        <v>940</v>
      </c>
      <c r="J2470" s="25" t="s">
        <v>44</v>
      </c>
      <c r="K2470" s="25" t="s">
        <v>9</v>
      </c>
      <c r="L2470" s="25" t="s">
        <v>30</v>
      </c>
      <c r="M2470" s="25"/>
      <c r="N2470" s="25" t="s">
        <v>98</v>
      </c>
      <c r="Q2470" s="99"/>
    </row>
    <row r="2471">
      <c r="A2471" s="140"/>
      <c r="B2471" s="134" t="s">
        <v>827</v>
      </c>
      <c r="C2471" s="134" t="s">
        <v>84</v>
      </c>
      <c r="D2471" s="133" t="s">
        <v>934</v>
      </c>
      <c r="E2471" s="240">
        <v>43295.0</v>
      </c>
      <c r="F2471" s="13" t="str">
        <f t="shared" si="205"/>
        <v>Jul-2018</v>
      </c>
      <c r="G2471" s="101" t="s">
        <v>20</v>
      </c>
      <c r="H2471" s="15" t="s">
        <v>35</v>
      </c>
      <c r="I2471" s="16" t="s">
        <v>941</v>
      </c>
      <c r="J2471" s="16" t="s">
        <v>23</v>
      </c>
      <c r="K2471" s="16" t="s">
        <v>9</v>
      </c>
      <c r="L2471" s="16" t="s">
        <v>30</v>
      </c>
      <c r="M2471" s="16" t="s">
        <v>30</v>
      </c>
      <c r="N2471" s="16" t="s">
        <v>69</v>
      </c>
      <c r="O2471" s="101"/>
      <c r="P2471" s="101"/>
      <c r="Q2471" s="102"/>
    </row>
    <row r="2472">
      <c r="A2472" s="140"/>
      <c r="B2472" s="134" t="s">
        <v>827</v>
      </c>
      <c r="C2472" s="134" t="s">
        <v>84</v>
      </c>
      <c r="D2472" s="133" t="s">
        <v>934</v>
      </c>
      <c r="E2472" s="240">
        <v>43295.0</v>
      </c>
      <c r="F2472" s="13" t="str">
        <f t="shared" si="205"/>
        <v>Jul-2018</v>
      </c>
      <c r="G2472" s="101" t="s">
        <v>25</v>
      </c>
      <c r="H2472" s="15" t="s">
        <v>35</v>
      </c>
      <c r="I2472" s="16" t="s">
        <v>941</v>
      </c>
      <c r="J2472" s="16" t="s">
        <v>23</v>
      </c>
      <c r="K2472" s="16" t="s">
        <v>9</v>
      </c>
      <c r="L2472" s="16" t="s">
        <v>30</v>
      </c>
      <c r="M2472" s="16"/>
      <c r="N2472" s="16" t="s">
        <v>69</v>
      </c>
      <c r="O2472" s="101"/>
      <c r="P2472" s="101"/>
      <c r="Q2472" s="102"/>
    </row>
    <row r="2473">
      <c r="A2473" s="140"/>
      <c r="B2473" s="134" t="s">
        <v>827</v>
      </c>
      <c r="C2473" s="134" t="s">
        <v>84</v>
      </c>
      <c r="D2473" s="133" t="s">
        <v>934</v>
      </c>
      <c r="E2473" s="240">
        <v>43295.0</v>
      </c>
      <c r="F2473" s="13" t="str">
        <f t="shared" si="205"/>
        <v>Jul-2018</v>
      </c>
      <c r="G2473" t="s">
        <v>20</v>
      </c>
      <c r="H2473" s="24" t="s">
        <v>35</v>
      </c>
      <c r="I2473" s="25" t="s">
        <v>942</v>
      </c>
      <c r="J2473" s="25" t="s">
        <v>9</v>
      </c>
      <c r="K2473" s="25" t="s">
        <v>9</v>
      </c>
      <c r="L2473" s="25" t="s">
        <v>24</v>
      </c>
      <c r="M2473" s="25" t="s">
        <v>24</v>
      </c>
      <c r="N2473" s="25" t="s">
        <v>98</v>
      </c>
      <c r="Q2473" s="99"/>
    </row>
    <row r="2474">
      <c r="A2474" s="140"/>
      <c r="B2474" s="134" t="s">
        <v>827</v>
      </c>
      <c r="C2474" s="134" t="s">
        <v>84</v>
      </c>
      <c r="D2474" s="133" t="s">
        <v>934</v>
      </c>
      <c r="E2474" s="240">
        <v>43295.0</v>
      </c>
      <c r="F2474" s="13" t="str">
        <f t="shared" si="205"/>
        <v>Jul-2018</v>
      </c>
      <c r="G2474" t="s">
        <v>25</v>
      </c>
      <c r="H2474" s="24" t="s">
        <v>35</v>
      </c>
      <c r="I2474" s="25" t="s">
        <v>942</v>
      </c>
      <c r="J2474" s="25" t="s">
        <v>9</v>
      </c>
      <c r="K2474" s="25" t="s">
        <v>9</v>
      </c>
      <c r="L2474" s="25" t="s">
        <v>24</v>
      </c>
      <c r="M2474" s="25"/>
      <c r="N2474" s="25" t="s">
        <v>69</v>
      </c>
      <c r="Q2474" s="99"/>
    </row>
    <row r="2475">
      <c r="A2475" s="140"/>
      <c r="B2475" s="134" t="s">
        <v>827</v>
      </c>
      <c r="C2475" s="134" t="s">
        <v>84</v>
      </c>
      <c r="D2475" s="133" t="s">
        <v>934</v>
      </c>
      <c r="E2475" s="240">
        <v>43295.0</v>
      </c>
      <c r="F2475" s="13" t="str">
        <f t="shared" si="205"/>
        <v>Jul-2018</v>
      </c>
      <c r="G2475" s="101" t="s">
        <v>20</v>
      </c>
      <c r="H2475" s="15" t="s">
        <v>35</v>
      </c>
      <c r="I2475" s="16" t="s">
        <v>943</v>
      </c>
      <c r="J2475" s="16" t="s">
        <v>27</v>
      </c>
      <c r="K2475" s="16" t="s">
        <v>9</v>
      </c>
      <c r="L2475" s="16" t="s">
        <v>30</v>
      </c>
      <c r="M2475" s="16" t="s">
        <v>30</v>
      </c>
      <c r="N2475" s="16" t="s">
        <v>98</v>
      </c>
      <c r="O2475" s="101"/>
      <c r="P2475" s="101"/>
      <c r="Q2475" s="102"/>
    </row>
    <row r="2476">
      <c r="A2476" s="140"/>
      <c r="B2476" s="134" t="s">
        <v>827</v>
      </c>
      <c r="C2476" s="134" t="s">
        <v>84</v>
      </c>
      <c r="D2476" s="133" t="s">
        <v>934</v>
      </c>
      <c r="E2476" s="240">
        <v>43295.0</v>
      </c>
      <c r="F2476" s="13" t="str">
        <f t="shared" si="205"/>
        <v>Jul-2018</v>
      </c>
      <c r="G2476" s="101" t="s">
        <v>25</v>
      </c>
      <c r="H2476" s="15" t="s">
        <v>35</v>
      </c>
      <c r="I2476" s="16" t="s">
        <v>943</v>
      </c>
      <c r="J2476" s="16" t="s">
        <v>27</v>
      </c>
      <c r="K2476" s="16" t="s">
        <v>9</v>
      </c>
      <c r="L2476" s="16" t="s">
        <v>30</v>
      </c>
      <c r="M2476" s="16"/>
      <c r="N2476" s="16" t="s">
        <v>99</v>
      </c>
      <c r="O2476" s="101"/>
      <c r="P2476" s="101"/>
      <c r="Q2476" s="102"/>
    </row>
    <row r="2477">
      <c r="A2477" s="140"/>
      <c r="B2477" s="134" t="s">
        <v>827</v>
      </c>
      <c r="C2477" s="134" t="s">
        <v>84</v>
      </c>
      <c r="D2477" s="133" t="s">
        <v>934</v>
      </c>
      <c r="E2477" s="240">
        <v>43295.0</v>
      </c>
      <c r="F2477" s="13" t="str">
        <f t="shared" si="205"/>
        <v>Jul-2018</v>
      </c>
      <c r="G2477" t="s">
        <v>20</v>
      </c>
      <c r="H2477" s="24" t="s">
        <v>35</v>
      </c>
      <c r="I2477" s="25" t="s">
        <v>944</v>
      </c>
      <c r="J2477" s="25" t="s">
        <v>9</v>
      </c>
      <c r="K2477" s="25" t="s">
        <v>9</v>
      </c>
      <c r="L2477" s="25" t="s">
        <v>24</v>
      </c>
      <c r="M2477" s="25" t="s">
        <v>30</v>
      </c>
      <c r="N2477" s="25" t="s">
        <v>69</v>
      </c>
      <c r="Q2477" s="99"/>
    </row>
    <row r="2478">
      <c r="A2478" s="140"/>
      <c r="B2478" s="134" t="s">
        <v>827</v>
      </c>
      <c r="C2478" s="134" t="s">
        <v>84</v>
      </c>
      <c r="D2478" s="133" t="s">
        <v>934</v>
      </c>
      <c r="E2478" s="240">
        <v>43295.0</v>
      </c>
      <c r="F2478" s="13" t="str">
        <f t="shared" si="205"/>
        <v>Jul-2018</v>
      </c>
      <c r="G2478" t="s">
        <v>25</v>
      </c>
      <c r="H2478" s="24" t="s">
        <v>35</v>
      </c>
      <c r="I2478" s="25" t="s">
        <v>944</v>
      </c>
      <c r="J2478" s="25" t="s">
        <v>9</v>
      </c>
      <c r="K2478" s="25" t="s">
        <v>9</v>
      </c>
      <c r="L2478" s="25" t="s">
        <v>30</v>
      </c>
      <c r="M2478" s="25"/>
      <c r="N2478" s="25" t="s">
        <v>69</v>
      </c>
      <c r="Q2478" s="99"/>
    </row>
    <row r="2479">
      <c r="A2479" s="140"/>
      <c r="B2479" s="134" t="s">
        <v>827</v>
      </c>
      <c r="C2479" s="134" t="s">
        <v>84</v>
      </c>
      <c r="D2479" s="133" t="s">
        <v>934</v>
      </c>
      <c r="E2479" s="240">
        <v>43295.0</v>
      </c>
      <c r="F2479" s="13" t="str">
        <f t="shared" si="205"/>
        <v>Jul-2018</v>
      </c>
      <c r="G2479" t="s">
        <v>32</v>
      </c>
      <c r="H2479" s="24" t="s">
        <v>35</v>
      </c>
      <c r="I2479" s="25" t="s">
        <v>944</v>
      </c>
      <c r="J2479" s="25" t="s">
        <v>9</v>
      </c>
      <c r="K2479" s="25" t="s">
        <v>9</v>
      </c>
      <c r="L2479" s="25" t="s">
        <v>30</v>
      </c>
      <c r="M2479" s="25"/>
      <c r="N2479" s="25" t="s">
        <v>99</v>
      </c>
      <c r="Q2479" s="99"/>
    </row>
    <row r="2480">
      <c r="A2480" s="140"/>
      <c r="B2480" s="134" t="s">
        <v>827</v>
      </c>
      <c r="C2480" s="134" t="s">
        <v>84</v>
      </c>
      <c r="D2480" s="133" t="s">
        <v>934</v>
      </c>
      <c r="E2480" s="240">
        <v>43295.0</v>
      </c>
      <c r="F2480" s="13" t="str">
        <f t="shared" si="205"/>
        <v>Jul-2018</v>
      </c>
      <c r="G2480" s="101" t="s">
        <v>20</v>
      </c>
      <c r="H2480" s="15" t="s">
        <v>35</v>
      </c>
      <c r="I2480" s="16" t="s">
        <v>36</v>
      </c>
      <c r="J2480" s="16" t="s">
        <v>27</v>
      </c>
      <c r="K2480" s="16" t="s">
        <v>9</v>
      </c>
      <c r="L2480" s="16" t="s">
        <v>24</v>
      </c>
      <c r="M2480" s="16" t="s">
        <v>24</v>
      </c>
      <c r="N2480" s="16" t="s">
        <v>37</v>
      </c>
      <c r="O2480" s="101"/>
      <c r="P2480" s="101"/>
      <c r="Q2480" s="102"/>
    </row>
    <row r="2481">
      <c r="A2481" s="141"/>
      <c r="B2481" s="134" t="s">
        <v>827</v>
      </c>
      <c r="C2481" s="134" t="s">
        <v>84</v>
      </c>
      <c r="D2481" s="133" t="s">
        <v>934</v>
      </c>
      <c r="E2481" s="241">
        <v>43295.0</v>
      </c>
      <c r="F2481" s="35" t="str">
        <f t="shared" si="205"/>
        <v>Jul-2018</v>
      </c>
      <c r="G2481" s="105" t="s">
        <v>25</v>
      </c>
      <c r="H2481" s="37" t="s">
        <v>35</v>
      </c>
      <c r="I2481" s="38" t="s">
        <v>36</v>
      </c>
      <c r="J2481" s="38" t="s">
        <v>27</v>
      </c>
      <c r="K2481" s="38" t="s">
        <v>9</v>
      </c>
      <c r="L2481" s="38" t="s">
        <v>24</v>
      </c>
      <c r="M2481" s="38"/>
      <c r="N2481" s="38" t="s">
        <v>106</v>
      </c>
      <c r="O2481" s="105"/>
      <c r="P2481" s="105"/>
      <c r="Q2481" s="106"/>
    </row>
    <row r="2482">
      <c r="A2482" s="94"/>
    </row>
    <row r="2483">
      <c r="A2483" s="133" t="s">
        <v>945</v>
      </c>
      <c r="B2483" s="134" t="s">
        <v>433</v>
      </c>
      <c r="C2483" s="134" t="s">
        <v>74</v>
      </c>
      <c r="D2483" s="133" t="s">
        <v>945</v>
      </c>
      <c r="E2483" s="168">
        <v>43305.0</v>
      </c>
      <c r="F2483" s="110" t="str">
        <f t="shared" ref="F2483:F2494" si="206">TEXT(E2475:E2483, "mmm") &amp; "-" &amp; TEXT(E2475:E2483, "yyyy") </f>
        <v>Jul-2018</v>
      </c>
      <c r="G2483" s="165" t="s">
        <v>20</v>
      </c>
      <c r="H2483" s="72" t="s">
        <v>35</v>
      </c>
      <c r="I2483" s="73" t="s">
        <v>946</v>
      </c>
      <c r="J2483" s="73" t="s">
        <v>48</v>
      </c>
      <c r="K2483" s="73" t="s">
        <v>9</v>
      </c>
      <c r="L2483" s="73" t="s">
        <v>30</v>
      </c>
      <c r="M2483" s="73" t="s">
        <v>30</v>
      </c>
      <c r="N2483" s="73" t="s">
        <v>98</v>
      </c>
      <c r="O2483" s="165"/>
      <c r="P2483" s="165"/>
      <c r="Q2483" s="166"/>
    </row>
    <row r="2484">
      <c r="A2484" s="134" t="s">
        <v>433</v>
      </c>
      <c r="B2484" s="134" t="s">
        <v>433</v>
      </c>
      <c r="C2484" s="134" t="s">
        <v>74</v>
      </c>
      <c r="D2484" s="133" t="s">
        <v>945</v>
      </c>
      <c r="E2484" s="168">
        <v>43305.0</v>
      </c>
      <c r="F2484" s="13" t="str">
        <f t="shared" si="206"/>
        <v>Jul-2018</v>
      </c>
      <c r="G2484" t="s">
        <v>25</v>
      </c>
      <c r="H2484" s="24" t="s">
        <v>35</v>
      </c>
      <c r="I2484" s="25" t="s">
        <v>946</v>
      </c>
      <c r="J2484" s="25" t="s">
        <v>48</v>
      </c>
      <c r="K2484" s="25" t="s">
        <v>9</v>
      </c>
      <c r="L2484" s="25" t="s">
        <v>30</v>
      </c>
      <c r="M2484" s="25"/>
      <c r="N2484" s="25" t="s">
        <v>99</v>
      </c>
      <c r="Q2484" s="99"/>
    </row>
    <row r="2485">
      <c r="A2485" s="134" t="s">
        <v>901</v>
      </c>
      <c r="B2485" s="134" t="s">
        <v>433</v>
      </c>
      <c r="C2485" s="134" t="s">
        <v>74</v>
      </c>
      <c r="D2485" s="133" t="s">
        <v>945</v>
      </c>
      <c r="E2485" s="168">
        <v>43305.0</v>
      </c>
      <c r="F2485" s="13" t="str">
        <f t="shared" si="206"/>
        <v>Jul-2018</v>
      </c>
      <c r="G2485" s="101" t="s">
        <v>20</v>
      </c>
      <c r="H2485" s="15" t="s">
        <v>35</v>
      </c>
      <c r="I2485" s="16" t="s">
        <v>375</v>
      </c>
      <c r="J2485" s="16" t="s">
        <v>9</v>
      </c>
      <c r="K2485" s="16" t="s">
        <v>9</v>
      </c>
      <c r="L2485" s="16" t="s">
        <v>30</v>
      </c>
      <c r="M2485" s="16" t="s">
        <v>30</v>
      </c>
      <c r="N2485" s="16" t="s">
        <v>69</v>
      </c>
      <c r="O2485" s="101"/>
      <c r="P2485" s="101"/>
      <c r="Q2485" s="102"/>
    </row>
    <row r="2486">
      <c r="A2486" s="168">
        <v>43305.0</v>
      </c>
      <c r="B2486" s="134" t="s">
        <v>433</v>
      </c>
      <c r="C2486" s="134" t="s">
        <v>74</v>
      </c>
      <c r="D2486" s="133" t="s">
        <v>945</v>
      </c>
      <c r="E2486" s="168">
        <v>43305.0</v>
      </c>
      <c r="F2486" s="13" t="str">
        <f t="shared" si="206"/>
        <v>Jul-2018</v>
      </c>
      <c r="G2486" s="101" t="s">
        <v>25</v>
      </c>
      <c r="H2486" s="15" t="s">
        <v>35</v>
      </c>
      <c r="I2486" s="16" t="s">
        <v>375</v>
      </c>
      <c r="J2486" s="16" t="s">
        <v>9</v>
      </c>
      <c r="K2486" s="16" t="s">
        <v>9</v>
      </c>
      <c r="L2486" s="16" t="s">
        <v>30</v>
      </c>
      <c r="M2486" s="16"/>
      <c r="N2486" s="16" t="s">
        <v>69</v>
      </c>
      <c r="O2486" s="101"/>
      <c r="P2486" s="101"/>
      <c r="Q2486" s="102"/>
    </row>
    <row r="2487">
      <c r="A2487" s="134" t="s">
        <v>74</v>
      </c>
      <c r="B2487" s="134" t="s">
        <v>433</v>
      </c>
      <c r="C2487" s="134" t="s">
        <v>74</v>
      </c>
      <c r="D2487" s="133" t="s">
        <v>945</v>
      </c>
      <c r="E2487" s="168">
        <v>43305.0</v>
      </c>
      <c r="F2487" s="13" t="str">
        <f t="shared" si="206"/>
        <v>Jul-2018</v>
      </c>
      <c r="G2487" t="s">
        <v>20</v>
      </c>
      <c r="H2487" s="24" t="s">
        <v>35</v>
      </c>
      <c r="I2487" s="25" t="s">
        <v>947</v>
      </c>
      <c r="J2487" s="25" t="s">
        <v>71</v>
      </c>
      <c r="K2487" s="25" t="s">
        <v>9</v>
      </c>
      <c r="L2487" s="25" t="s">
        <v>24</v>
      </c>
      <c r="M2487" s="25" t="s">
        <v>24</v>
      </c>
      <c r="N2487" s="25" t="s">
        <v>98</v>
      </c>
      <c r="Q2487" s="99"/>
    </row>
    <row r="2488">
      <c r="A2488" s="176" t="s">
        <v>948</v>
      </c>
      <c r="B2488" s="134" t="s">
        <v>433</v>
      </c>
      <c r="C2488" s="134" t="s">
        <v>74</v>
      </c>
      <c r="D2488" s="133" t="s">
        <v>945</v>
      </c>
      <c r="E2488" s="168">
        <v>43305.0</v>
      </c>
      <c r="F2488" s="13" t="str">
        <f t="shared" si="206"/>
        <v>Jul-2018</v>
      </c>
      <c r="G2488" t="s">
        <v>25</v>
      </c>
      <c r="H2488" s="24" t="s">
        <v>35</v>
      </c>
      <c r="I2488" s="25" t="s">
        <v>947</v>
      </c>
      <c r="J2488" s="25" t="s">
        <v>71</v>
      </c>
      <c r="K2488" s="25" t="s">
        <v>9</v>
      </c>
      <c r="L2488" s="25" t="s">
        <v>24</v>
      </c>
      <c r="M2488" s="25"/>
      <c r="N2488" s="25" t="s">
        <v>106</v>
      </c>
      <c r="Q2488" s="99"/>
    </row>
    <row r="2489">
      <c r="A2489" s="134" t="s">
        <v>949</v>
      </c>
      <c r="B2489" s="134" t="s">
        <v>433</v>
      </c>
      <c r="C2489" s="134" t="s">
        <v>74</v>
      </c>
      <c r="D2489" s="133" t="s">
        <v>945</v>
      </c>
      <c r="E2489" s="168">
        <v>43305.0</v>
      </c>
      <c r="F2489" s="13" t="str">
        <f t="shared" si="206"/>
        <v>Jul-2018</v>
      </c>
      <c r="G2489" s="101" t="s">
        <v>20</v>
      </c>
      <c r="H2489" s="15" t="s">
        <v>35</v>
      </c>
      <c r="I2489" s="16" t="s">
        <v>409</v>
      </c>
      <c r="J2489" s="16" t="s">
        <v>27</v>
      </c>
      <c r="K2489" s="16" t="s">
        <v>9</v>
      </c>
      <c r="L2489" s="16" t="s">
        <v>30</v>
      </c>
      <c r="M2489" s="16" t="s">
        <v>30</v>
      </c>
      <c r="N2489" s="16" t="s">
        <v>69</v>
      </c>
      <c r="O2489" s="101"/>
      <c r="P2489" s="101"/>
      <c r="Q2489" s="102"/>
    </row>
    <row r="2490">
      <c r="A2490" s="176" t="s">
        <v>950</v>
      </c>
      <c r="B2490" s="134" t="s">
        <v>433</v>
      </c>
      <c r="C2490" s="134" t="s">
        <v>74</v>
      </c>
      <c r="D2490" s="133" t="s">
        <v>945</v>
      </c>
      <c r="E2490" s="168">
        <v>43305.0</v>
      </c>
      <c r="F2490" s="13" t="str">
        <f t="shared" si="206"/>
        <v>Jul-2018</v>
      </c>
      <c r="G2490" s="101" t="s">
        <v>25</v>
      </c>
      <c r="H2490" s="15" t="s">
        <v>35</v>
      </c>
      <c r="I2490" s="16" t="s">
        <v>409</v>
      </c>
      <c r="J2490" s="16" t="s">
        <v>23</v>
      </c>
      <c r="K2490" s="16" t="s">
        <v>9</v>
      </c>
      <c r="L2490" s="16" t="s">
        <v>30</v>
      </c>
      <c r="M2490" s="16"/>
      <c r="N2490" s="16" t="s">
        <v>99</v>
      </c>
      <c r="O2490" s="101"/>
      <c r="P2490" s="101"/>
      <c r="Q2490" s="102"/>
    </row>
    <row r="2491">
      <c r="A2491" s="140"/>
      <c r="B2491" s="134" t="s">
        <v>433</v>
      </c>
      <c r="C2491" s="134" t="s">
        <v>74</v>
      </c>
      <c r="D2491" s="133" t="s">
        <v>945</v>
      </c>
      <c r="E2491" s="168">
        <v>43305.0</v>
      </c>
      <c r="F2491" s="13" t="str">
        <f t="shared" si="206"/>
        <v>Jul-2018</v>
      </c>
      <c r="G2491" s="264" t="s">
        <v>146</v>
      </c>
      <c r="H2491" s="24" t="s">
        <v>35</v>
      </c>
      <c r="I2491" s="25" t="s">
        <v>452</v>
      </c>
      <c r="J2491" s="25" t="s">
        <v>27</v>
      </c>
      <c r="K2491" s="25" t="s">
        <v>9</v>
      </c>
      <c r="L2491" s="25" t="s">
        <v>30</v>
      </c>
      <c r="M2491" s="25" t="s">
        <v>24</v>
      </c>
      <c r="N2491" s="25" t="s">
        <v>29</v>
      </c>
      <c r="Q2491" s="99"/>
    </row>
    <row r="2492">
      <c r="A2492" s="140"/>
      <c r="B2492" s="134" t="s">
        <v>433</v>
      </c>
      <c r="C2492" s="134" t="s">
        <v>74</v>
      </c>
      <c r="D2492" s="133" t="s">
        <v>945</v>
      </c>
      <c r="E2492" s="168">
        <v>43305.0</v>
      </c>
      <c r="F2492" s="13" t="str">
        <f t="shared" si="206"/>
        <v>Jul-2018</v>
      </c>
      <c r="G2492" s="264" t="s">
        <v>149</v>
      </c>
      <c r="H2492" s="24" t="s">
        <v>35</v>
      </c>
      <c r="I2492" s="25" t="s">
        <v>452</v>
      </c>
      <c r="J2492" s="25" t="s">
        <v>27</v>
      </c>
      <c r="K2492" s="25" t="s">
        <v>9</v>
      </c>
      <c r="L2492" s="25" t="s">
        <v>24</v>
      </c>
      <c r="M2492" s="25"/>
      <c r="N2492" s="25" t="s">
        <v>37</v>
      </c>
      <c r="Q2492" s="99"/>
    </row>
    <row r="2493">
      <c r="A2493" s="141"/>
      <c r="B2493" s="134" t="s">
        <v>433</v>
      </c>
      <c r="C2493" s="134" t="s">
        <v>74</v>
      </c>
      <c r="D2493" s="133" t="s">
        <v>945</v>
      </c>
      <c r="E2493" s="168">
        <v>43305.0</v>
      </c>
      <c r="F2493" s="13" t="str">
        <f t="shared" si="206"/>
        <v>Jul-2018</v>
      </c>
      <c r="G2493" s="264" t="s">
        <v>222</v>
      </c>
      <c r="H2493" s="24" t="s">
        <v>35</v>
      </c>
      <c r="I2493" s="25" t="s">
        <v>452</v>
      </c>
      <c r="J2493" s="25" t="s">
        <v>27</v>
      </c>
      <c r="K2493" s="25" t="s">
        <v>9</v>
      </c>
      <c r="L2493" s="25" t="s">
        <v>24</v>
      </c>
      <c r="M2493" s="25"/>
      <c r="N2493" s="25" t="s">
        <v>98</v>
      </c>
      <c r="Q2493" s="99"/>
    </row>
    <row r="2494">
      <c r="A2494" s="141"/>
      <c r="B2494" s="134" t="s">
        <v>433</v>
      </c>
      <c r="C2494" s="134" t="s">
        <v>74</v>
      </c>
      <c r="D2494" s="277" t="s">
        <v>945</v>
      </c>
      <c r="E2494" s="168">
        <v>43305.0</v>
      </c>
      <c r="F2494" s="35" t="str">
        <f t="shared" si="206"/>
        <v>Jul-2018</v>
      </c>
      <c r="G2494" s="266" t="s">
        <v>467</v>
      </c>
      <c r="H2494" s="54" t="s">
        <v>35</v>
      </c>
      <c r="I2494" s="55" t="s">
        <v>452</v>
      </c>
      <c r="J2494" s="55" t="s">
        <v>27</v>
      </c>
      <c r="K2494" s="55" t="s">
        <v>9</v>
      </c>
      <c r="L2494" s="55" t="s">
        <v>24</v>
      </c>
      <c r="M2494" s="55"/>
      <c r="N2494" s="55" t="s">
        <v>106</v>
      </c>
      <c r="O2494" s="143"/>
      <c r="P2494" s="143"/>
      <c r="Q2494" s="144"/>
    </row>
    <row r="2495">
      <c r="A2495" s="94"/>
    </row>
    <row r="2496">
      <c r="A2496" s="133" t="s">
        <v>951</v>
      </c>
      <c r="B2496" s="134" t="s">
        <v>827</v>
      </c>
      <c r="C2496" s="134" t="s">
        <v>74</v>
      </c>
      <c r="D2496" s="278" t="s">
        <v>951</v>
      </c>
      <c r="E2496" s="168">
        <v>43308.0</v>
      </c>
      <c r="F2496" s="110" t="str">
        <f t="shared" ref="F2496:F2503" si="207">TEXT(E2488:E2496, "mmm") &amp; "-" &amp; TEXT(E2488:E2496, "yyyy") </f>
        <v>Jul-2018</v>
      </c>
      <c r="G2496" s="152" t="s">
        <v>20</v>
      </c>
      <c r="H2496" s="46" t="s">
        <v>35</v>
      </c>
      <c r="I2496" s="47" t="s">
        <v>839</v>
      </c>
      <c r="J2496" s="47" t="s">
        <v>27</v>
      </c>
      <c r="K2496" s="47" t="s">
        <v>9</v>
      </c>
      <c r="L2496" s="47" t="s">
        <v>30</v>
      </c>
      <c r="M2496" s="47" t="s">
        <v>30</v>
      </c>
      <c r="N2496" s="47" t="s">
        <v>69</v>
      </c>
      <c r="O2496" s="152"/>
      <c r="P2496" s="152"/>
      <c r="Q2496" s="153"/>
    </row>
    <row r="2497">
      <c r="A2497" s="134" t="s">
        <v>827</v>
      </c>
      <c r="B2497" s="134" t="s">
        <v>827</v>
      </c>
      <c r="C2497" s="134" t="s">
        <v>74</v>
      </c>
      <c r="D2497" s="279" t="s">
        <v>951</v>
      </c>
      <c r="E2497" s="168">
        <v>43308.0</v>
      </c>
      <c r="F2497" s="13" t="str">
        <f t="shared" si="207"/>
        <v>Jul-2018</v>
      </c>
      <c r="G2497" s="101" t="s">
        <v>25</v>
      </c>
      <c r="H2497" s="15" t="s">
        <v>35</v>
      </c>
      <c r="I2497" s="16" t="s">
        <v>839</v>
      </c>
      <c r="J2497" s="16" t="s">
        <v>27</v>
      </c>
      <c r="K2497" s="16" t="s">
        <v>9</v>
      </c>
      <c r="L2497" s="16" t="s">
        <v>30</v>
      </c>
      <c r="M2497" s="16"/>
      <c r="N2497" s="16" t="s">
        <v>69</v>
      </c>
      <c r="O2497" s="101"/>
      <c r="P2497" s="101"/>
      <c r="Q2497" s="102"/>
    </row>
    <row r="2498">
      <c r="A2498" s="134" t="s">
        <v>829</v>
      </c>
      <c r="B2498" s="134" t="s">
        <v>827</v>
      </c>
      <c r="C2498" s="134" t="s">
        <v>74</v>
      </c>
      <c r="D2498" s="279" t="s">
        <v>951</v>
      </c>
      <c r="E2498" s="168">
        <v>43308.0</v>
      </c>
      <c r="F2498" s="13" t="str">
        <f t="shared" si="207"/>
        <v>Jul-2018</v>
      </c>
      <c r="G2498" t="s">
        <v>20</v>
      </c>
      <c r="H2498" s="24" t="s">
        <v>35</v>
      </c>
      <c r="I2498" s="25" t="s">
        <v>394</v>
      </c>
      <c r="J2498" s="25" t="s">
        <v>27</v>
      </c>
      <c r="K2498" s="25" t="s">
        <v>9</v>
      </c>
      <c r="L2498" s="25" t="s">
        <v>24</v>
      </c>
      <c r="M2498" s="25" t="s">
        <v>24</v>
      </c>
      <c r="N2498" s="25" t="s">
        <v>37</v>
      </c>
      <c r="Q2498" s="99"/>
    </row>
    <row r="2499">
      <c r="A2499" s="168">
        <v>43308.0</v>
      </c>
      <c r="B2499" s="134" t="s">
        <v>827</v>
      </c>
      <c r="C2499" s="134" t="s">
        <v>74</v>
      </c>
      <c r="D2499" s="279" t="s">
        <v>951</v>
      </c>
      <c r="E2499" s="168">
        <v>43308.0</v>
      </c>
      <c r="F2499" s="13" t="str">
        <f t="shared" si="207"/>
        <v>Jul-2018</v>
      </c>
      <c r="G2499" t="s">
        <v>25</v>
      </c>
      <c r="H2499" s="24" t="s">
        <v>35</v>
      </c>
      <c r="I2499" s="25" t="s">
        <v>394</v>
      </c>
      <c r="J2499" s="25" t="s">
        <v>27</v>
      </c>
      <c r="K2499" s="25" t="s">
        <v>9</v>
      </c>
      <c r="L2499" s="25" t="s">
        <v>24</v>
      </c>
      <c r="M2499" s="25"/>
      <c r="N2499" s="25" t="s">
        <v>106</v>
      </c>
      <c r="Q2499" s="99"/>
    </row>
    <row r="2500">
      <c r="A2500" s="176" t="s">
        <v>952</v>
      </c>
      <c r="B2500" s="134" t="s">
        <v>827</v>
      </c>
      <c r="C2500" s="134" t="s">
        <v>74</v>
      </c>
      <c r="D2500" s="279" t="s">
        <v>951</v>
      </c>
      <c r="E2500" s="168">
        <v>43308.0</v>
      </c>
      <c r="F2500" s="13" t="str">
        <f t="shared" si="207"/>
        <v>Jul-2018</v>
      </c>
      <c r="G2500" s="101" t="s">
        <v>20</v>
      </c>
      <c r="H2500" s="15" t="s">
        <v>35</v>
      </c>
      <c r="I2500" s="16" t="s">
        <v>161</v>
      </c>
      <c r="J2500" s="16" t="s">
        <v>86</v>
      </c>
      <c r="K2500" s="16" t="s">
        <v>9</v>
      </c>
      <c r="L2500" s="16" t="s">
        <v>30</v>
      </c>
      <c r="M2500" s="16" t="s">
        <v>30</v>
      </c>
      <c r="N2500" s="16" t="s">
        <v>99</v>
      </c>
      <c r="O2500" s="101"/>
      <c r="P2500" s="101"/>
      <c r="Q2500" s="102"/>
      <c r="R2500" s="25" t="s">
        <v>953</v>
      </c>
    </row>
    <row r="2501">
      <c r="A2501" s="134" t="s">
        <v>74</v>
      </c>
      <c r="B2501" s="134" t="s">
        <v>827</v>
      </c>
      <c r="C2501" s="134" t="s">
        <v>74</v>
      </c>
      <c r="D2501" s="279" t="s">
        <v>951</v>
      </c>
      <c r="E2501" s="168">
        <v>43308.0</v>
      </c>
      <c r="F2501" s="13" t="str">
        <f t="shared" si="207"/>
        <v>Jul-2018</v>
      </c>
      <c r="G2501" s="101" t="s">
        <v>25</v>
      </c>
      <c r="H2501" s="15" t="s">
        <v>35</v>
      </c>
      <c r="I2501" s="16" t="s">
        <v>161</v>
      </c>
      <c r="J2501" s="16" t="s">
        <v>86</v>
      </c>
      <c r="K2501" s="16" t="s">
        <v>9</v>
      </c>
      <c r="L2501" s="16" t="s">
        <v>30</v>
      </c>
      <c r="M2501" s="16"/>
      <c r="N2501" s="16" t="s">
        <v>98</v>
      </c>
      <c r="O2501" s="101"/>
      <c r="P2501" s="101"/>
      <c r="Q2501" s="102"/>
      <c r="R2501" s="25" t="s">
        <v>953</v>
      </c>
    </row>
    <row r="2502">
      <c r="A2502" s="140"/>
      <c r="B2502" s="134" t="s">
        <v>827</v>
      </c>
      <c r="C2502" s="134" t="s">
        <v>74</v>
      </c>
      <c r="D2502" s="279" t="s">
        <v>951</v>
      </c>
      <c r="E2502" s="168">
        <v>43308.0</v>
      </c>
      <c r="F2502" s="13" t="str">
        <f t="shared" si="207"/>
        <v>Jul-2018</v>
      </c>
      <c r="G2502" t="s">
        <v>20</v>
      </c>
      <c r="H2502" s="24" t="s">
        <v>35</v>
      </c>
      <c r="I2502" s="25" t="s">
        <v>399</v>
      </c>
      <c r="J2502" s="25" t="s">
        <v>9</v>
      </c>
      <c r="K2502" s="25" t="s">
        <v>9</v>
      </c>
      <c r="L2502" s="25" t="s">
        <v>24</v>
      </c>
      <c r="M2502" s="25" t="s">
        <v>24</v>
      </c>
      <c r="N2502" s="25" t="s">
        <v>69</v>
      </c>
      <c r="Q2502" s="99"/>
    </row>
    <row r="2503">
      <c r="A2503" s="141"/>
      <c r="B2503" s="134" t="s">
        <v>827</v>
      </c>
      <c r="C2503" s="134" t="s">
        <v>74</v>
      </c>
      <c r="D2503" s="280" t="s">
        <v>951</v>
      </c>
      <c r="E2503" s="168">
        <v>43308.0</v>
      </c>
      <c r="F2503" s="35" t="str">
        <f t="shared" si="207"/>
        <v>Jul-2018</v>
      </c>
      <c r="G2503" s="143" t="s">
        <v>25</v>
      </c>
      <c r="H2503" s="54" t="s">
        <v>35</v>
      </c>
      <c r="I2503" s="55" t="s">
        <v>399</v>
      </c>
      <c r="J2503" s="55" t="s">
        <v>9</v>
      </c>
      <c r="K2503" s="55" t="s">
        <v>9</v>
      </c>
      <c r="L2503" s="55" t="s">
        <v>24</v>
      </c>
      <c r="M2503" s="55"/>
      <c r="N2503" s="55" t="s">
        <v>106</v>
      </c>
      <c r="O2503" s="143"/>
      <c r="P2503" s="143"/>
      <c r="Q2503" s="144"/>
    </row>
    <row r="2504">
      <c r="A2504" s="94"/>
    </row>
    <row r="2505">
      <c r="A2505" s="133" t="s">
        <v>954</v>
      </c>
      <c r="B2505" s="134" t="s">
        <v>433</v>
      </c>
      <c r="C2505" s="134" t="s">
        <v>74</v>
      </c>
      <c r="D2505" s="133" t="s">
        <v>954</v>
      </c>
      <c r="E2505" s="223">
        <v>43312.0</v>
      </c>
      <c r="F2505" s="110" t="str">
        <f t="shared" ref="F2505:F2513" si="208">TEXT(E2497:E2505, "mmm") &amp; "-" &amp; TEXT(E2497:E2505, "yyyy") </f>
        <v>Jul-2018</v>
      </c>
      <c r="G2505" s="152" t="s">
        <v>20</v>
      </c>
      <c r="H2505" s="46" t="s">
        <v>35</v>
      </c>
      <c r="I2505" s="47" t="s">
        <v>409</v>
      </c>
      <c r="J2505" s="47" t="s">
        <v>27</v>
      </c>
      <c r="K2505" s="47" t="s">
        <v>9</v>
      </c>
      <c r="L2505" s="47" t="s">
        <v>30</v>
      </c>
      <c r="M2505" s="47" t="s">
        <v>30</v>
      </c>
      <c r="N2505" s="47" t="s">
        <v>37</v>
      </c>
      <c r="O2505" s="152"/>
      <c r="P2505" s="152"/>
      <c r="Q2505" s="153"/>
    </row>
    <row r="2506">
      <c r="A2506" s="134" t="s">
        <v>433</v>
      </c>
      <c r="B2506" s="134" t="s">
        <v>433</v>
      </c>
      <c r="C2506" s="134" t="s">
        <v>74</v>
      </c>
      <c r="D2506" s="133" t="s">
        <v>954</v>
      </c>
      <c r="E2506" s="168">
        <v>43312.0</v>
      </c>
      <c r="F2506" s="13" t="str">
        <f t="shared" si="208"/>
        <v>Jul-2018</v>
      </c>
      <c r="G2506" s="101" t="s">
        <v>25</v>
      </c>
      <c r="H2506" s="15" t="s">
        <v>35</v>
      </c>
      <c r="I2506" s="16" t="s">
        <v>409</v>
      </c>
      <c r="J2506" s="16" t="s">
        <v>138</v>
      </c>
      <c r="K2506" s="16" t="s">
        <v>9</v>
      </c>
      <c r="L2506" s="16" t="s">
        <v>30</v>
      </c>
      <c r="M2506" s="16"/>
      <c r="N2506" s="16" t="s">
        <v>69</v>
      </c>
      <c r="O2506" s="101"/>
      <c r="P2506" s="101"/>
      <c r="Q2506" s="102"/>
    </row>
    <row r="2507">
      <c r="A2507" s="134" t="s">
        <v>901</v>
      </c>
      <c r="B2507" s="134" t="s">
        <v>433</v>
      </c>
      <c r="C2507" s="134" t="s">
        <v>74</v>
      </c>
      <c r="D2507" s="133" t="s">
        <v>954</v>
      </c>
      <c r="E2507" s="168">
        <v>43312.0</v>
      </c>
      <c r="F2507" s="13" t="str">
        <f t="shared" si="208"/>
        <v>Jul-2018</v>
      </c>
      <c r="G2507" t="s">
        <v>20</v>
      </c>
      <c r="H2507" s="24" t="s">
        <v>35</v>
      </c>
      <c r="I2507" s="25" t="s">
        <v>94</v>
      </c>
      <c r="J2507" s="25" t="s">
        <v>44</v>
      </c>
      <c r="K2507" s="25" t="s">
        <v>9</v>
      </c>
      <c r="L2507" s="25" t="s">
        <v>24</v>
      </c>
      <c r="M2507" s="25" t="s">
        <v>24</v>
      </c>
      <c r="N2507" s="25" t="s">
        <v>69</v>
      </c>
      <c r="Q2507" s="99"/>
    </row>
    <row r="2508">
      <c r="A2508" s="168">
        <v>43312.0</v>
      </c>
      <c r="B2508" s="134" t="s">
        <v>433</v>
      </c>
      <c r="C2508" s="134" t="s">
        <v>74</v>
      </c>
      <c r="D2508" s="133" t="s">
        <v>954</v>
      </c>
      <c r="E2508" s="168">
        <v>43312.0</v>
      </c>
      <c r="F2508" s="13" t="str">
        <f t="shared" si="208"/>
        <v>Jul-2018</v>
      </c>
      <c r="G2508" t="s">
        <v>25</v>
      </c>
      <c r="H2508" s="24" t="s">
        <v>35</v>
      </c>
      <c r="I2508" s="25" t="s">
        <v>94</v>
      </c>
      <c r="J2508" s="25" t="s">
        <v>44</v>
      </c>
      <c r="K2508" s="25" t="s">
        <v>9</v>
      </c>
      <c r="L2508" s="25" t="s">
        <v>24</v>
      </c>
      <c r="M2508" s="25"/>
      <c r="N2508" s="25" t="s">
        <v>69</v>
      </c>
      <c r="Q2508" s="99"/>
    </row>
    <row r="2509">
      <c r="A2509" s="134" t="s">
        <v>74</v>
      </c>
      <c r="B2509" s="134" t="s">
        <v>433</v>
      </c>
      <c r="C2509" s="134" t="s">
        <v>74</v>
      </c>
      <c r="D2509" s="133" t="s">
        <v>954</v>
      </c>
      <c r="E2509" s="168">
        <v>43312.0</v>
      </c>
      <c r="F2509" s="13" t="str">
        <f t="shared" si="208"/>
        <v>Jul-2018</v>
      </c>
      <c r="G2509" s="101" t="s">
        <v>20</v>
      </c>
      <c r="H2509" s="15" t="s">
        <v>35</v>
      </c>
      <c r="I2509" s="16" t="s">
        <v>93</v>
      </c>
      <c r="J2509" s="16" t="s">
        <v>23</v>
      </c>
      <c r="K2509" s="16" t="s">
        <v>9</v>
      </c>
      <c r="L2509" s="16" t="s">
        <v>30</v>
      </c>
      <c r="M2509" s="16" t="s">
        <v>30</v>
      </c>
      <c r="N2509" s="16" t="s">
        <v>37</v>
      </c>
      <c r="O2509" s="101"/>
      <c r="P2509" s="101"/>
      <c r="Q2509" s="102"/>
      <c r="R2509" s="25" t="s">
        <v>955</v>
      </c>
    </row>
    <row r="2510">
      <c r="A2510" s="176" t="s">
        <v>956</v>
      </c>
      <c r="B2510" s="134" t="s">
        <v>433</v>
      </c>
      <c r="C2510" s="134" t="s">
        <v>74</v>
      </c>
      <c r="D2510" s="133" t="s">
        <v>954</v>
      </c>
      <c r="E2510" s="168">
        <v>43312.0</v>
      </c>
      <c r="F2510" s="13" t="str">
        <f t="shared" si="208"/>
        <v>Jul-2018</v>
      </c>
      <c r="G2510" s="101" t="s">
        <v>25</v>
      </c>
      <c r="H2510" s="15" t="s">
        <v>35</v>
      </c>
      <c r="I2510" s="16" t="s">
        <v>93</v>
      </c>
      <c r="J2510" s="16" t="s">
        <v>23</v>
      </c>
      <c r="K2510" s="16" t="s">
        <v>9</v>
      </c>
      <c r="L2510" s="16" t="s">
        <v>30</v>
      </c>
      <c r="M2510" s="16"/>
      <c r="N2510" s="16" t="s">
        <v>37</v>
      </c>
      <c r="O2510" s="101"/>
      <c r="P2510" s="101"/>
      <c r="Q2510" s="102"/>
      <c r="R2510" s="25" t="s">
        <v>955</v>
      </c>
    </row>
    <row r="2511">
      <c r="A2511" s="134" t="s">
        <v>949</v>
      </c>
      <c r="B2511" s="134" t="s">
        <v>433</v>
      </c>
      <c r="C2511" s="134" t="s">
        <v>74</v>
      </c>
      <c r="D2511" s="133" t="s">
        <v>954</v>
      </c>
      <c r="E2511" s="168">
        <v>43312.0</v>
      </c>
      <c r="F2511" s="13" t="str">
        <f t="shared" si="208"/>
        <v>Jul-2018</v>
      </c>
      <c r="G2511" t="s">
        <v>20</v>
      </c>
      <c r="H2511" s="24" t="s">
        <v>35</v>
      </c>
      <c r="I2511" s="25" t="s">
        <v>184</v>
      </c>
      <c r="J2511" s="25" t="s">
        <v>9</v>
      </c>
      <c r="K2511" s="25" t="s">
        <v>9</v>
      </c>
      <c r="L2511" s="25" t="s">
        <v>24</v>
      </c>
      <c r="M2511" s="25" t="s">
        <v>24</v>
      </c>
      <c r="N2511" s="25" t="s">
        <v>69</v>
      </c>
      <c r="Q2511" s="99"/>
    </row>
    <row r="2512">
      <c r="A2512" s="176" t="s">
        <v>957</v>
      </c>
      <c r="B2512" s="134" t="s">
        <v>433</v>
      </c>
      <c r="C2512" s="134" t="s">
        <v>74</v>
      </c>
      <c r="D2512" s="133" t="s">
        <v>954</v>
      </c>
      <c r="E2512" s="168">
        <v>43312.0</v>
      </c>
      <c r="F2512" s="13" t="str">
        <f t="shared" si="208"/>
        <v>Jul-2018</v>
      </c>
      <c r="G2512" t="s">
        <v>25</v>
      </c>
      <c r="H2512" s="24" t="s">
        <v>35</v>
      </c>
      <c r="I2512" s="25" t="s">
        <v>184</v>
      </c>
      <c r="J2512" s="25" t="s">
        <v>9</v>
      </c>
      <c r="K2512" s="25" t="s">
        <v>9</v>
      </c>
      <c r="L2512" s="25" t="s">
        <v>30</v>
      </c>
      <c r="M2512" s="25"/>
      <c r="N2512" s="25" t="s">
        <v>37</v>
      </c>
      <c r="Q2512" s="99"/>
    </row>
    <row r="2513">
      <c r="A2513" s="141"/>
      <c r="B2513" s="134" t="s">
        <v>433</v>
      </c>
      <c r="C2513" s="134" t="s">
        <v>74</v>
      </c>
      <c r="D2513" s="277" t="s">
        <v>954</v>
      </c>
      <c r="E2513" s="170">
        <v>43312.0</v>
      </c>
      <c r="F2513" s="35" t="str">
        <f t="shared" si="208"/>
        <v>Jul-2018</v>
      </c>
      <c r="G2513" s="143" t="s">
        <v>32</v>
      </c>
      <c r="H2513" s="54" t="s">
        <v>35</v>
      </c>
      <c r="I2513" s="55" t="s">
        <v>184</v>
      </c>
      <c r="J2513" s="55" t="s">
        <v>9</v>
      </c>
      <c r="K2513" s="55" t="s">
        <v>9</v>
      </c>
      <c r="L2513" s="55" t="s">
        <v>24</v>
      </c>
      <c r="M2513" s="55"/>
      <c r="N2513" s="55" t="s">
        <v>98</v>
      </c>
      <c r="O2513" s="143"/>
      <c r="P2513" s="143"/>
      <c r="Q2513" s="144"/>
    </row>
    <row r="2514">
      <c r="A2514" s="94"/>
    </row>
    <row r="2515">
      <c r="A2515" s="133" t="s">
        <v>958</v>
      </c>
      <c r="B2515" s="134" t="s">
        <v>18</v>
      </c>
      <c r="C2515" s="134" t="s">
        <v>74</v>
      </c>
      <c r="D2515" s="278" t="s">
        <v>959</v>
      </c>
      <c r="E2515" s="239">
        <v>43322.0</v>
      </c>
      <c r="F2515" s="110" t="str">
        <f t="shared" ref="F2515:F2533" si="209">TEXT(E2507:E2515, "mmm") &amp; "-" &amp; TEXT(E2507:E2515, "yyyy") </f>
        <v>Aug-2018</v>
      </c>
      <c r="G2515" s="152" t="s">
        <v>20</v>
      </c>
      <c r="H2515" s="46" t="s">
        <v>35</v>
      </c>
      <c r="I2515" s="47" t="s">
        <v>960</v>
      </c>
      <c r="J2515" s="47" t="s">
        <v>71</v>
      </c>
      <c r="K2515" s="47" t="s">
        <v>9</v>
      </c>
      <c r="L2515" s="47" t="s">
        <v>30</v>
      </c>
      <c r="M2515" s="47" t="s">
        <v>30</v>
      </c>
      <c r="N2515" s="47" t="s">
        <v>99</v>
      </c>
      <c r="O2515" s="152"/>
      <c r="P2515" s="152"/>
      <c r="Q2515" s="153"/>
    </row>
    <row r="2516">
      <c r="A2516" s="134" t="s">
        <v>18</v>
      </c>
      <c r="B2516" s="134" t="s">
        <v>18</v>
      </c>
      <c r="C2516" s="134" t="s">
        <v>74</v>
      </c>
      <c r="D2516" s="279" t="s">
        <v>959</v>
      </c>
      <c r="E2516" s="240">
        <v>43322.0</v>
      </c>
      <c r="F2516" s="13" t="str">
        <f t="shared" si="209"/>
        <v>Aug-2018</v>
      </c>
      <c r="G2516" s="101" t="s">
        <v>25</v>
      </c>
      <c r="H2516" s="15" t="s">
        <v>35</v>
      </c>
      <c r="I2516" s="16" t="s">
        <v>960</v>
      </c>
      <c r="J2516" s="16" t="s">
        <v>71</v>
      </c>
      <c r="K2516" s="16" t="s">
        <v>9</v>
      </c>
      <c r="L2516" s="16" t="s">
        <v>30</v>
      </c>
      <c r="M2516" s="16"/>
      <c r="N2516" s="16" t="s">
        <v>37</v>
      </c>
      <c r="O2516" s="101"/>
      <c r="P2516" s="101"/>
      <c r="Q2516" s="102"/>
    </row>
    <row r="2517">
      <c r="A2517" s="134" t="s">
        <v>638</v>
      </c>
      <c r="B2517" s="134" t="s">
        <v>18</v>
      </c>
      <c r="C2517" s="134" t="s">
        <v>74</v>
      </c>
      <c r="D2517" s="279" t="s">
        <v>959</v>
      </c>
      <c r="E2517" s="240">
        <v>43322.0</v>
      </c>
      <c r="F2517" s="13" t="str">
        <f t="shared" si="209"/>
        <v>Aug-2018</v>
      </c>
      <c r="G2517" t="s">
        <v>20</v>
      </c>
      <c r="H2517" s="24" t="s">
        <v>35</v>
      </c>
      <c r="I2517" s="25" t="s">
        <v>961</v>
      </c>
      <c r="J2517" s="25" t="s">
        <v>9</v>
      </c>
      <c r="K2517" s="25" t="s">
        <v>9</v>
      </c>
      <c r="L2517" s="25" t="s">
        <v>30</v>
      </c>
      <c r="M2517" s="25" t="s">
        <v>30</v>
      </c>
      <c r="N2517" s="25" t="s">
        <v>98</v>
      </c>
      <c r="Q2517" s="99"/>
    </row>
    <row r="2518">
      <c r="A2518" s="168">
        <v>43322.0</v>
      </c>
      <c r="B2518" s="134" t="s">
        <v>18</v>
      </c>
      <c r="C2518" s="134" t="s">
        <v>74</v>
      </c>
      <c r="D2518" s="279" t="s">
        <v>959</v>
      </c>
      <c r="E2518" s="240">
        <v>43322.0</v>
      </c>
      <c r="F2518" s="13" t="str">
        <f t="shared" si="209"/>
        <v>Aug-2018</v>
      </c>
      <c r="G2518" t="s">
        <v>25</v>
      </c>
      <c r="H2518" s="24" t="s">
        <v>35</v>
      </c>
      <c r="I2518" s="25" t="s">
        <v>961</v>
      </c>
      <c r="J2518" s="25" t="s">
        <v>27</v>
      </c>
      <c r="K2518" s="25" t="s">
        <v>9</v>
      </c>
      <c r="L2518" s="25" t="s">
        <v>30</v>
      </c>
      <c r="M2518" s="25"/>
      <c r="N2518" s="25" t="s">
        <v>106</v>
      </c>
      <c r="Q2518" s="99"/>
    </row>
    <row r="2519">
      <c r="A2519" s="134" t="s">
        <v>74</v>
      </c>
      <c r="B2519" s="134" t="s">
        <v>18</v>
      </c>
      <c r="C2519" s="134" t="s">
        <v>74</v>
      </c>
      <c r="D2519" s="279" t="s">
        <v>959</v>
      </c>
      <c r="E2519" s="240">
        <v>43322.0</v>
      </c>
      <c r="F2519" s="13" t="str">
        <f t="shared" si="209"/>
        <v>Aug-2018</v>
      </c>
      <c r="G2519" s="263" t="s">
        <v>146</v>
      </c>
      <c r="H2519" s="15" t="s">
        <v>35</v>
      </c>
      <c r="I2519" s="16" t="s">
        <v>424</v>
      </c>
      <c r="J2519" s="16" t="s">
        <v>9</v>
      </c>
      <c r="K2519" s="16" t="s">
        <v>9</v>
      </c>
      <c r="L2519" s="16" t="s">
        <v>24</v>
      </c>
      <c r="M2519" s="16" t="s">
        <v>24</v>
      </c>
      <c r="N2519" s="16" t="s">
        <v>69</v>
      </c>
      <c r="O2519" s="101"/>
      <c r="P2519" s="101"/>
      <c r="Q2519" s="102"/>
    </row>
    <row r="2520">
      <c r="A2520" s="176" t="s">
        <v>962</v>
      </c>
      <c r="B2520" s="134" t="s">
        <v>18</v>
      </c>
      <c r="C2520" s="134" t="s">
        <v>74</v>
      </c>
      <c r="D2520" s="279" t="s">
        <v>959</v>
      </c>
      <c r="E2520" s="240">
        <v>43322.0</v>
      </c>
      <c r="F2520" s="13" t="str">
        <f t="shared" si="209"/>
        <v>Aug-2018</v>
      </c>
      <c r="G2520" s="263" t="s">
        <v>149</v>
      </c>
      <c r="H2520" s="15" t="s">
        <v>35</v>
      </c>
      <c r="I2520" s="16" t="s">
        <v>424</v>
      </c>
      <c r="J2520" s="16" t="s">
        <v>9</v>
      </c>
      <c r="K2520" s="16" t="s">
        <v>9</v>
      </c>
      <c r="L2520" s="16" t="s">
        <v>30</v>
      </c>
      <c r="M2520" s="16"/>
      <c r="N2520" s="16" t="s">
        <v>106</v>
      </c>
      <c r="O2520" s="101"/>
      <c r="P2520" s="101"/>
      <c r="Q2520" s="102"/>
    </row>
    <row r="2521">
      <c r="A2521" s="134" t="s">
        <v>963</v>
      </c>
      <c r="B2521" s="134" t="s">
        <v>18</v>
      </c>
      <c r="C2521" s="134" t="s">
        <v>74</v>
      </c>
      <c r="D2521" s="279" t="s">
        <v>959</v>
      </c>
      <c r="E2521" s="240">
        <v>43322.0</v>
      </c>
      <c r="F2521" s="13" t="str">
        <f t="shared" si="209"/>
        <v>Aug-2018</v>
      </c>
      <c r="G2521" s="263" t="s">
        <v>222</v>
      </c>
      <c r="H2521" s="15" t="s">
        <v>35</v>
      </c>
      <c r="I2521" s="16" t="s">
        <v>424</v>
      </c>
      <c r="J2521" s="16" t="s">
        <v>9</v>
      </c>
      <c r="K2521" s="16" t="s">
        <v>9</v>
      </c>
      <c r="L2521" s="16" t="s">
        <v>24</v>
      </c>
      <c r="M2521" s="16"/>
      <c r="N2521" s="16" t="s">
        <v>29</v>
      </c>
      <c r="O2521" s="101"/>
      <c r="P2521" s="101"/>
      <c r="Q2521" s="102"/>
    </row>
    <row r="2522">
      <c r="A2522" s="176" t="s">
        <v>964</v>
      </c>
      <c r="B2522" s="134" t="s">
        <v>18</v>
      </c>
      <c r="C2522" s="134" t="s">
        <v>74</v>
      </c>
      <c r="D2522" s="279" t="s">
        <v>959</v>
      </c>
      <c r="E2522" s="240">
        <v>43322.0</v>
      </c>
      <c r="F2522" s="13" t="str">
        <f t="shared" si="209"/>
        <v>Aug-2018</v>
      </c>
      <c r="G2522" s="263" t="s">
        <v>467</v>
      </c>
      <c r="H2522" s="15" t="s">
        <v>35</v>
      </c>
      <c r="I2522" s="16" t="s">
        <v>424</v>
      </c>
      <c r="J2522" s="16" t="s">
        <v>9</v>
      </c>
      <c r="K2522" s="16" t="s">
        <v>9</v>
      </c>
      <c r="L2522" s="16" t="s">
        <v>24</v>
      </c>
      <c r="M2522" s="16"/>
      <c r="N2522" s="16" t="s">
        <v>37</v>
      </c>
      <c r="O2522" s="101"/>
      <c r="P2522" s="101"/>
      <c r="Q2522" s="102"/>
    </row>
    <row r="2523">
      <c r="A2523" s="140"/>
      <c r="B2523" s="134" t="s">
        <v>18</v>
      </c>
      <c r="C2523" s="134" t="s">
        <v>74</v>
      </c>
      <c r="D2523" s="279" t="s">
        <v>959</v>
      </c>
      <c r="E2523" s="240">
        <v>43322.0</v>
      </c>
      <c r="F2523" s="13" t="str">
        <f t="shared" si="209"/>
        <v>Aug-2018</v>
      </c>
      <c r="G2523" s="264" t="s">
        <v>146</v>
      </c>
      <c r="H2523" s="24" t="s">
        <v>35</v>
      </c>
      <c r="I2523" s="25" t="s">
        <v>965</v>
      </c>
      <c r="J2523" s="25" t="s">
        <v>44</v>
      </c>
      <c r="K2523" s="25" t="s">
        <v>9</v>
      </c>
      <c r="L2523" s="25" t="s">
        <v>30</v>
      </c>
      <c r="M2523" s="25" t="s">
        <v>30</v>
      </c>
      <c r="N2523" s="25" t="s">
        <v>99</v>
      </c>
      <c r="Q2523" s="99"/>
    </row>
    <row r="2524">
      <c r="A2524" s="140"/>
      <c r="B2524" s="134" t="s">
        <v>18</v>
      </c>
      <c r="C2524" s="134" t="s">
        <v>74</v>
      </c>
      <c r="D2524" s="279" t="s">
        <v>959</v>
      </c>
      <c r="E2524" s="240">
        <v>43322.0</v>
      </c>
      <c r="F2524" s="13" t="str">
        <f t="shared" si="209"/>
        <v>Aug-2018</v>
      </c>
      <c r="G2524" s="264" t="s">
        <v>149</v>
      </c>
      <c r="H2524" s="24" t="s">
        <v>35</v>
      </c>
      <c r="I2524" s="25" t="s">
        <v>965</v>
      </c>
      <c r="J2524" s="25" t="s">
        <v>44</v>
      </c>
      <c r="K2524" s="25" t="s">
        <v>9</v>
      </c>
      <c r="L2524" s="25" t="s">
        <v>30</v>
      </c>
      <c r="M2524" s="25"/>
      <c r="N2524" s="25" t="s">
        <v>29</v>
      </c>
      <c r="Q2524" s="99"/>
    </row>
    <row r="2525">
      <c r="A2525" s="140"/>
      <c r="B2525" s="134" t="s">
        <v>18</v>
      </c>
      <c r="C2525" s="134" t="s">
        <v>74</v>
      </c>
      <c r="D2525" s="279" t="s">
        <v>959</v>
      </c>
      <c r="E2525" s="240">
        <v>43322.0</v>
      </c>
      <c r="F2525" s="13" t="str">
        <f t="shared" si="209"/>
        <v>Aug-2018</v>
      </c>
      <c r="G2525" s="264" t="s">
        <v>222</v>
      </c>
      <c r="H2525" s="24" t="s">
        <v>35</v>
      </c>
      <c r="I2525" s="25" t="s">
        <v>965</v>
      </c>
      <c r="J2525" s="25" t="s">
        <v>44</v>
      </c>
      <c r="K2525" s="25" t="s">
        <v>9</v>
      </c>
      <c r="L2525" s="25" t="s">
        <v>30</v>
      </c>
      <c r="M2525" s="25"/>
      <c r="N2525" s="25" t="s">
        <v>69</v>
      </c>
      <c r="Q2525" s="99"/>
    </row>
    <row r="2526">
      <c r="A2526" s="140"/>
      <c r="B2526" s="134" t="s">
        <v>18</v>
      </c>
      <c r="C2526" s="134" t="s">
        <v>74</v>
      </c>
      <c r="D2526" s="279" t="s">
        <v>959</v>
      </c>
      <c r="E2526" s="240">
        <v>43322.0</v>
      </c>
      <c r="F2526" s="13" t="str">
        <f t="shared" si="209"/>
        <v>Aug-2018</v>
      </c>
      <c r="G2526" s="263" t="s">
        <v>146</v>
      </c>
      <c r="H2526" s="15" t="s">
        <v>35</v>
      </c>
      <c r="I2526" s="16" t="s">
        <v>93</v>
      </c>
      <c r="J2526" s="16" t="s">
        <v>23</v>
      </c>
      <c r="K2526" s="16" t="s">
        <v>9</v>
      </c>
      <c r="L2526" s="16" t="s">
        <v>24</v>
      </c>
      <c r="M2526" s="16" t="s">
        <v>30</v>
      </c>
      <c r="N2526" s="16" t="s">
        <v>69</v>
      </c>
      <c r="O2526" s="101"/>
      <c r="P2526" s="101"/>
      <c r="Q2526" s="102"/>
      <c r="R2526" s="25" t="s">
        <v>955</v>
      </c>
    </row>
    <row r="2527">
      <c r="A2527" s="140"/>
      <c r="B2527" s="134" t="s">
        <v>18</v>
      </c>
      <c r="C2527" s="134" t="s">
        <v>74</v>
      </c>
      <c r="D2527" s="279" t="s">
        <v>959</v>
      </c>
      <c r="E2527" s="240">
        <v>43322.0</v>
      </c>
      <c r="F2527" s="13" t="str">
        <f t="shared" si="209"/>
        <v>Aug-2018</v>
      </c>
      <c r="G2527" s="263" t="s">
        <v>149</v>
      </c>
      <c r="H2527" s="15" t="s">
        <v>35</v>
      </c>
      <c r="I2527" s="16" t="s">
        <v>93</v>
      </c>
      <c r="J2527" s="16" t="s">
        <v>23</v>
      </c>
      <c r="K2527" s="16" t="s">
        <v>9</v>
      </c>
      <c r="L2527" s="16" t="s">
        <v>30</v>
      </c>
      <c r="M2527" s="16"/>
      <c r="N2527" s="16" t="s">
        <v>29</v>
      </c>
      <c r="O2527" s="101"/>
      <c r="P2527" s="101"/>
      <c r="Q2527" s="102"/>
      <c r="R2527" s="25" t="s">
        <v>955</v>
      </c>
    </row>
    <row r="2528">
      <c r="A2528" s="140"/>
      <c r="B2528" s="134" t="s">
        <v>18</v>
      </c>
      <c r="C2528" s="134" t="s">
        <v>74</v>
      </c>
      <c r="D2528" s="279" t="s">
        <v>959</v>
      </c>
      <c r="E2528" s="240">
        <v>43322.0</v>
      </c>
      <c r="F2528" s="13" t="str">
        <f t="shared" si="209"/>
        <v>Aug-2018</v>
      </c>
      <c r="G2528" s="263" t="s">
        <v>222</v>
      </c>
      <c r="H2528" s="15" t="s">
        <v>35</v>
      </c>
      <c r="I2528" s="16" t="s">
        <v>93</v>
      </c>
      <c r="J2528" s="16" t="s">
        <v>23</v>
      </c>
      <c r="K2528" s="16" t="s">
        <v>9</v>
      </c>
      <c r="L2528" s="16" t="s">
        <v>30</v>
      </c>
      <c r="M2528" s="16"/>
      <c r="N2528" s="16" t="s">
        <v>98</v>
      </c>
      <c r="O2528" s="101"/>
      <c r="P2528" s="101"/>
      <c r="Q2528" s="102"/>
      <c r="R2528" s="25" t="s">
        <v>955</v>
      </c>
    </row>
    <row r="2529">
      <c r="A2529" s="140"/>
      <c r="B2529" s="134" t="s">
        <v>18</v>
      </c>
      <c r="C2529" s="134" t="s">
        <v>74</v>
      </c>
      <c r="D2529" s="279" t="s">
        <v>959</v>
      </c>
      <c r="E2529" s="240">
        <v>43322.0</v>
      </c>
      <c r="F2529" s="13" t="str">
        <f t="shared" si="209"/>
        <v>Aug-2018</v>
      </c>
      <c r="G2529" s="263" t="s">
        <v>467</v>
      </c>
      <c r="H2529" s="15" t="s">
        <v>35</v>
      </c>
      <c r="I2529" s="16" t="s">
        <v>93</v>
      </c>
      <c r="J2529" s="16" t="s">
        <v>23</v>
      </c>
      <c r="K2529" s="16" t="s">
        <v>9</v>
      </c>
      <c r="L2529" s="16" t="s">
        <v>30</v>
      </c>
      <c r="M2529" s="16"/>
      <c r="N2529" s="16" t="s">
        <v>98</v>
      </c>
      <c r="O2529" s="101"/>
      <c r="P2529" s="101"/>
      <c r="Q2529" s="102"/>
      <c r="R2529" s="25" t="s">
        <v>955</v>
      </c>
    </row>
    <row r="2530">
      <c r="A2530" s="140"/>
      <c r="B2530" s="134" t="s">
        <v>18</v>
      </c>
      <c r="C2530" s="134" t="s">
        <v>74</v>
      </c>
      <c r="D2530" s="279" t="s">
        <v>959</v>
      </c>
      <c r="E2530" s="240">
        <v>43322.0</v>
      </c>
      <c r="F2530" s="13" t="str">
        <f t="shared" si="209"/>
        <v>Aug-2018</v>
      </c>
      <c r="G2530" s="264" t="s">
        <v>146</v>
      </c>
      <c r="H2530" s="24" t="s">
        <v>35</v>
      </c>
      <c r="I2530" s="25" t="s">
        <v>346</v>
      </c>
      <c r="J2530" s="25" t="s">
        <v>44</v>
      </c>
      <c r="K2530" s="25" t="s">
        <v>9</v>
      </c>
      <c r="L2530" s="25" t="s">
        <v>24</v>
      </c>
      <c r="M2530" s="25" t="s">
        <v>24</v>
      </c>
      <c r="N2530" s="25" t="s">
        <v>69</v>
      </c>
      <c r="Q2530" s="99"/>
    </row>
    <row r="2531">
      <c r="A2531" s="140"/>
      <c r="B2531" s="134" t="s">
        <v>18</v>
      </c>
      <c r="C2531" s="134" t="s">
        <v>74</v>
      </c>
      <c r="D2531" s="279" t="s">
        <v>959</v>
      </c>
      <c r="E2531" s="240">
        <v>43322.0</v>
      </c>
      <c r="F2531" s="13" t="str">
        <f t="shared" si="209"/>
        <v>Aug-2018</v>
      </c>
      <c r="G2531" s="264" t="s">
        <v>149</v>
      </c>
      <c r="H2531" s="24" t="s">
        <v>35</v>
      </c>
      <c r="I2531" s="25" t="s">
        <v>346</v>
      </c>
      <c r="J2531" s="25" t="s">
        <v>44</v>
      </c>
      <c r="K2531" s="25" t="s">
        <v>9</v>
      </c>
      <c r="L2531" s="25" t="s">
        <v>24</v>
      </c>
      <c r="M2531" s="25"/>
      <c r="N2531" s="25" t="s">
        <v>99</v>
      </c>
      <c r="Q2531" s="99"/>
    </row>
    <row r="2532">
      <c r="A2532" s="140"/>
      <c r="B2532" s="134" t="s">
        <v>18</v>
      </c>
      <c r="C2532" s="134" t="s">
        <v>74</v>
      </c>
      <c r="D2532" s="279" t="s">
        <v>959</v>
      </c>
      <c r="E2532" s="240">
        <v>43322.0</v>
      </c>
      <c r="F2532" s="13" t="str">
        <f t="shared" si="209"/>
        <v>Aug-2018</v>
      </c>
      <c r="G2532" s="264" t="s">
        <v>222</v>
      </c>
      <c r="H2532" s="24" t="s">
        <v>35</v>
      </c>
      <c r="I2532" s="25" t="s">
        <v>346</v>
      </c>
      <c r="J2532" s="25" t="s">
        <v>27</v>
      </c>
      <c r="K2532" s="25" t="s">
        <v>9</v>
      </c>
      <c r="L2532" s="25" t="s">
        <v>30</v>
      </c>
      <c r="M2532" s="25"/>
      <c r="N2532" s="25" t="s">
        <v>106</v>
      </c>
      <c r="Q2532" s="99"/>
    </row>
    <row r="2533">
      <c r="A2533" s="141"/>
      <c r="B2533" s="134" t="s">
        <v>18</v>
      </c>
      <c r="C2533" s="134" t="s">
        <v>74</v>
      </c>
      <c r="D2533" s="280" t="s">
        <v>959</v>
      </c>
      <c r="E2533" s="241">
        <v>43322.0</v>
      </c>
      <c r="F2533" s="35" t="str">
        <f t="shared" si="209"/>
        <v>Aug-2018</v>
      </c>
      <c r="G2533" s="266" t="s">
        <v>467</v>
      </c>
      <c r="H2533" s="54" t="s">
        <v>35</v>
      </c>
      <c r="I2533" s="55" t="s">
        <v>346</v>
      </c>
      <c r="J2533" s="55" t="s">
        <v>44</v>
      </c>
      <c r="K2533" s="55" t="s">
        <v>9</v>
      </c>
      <c r="L2533" s="55" t="s">
        <v>24</v>
      </c>
      <c r="M2533" s="55"/>
      <c r="N2533" s="55" t="s">
        <v>29</v>
      </c>
      <c r="O2533" s="143"/>
      <c r="P2533" s="143"/>
      <c r="Q2533" s="144"/>
    </row>
    <row r="2534">
      <c r="A2534" s="94"/>
    </row>
    <row r="2535">
      <c r="A2535" s="133" t="s">
        <v>966</v>
      </c>
      <c r="B2535" s="134" t="s">
        <v>433</v>
      </c>
      <c r="C2535" s="134" t="s">
        <v>74</v>
      </c>
      <c r="D2535" s="278" t="s">
        <v>966</v>
      </c>
      <c r="E2535" s="239">
        <v>43326.0</v>
      </c>
      <c r="F2535" s="110" t="str">
        <f t="shared" ref="F2535:F2547" si="210">TEXT(E2527:E2535, "mmm") &amp; "-" &amp; TEXT(E2527:E2535, "yyyy") </f>
        <v>Aug-2018</v>
      </c>
      <c r="G2535" s="152" t="s">
        <v>20</v>
      </c>
      <c r="H2535" s="46" t="s">
        <v>35</v>
      </c>
      <c r="I2535" s="47" t="s">
        <v>793</v>
      </c>
      <c r="J2535" s="47" t="s">
        <v>71</v>
      </c>
      <c r="K2535" s="47" t="s">
        <v>9</v>
      </c>
      <c r="L2535" s="47" t="s">
        <v>30</v>
      </c>
      <c r="M2535" s="47" t="s">
        <v>30</v>
      </c>
      <c r="N2535" s="47" t="s">
        <v>99</v>
      </c>
      <c r="O2535" s="152"/>
      <c r="P2535" s="152"/>
      <c r="Q2535" s="153"/>
    </row>
    <row r="2536">
      <c r="A2536" s="134" t="s">
        <v>433</v>
      </c>
      <c r="B2536" s="134" t="s">
        <v>433</v>
      </c>
      <c r="C2536" s="134" t="s">
        <v>74</v>
      </c>
      <c r="D2536" s="279" t="s">
        <v>966</v>
      </c>
      <c r="E2536" s="240">
        <v>43326.0</v>
      </c>
      <c r="F2536" s="13" t="str">
        <f t="shared" si="210"/>
        <v>Aug-2018</v>
      </c>
      <c r="G2536" s="101" t="s">
        <v>25</v>
      </c>
      <c r="H2536" s="15" t="s">
        <v>35</v>
      </c>
      <c r="I2536" s="16" t="s">
        <v>793</v>
      </c>
      <c r="J2536" s="16" t="s">
        <v>71</v>
      </c>
      <c r="K2536" s="16" t="s">
        <v>9</v>
      </c>
      <c r="L2536" s="16" t="s">
        <v>24</v>
      </c>
      <c r="M2536" s="16"/>
      <c r="N2536" s="16" t="s">
        <v>37</v>
      </c>
      <c r="O2536" s="101"/>
      <c r="P2536" s="101"/>
      <c r="Q2536" s="102"/>
    </row>
    <row r="2537">
      <c r="A2537" s="134" t="s">
        <v>901</v>
      </c>
      <c r="B2537" s="134" t="s">
        <v>433</v>
      </c>
      <c r="C2537" s="134" t="s">
        <v>74</v>
      </c>
      <c r="D2537" s="279" t="s">
        <v>966</v>
      </c>
      <c r="E2537" s="240">
        <v>43326.0</v>
      </c>
      <c r="F2537" s="13" t="str">
        <f t="shared" si="210"/>
        <v>Aug-2018</v>
      </c>
      <c r="G2537" s="101" t="s">
        <v>32</v>
      </c>
      <c r="H2537" s="15" t="s">
        <v>35</v>
      </c>
      <c r="I2537" s="16" t="s">
        <v>793</v>
      </c>
      <c r="J2537" s="16" t="s">
        <v>71</v>
      </c>
      <c r="K2537" s="16" t="s">
        <v>9</v>
      </c>
      <c r="L2537" s="16" t="s">
        <v>30</v>
      </c>
      <c r="M2537" s="16"/>
      <c r="N2537" s="16" t="s">
        <v>106</v>
      </c>
      <c r="O2537" s="101"/>
      <c r="P2537" s="101"/>
      <c r="Q2537" s="102"/>
    </row>
    <row r="2538">
      <c r="A2538" s="168">
        <v>43326.0</v>
      </c>
      <c r="B2538" s="134" t="s">
        <v>433</v>
      </c>
      <c r="C2538" s="134" t="s">
        <v>74</v>
      </c>
      <c r="D2538" s="279" t="s">
        <v>966</v>
      </c>
      <c r="E2538" s="240">
        <v>43326.0</v>
      </c>
      <c r="F2538" s="13" t="str">
        <f t="shared" si="210"/>
        <v>Aug-2018</v>
      </c>
      <c r="G2538" t="s">
        <v>20</v>
      </c>
      <c r="H2538" s="24" t="s">
        <v>35</v>
      </c>
      <c r="I2538" s="25" t="s">
        <v>424</v>
      </c>
      <c r="J2538" s="25" t="s">
        <v>44</v>
      </c>
      <c r="K2538" s="25" t="s">
        <v>9</v>
      </c>
      <c r="L2538" s="25" t="s">
        <v>30</v>
      </c>
      <c r="M2538" s="25" t="s">
        <v>30</v>
      </c>
      <c r="N2538" s="25" t="s">
        <v>69</v>
      </c>
      <c r="Q2538" s="99"/>
    </row>
    <row r="2539">
      <c r="A2539" s="134" t="s">
        <v>74</v>
      </c>
      <c r="B2539" s="134" t="s">
        <v>433</v>
      </c>
      <c r="C2539" s="134" t="s">
        <v>74</v>
      </c>
      <c r="D2539" s="279" t="s">
        <v>966</v>
      </c>
      <c r="E2539" s="240">
        <v>43326.0</v>
      </c>
      <c r="F2539" s="13" t="str">
        <f t="shared" si="210"/>
        <v>Aug-2018</v>
      </c>
      <c r="G2539" t="s">
        <v>25</v>
      </c>
      <c r="H2539" s="24" t="s">
        <v>35</v>
      </c>
      <c r="I2539" s="25" t="s">
        <v>424</v>
      </c>
      <c r="J2539" s="25" t="s">
        <v>44</v>
      </c>
      <c r="K2539" s="25" t="s">
        <v>9</v>
      </c>
      <c r="L2539" s="25" t="s">
        <v>30</v>
      </c>
      <c r="M2539" s="25"/>
      <c r="N2539" s="25" t="s">
        <v>98</v>
      </c>
      <c r="Q2539" s="99"/>
    </row>
    <row r="2540">
      <c r="A2540" s="176" t="s">
        <v>967</v>
      </c>
      <c r="B2540" s="134" t="s">
        <v>433</v>
      </c>
      <c r="C2540" s="134" t="s">
        <v>74</v>
      </c>
      <c r="D2540" s="279" t="s">
        <v>966</v>
      </c>
      <c r="E2540" s="240">
        <v>43326.0</v>
      </c>
      <c r="F2540" s="13" t="str">
        <f t="shared" si="210"/>
        <v>Aug-2018</v>
      </c>
      <c r="G2540" s="101" t="s">
        <v>20</v>
      </c>
      <c r="H2540" s="15" t="s">
        <v>35</v>
      </c>
      <c r="I2540" s="16" t="s">
        <v>109</v>
      </c>
      <c r="J2540" s="16" t="s">
        <v>216</v>
      </c>
      <c r="K2540" s="16" t="s">
        <v>9</v>
      </c>
      <c r="L2540" s="16" t="s">
        <v>30</v>
      </c>
      <c r="M2540" s="16" t="s">
        <v>24</v>
      </c>
      <c r="N2540" s="16" t="s">
        <v>98</v>
      </c>
      <c r="O2540" s="101"/>
      <c r="P2540" s="101"/>
      <c r="Q2540" s="102"/>
    </row>
    <row r="2541">
      <c r="A2541" s="134" t="s">
        <v>949</v>
      </c>
      <c r="B2541" s="134" t="s">
        <v>433</v>
      </c>
      <c r="C2541" s="134" t="s">
        <v>74</v>
      </c>
      <c r="D2541" s="279" t="s">
        <v>966</v>
      </c>
      <c r="E2541" s="240">
        <v>43326.0</v>
      </c>
      <c r="F2541" s="13" t="str">
        <f t="shared" si="210"/>
        <v>Aug-2018</v>
      </c>
      <c r="G2541" s="101" t="s">
        <v>25</v>
      </c>
      <c r="H2541" s="15" t="s">
        <v>35</v>
      </c>
      <c r="I2541" s="16" t="s">
        <v>109</v>
      </c>
      <c r="J2541" s="16" t="s">
        <v>216</v>
      </c>
      <c r="K2541" s="16" t="s">
        <v>9</v>
      </c>
      <c r="L2541" s="16" t="s">
        <v>24</v>
      </c>
      <c r="M2541" s="16"/>
      <c r="N2541" s="16" t="s">
        <v>106</v>
      </c>
      <c r="O2541" s="101"/>
      <c r="P2541" s="101"/>
      <c r="Q2541" s="102"/>
    </row>
    <row r="2542">
      <c r="A2542" s="176" t="s">
        <v>968</v>
      </c>
      <c r="B2542" s="134" t="s">
        <v>433</v>
      </c>
      <c r="C2542" s="134" t="s">
        <v>74</v>
      </c>
      <c r="D2542" s="279" t="s">
        <v>966</v>
      </c>
      <c r="E2542" s="240">
        <v>43326.0</v>
      </c>
      <c r="F2542" s="13" t="str">
        <f t="shared" si="210"/>
        <v>Aug-2018</v>
      </c>
      <c r="G2542" s="101" t="s">
        <v>32</v>
      </c>
      <c r="H2542" s="15" t="s">
        <v>35</v>
      </c>
      <c r="I2542" s="16" t="s">
        <v>109</v>
      </c>
      <c r="J2542" s="16" t="s">
        <v>216</v>
      </c>
      <c r="K2542" s="16" t="s">
        <v>9</v>
      </c>
      <c r="L2542" s="16" t="s">
        <v>24</v>
      </c>
      <c r="M2542" s="16"/>
      <c r="N2542" s="16" t="s">
        <v>106</v>
      </c>
      <c r="O2542" s="101"/>
      <c r="P2542" s="101"/>
      <c r="Q2542" s="102"/>
    </row>
    <row r="2543">
      <c r="A2543" s="140"/>
      <c r="B2543" s="134" t="s">
        <v>433</v>
      </c>
      <c r="C2543" s="134" t="s">
        <v>74</v>
      </c>
      <c r="D2543" s="279" t="s">
        <v>966</v>
      </c>
      <c r="E2543" s="240">
        <v>43326.0</v>
      </c>
      <c r="F2543" s="13" t="str">
        <f t="shared" si="210"/>
        <v>Aug-2018</v>
      </c>
      <c r="G2543" t="s">
        <v>20</v>
      </c>
      <c r="H2543" s="24" t="s">
        <v>35</v>
      </c>
      <c r="I2543" s="25" t="s">
        <v>133</v>
      </c>
      <c r="J2543" s="25" t="s">
        <v>9</v>
      </c>
      <c r="K2543" s="25" t="s">
        <v>9</v>
      </c>
      <c r="L2543" s="25" t="s">
        <v>30</v>
      </c>
      <c r="M2543" s="25" t="s">
        <v>30</v>
      </c>
      <c r="N2543" s="25" t="s">
        <v>98</v>
      </c>
      <c r="Q2543" s="99"/>
    </row>
    <row r="2544">
      <c r="A2544" s="140"/>
      <c r="B2544" s="134" t="s">
        <v>433</v>
      </c>
      <c r="C2544" s="134" t="s">
        <v>74</v>
      </c>
      <c r="D2544" s="279" t="s">
        <v>966</v>
      </c>
      <c r="E2544" s="240">
        <v>43326.0</v>
      </c>
      <c r="F2544" s="13" t="str">
        <f t="shared" si="210"/>
        <v>Aug-2018</v>
      </c>
      <c r="G2544" t="s">
        <v>25</v>
      </c>
      <c r="H2544" s="24" t="s">
        <v>35</v>
      </c>
      <c r="I2544" s="25" t="s">
        <v>133</v>
      </c>
      <c r="J2544" s="25" t="s">
        <v>9</v>
      </c>
      <c r="K2544" s="25" t="s">
        <v>9</v>
      </c>
      <c r="L2544" s="25" t="s">
        <v>30</v>
      </c>
      <c r="M2544" s="25"/>
      <c r="N2544" s="25" t="s">
        <v>98</v>
      </c>
      <c r="Q2544" s="99"/>
    </row>
    <row r="2545">
      <c r="A2545" s="140"/>
      <c r="B2545" s="134" t="s">
        <v>433</v>
      </c>
      <c r="C2545" s="134" t="s">
        <v>74</v>
      </c>
      <c r="D2545" s="279" t="s">
        <v>966</v>
      </c>
      <c r="E2545" s="240">
        <v>43326.0</v>
      </c>
      <c r="F2545" s="13" t="str">
        <f t="shared" si="210"/>
        <v>Aug-2018</v>
      </c>
      <c r="G2545" s="263" t="s">
        <v>146</v>
      </c>
      <c r="H2545" s="15" t="s">
        <v>35</v>
      </c>
      <c r="I2545" s="16" t="s">
        <v>497</v>
      </c>
      <c r="J2545" s="16" t="s">
        <v>9</v>
      </c>
      <c r="K2545" s="16" t="s">
        <v>9</v>
      </c>
      <c r="L2545" s="16" t="s">
        <v>24</v>
      </c>
      <c r="M2545" s="16" t="s">
        <v>24</v>
      </c>
      <c r="N2545" s="16" t="s">
        <v>69</v>
      </c>
      <c r="O2545" s="101"/>
      <c r="P2545" s="101"/>
      <c r="Q2545" s="102"/>
    </row>
    <row r="2546">
      <c r="A2546" s="140"/>
      <c r="B2546" s="134" t="s">
        <v>433</v>
      </c>
      <c r="C2546" s="134" t="s">
        <v>74</v>
      </c>
      <c r="D2546" s="279" t="s">
        <v>966</v>
      </c>
      <c r="E2546" s="240">
        <v>43326.0</v>
      </c>
      <c r="F2546" s="13" t="str">
        <f t="shared" si="210"/>
        <v>Aug-2018</v>
      </c>
      <c r="G2546" s="263" t="s">
        <v>149</v>
      </c>
      <c r="H2546" s="15" t="s">
        <v>35</v>
      </c>
      <c r="I2546" s="16" t="s">
        <v>497</v>
      </c>
      <c r="J2546" s="16" t="s">
        <v>27</v>
      </c>
      <c r="K2546" s="16" t="s">
        <v>9</v>
      </c>
      <c r="L2546" s="16" t="s">
        <v>24</v>
      </c>
      <c r="M2546" s="16"/>
      <c r="N2546" s="16" t="s">
        <v>106</v>
      </c>
      <c r="O2546" s="101"/>
      <c r="P2546" s="101"/>
      <c r="Q2546" s="102"/>
    </row>
    <row r="2547">
      <c r="A2547" s="141"/>
      <c r="B2547" s="134" t="s">
        <v>433</v>
      </c>
      <c r="C2547" s="134" t="s">
        <v>74</v>
      </c>
      <c r="D2547" s="280" t="s">
        <v>966</v>
      </c>
      <c r="E2547" s="241">
        <v>43326.0</v>
      </c>
      <c r="F2547" s="35" t="str">
        <f t="shared" si="210"/>
        <v>Aug-2018</v>
      </c>
      <c r="G2547" s="265" t="s">
        <v>222</v>
      </c>
      <c r="H2547" s="37" t="s">
        <v>35</v>
      </c>
      <c r="I2547" s="38" t="s">
        <v>497</v>
      </c>
      <c r="J2547" s="38" t="s">
        <v>27</v>
      </c>
      <c r="K2547" s="38" t="s">
        <v>9</v>
      </c>
      <c r="L2547" s="38" t="s">
        <v>24</v>
      </c>
      <c r="M2547" s="38"/>
      <c r="N2547" s="38" t="s">
        <v>106</v>
      </c>
      <c r="O2547" s="105"/>
      <c r="P2547" s="105"/>
      <c r="Q2547" s="106"/>
    </row>
    <row r="2548">
      <c r="A2548" s="94"/>
    </row>
    <row r="2549">
      <c r="A2549" s="133" t="s">
        <v>969</v>
      </c>
      <c r="B2549" s="134" t="s">
        <v>18</v>
      </c>
      <c r="C2549" s="134" t="s">
        <v>84</v>
      </c>
      <c r="D2549" s="278" t="s">
        <v>969</v>
      </c>
      <c r="E2549" s="239">
        <v>43330.0</v>
      </c>
      <c r="F2549" s="110" t="str">
        <f t="shared" ref="F2549:F2561" si="211">TEXT(E2541:E2549, "mmm") &amp; "-" &amp; TEXT(E2541:E2549, "yyyy") </f>
        <v>Aug-2018</v>
      </c>
      <c r="G2549" s="165" t="s">
        <v>20</v>
      </c>
      <c r="H2549" s="72" t="s">
        <v>35</v>
      </c>
      <c r="I2549" s="73" t="s">
        <v>970</v>
      </c>
      <c r="J2549" s="73" t="s">
        <v>9</v>
      </c>
      <c r="K2549" s="73" t="s">
        <v>9</v>
      </c>
      <c r="L2549" s="73" t="s">
        <v>30</v>
      </c>
      <c r="M2549" s="73" t="s">
        <v>30</v>
      </c>
      <c r="N2549" s="73" t="s">
        <v>69</v>
      </c>
      <c r="O2549" s="165"/>
      <c r="P2549" s="165"/>
      <c r="Q2549" s="166"/>
    </row>
    <row r="2550">
      <c r="A2550" s="134" t="s">
        <v>18</v>
      </c>
      <c r="B2550" s="134" t="s">
        <v>18</v>
      </c>
      <c r="C2550" s="134" t="s">
        <v>84</v>
      </c>
      <c r="D2550" s="279" t="s">
        <v>969</v>
      </c>
      <c r="E2550" s="240">
        <v>43330.0</v>
      </c>
      <c r="F2550" s="13" t="str">
        <f t="shared" si="211"/>
        <v>Aug-2018</v>
      </c>
      <c r="G2550" t="s">
        <v>25</v>
      </c>
      <c r="H2550" s="24" t="s">
        <v>35</v>
      </c>
      <c r="I2550" s="25" t="s">
        <v>970</v>
      </c>
      <c r="J2550" s="25" t="s">
        <v>9</v>
      </c>
      <c r="K2550" s="25" t="s">
        <v>9</v>
      </c>
      <c r="L2550" s="25" t="s">
        <v>30</v>
      </c>
      <c r="M2550" s="25"/>
      <c r="N2550" s="25" t="s">
        <v>98</v>
      </c>
      <c r="Q2550" s="99"/>
    </row>
    <row r="2551">
      <c r="A2551" s="134" t="s">
        <v>971</v>
      </c>
      <c r="B2551" s="134" t="s">
        <v>18</v>
      </c>
      <c r="C2551" s="134" t="s">
        <v>84</v>
      </c>
      <c r="D2551" s="279" t="s">
        <v>969</v>
      </c>
      <c r="E2551" s="240">
        <v>43330.0</v>
      </c>
      <c r="F2551" s="13" t="str">
        <f t="shared" si="211"/>
        <v>Aug-2018</v>
      </c>
      <c r="G2551" s="101" t="s">
        <v>20</v>
      </c>
      <c r="H2551" s="15" t="s">
        <v>35</v>
      </c>
      <c r="I2551" s="16" t="s">
        <v>442</v>
      </c>
      <c r="J2551" s="16" t="s">
        <v>71</v>
      </c>
      <c r="K2551" s="16" t="s">
        <v>9</v>
      </c>
      <c r="L2551" s="16" t="s">
        <v>30</v>
      </c>
      <c r="M2551" s="16" t="s">
        <v>30</v>
      </c>
      <c r="N2551" s="16" t="s">
        <v>99</v>
      </c>
      <c r="O2551" s="101"/>
      <c r="P2551" s="101"/>
      <c r="Q2551" s="102"/>
    </row>
    <row r="2552">
      <c r="A2552" s="168">
        <v>43330.0</v>
      </c>
      <c r="B2552" s="134" t="s">
        <v>18</v>
      </c>
      <c r="C2552" s="134" t="s">
        <v>84</v>
      </c>
      <c r="D2552" s="279" t="s">
        <v>969</v>
      </c>
      <c r="E2552" s="240">
        <v>43330.0</v>
      </c>
      <c r="F2552" s="13" t="str">
        <f t="shared" si="211"/>
        <v>Aug-2018</v>
      </c>
      <c r="G2552" s="101" t="s">
        <v>25</v>
      </c>
      <c r="H2552" s="15" t="s">
        <v>35</v>
      </c>
      <c r="I2552" s="16" t="s">
        <v>442</v>
      </c>
      <c r="J2552" s="16" t="s">
        <v>71</v>
      </c>
      <c r="K2552" s="16" t="s">
        <v>9</v>
      </c>
      <c r="L2552" s="16" t="s">
        <v>24</v>
      </c>
      <c r="M2552" s="16"/>
      <c r="N2552" s="16" t="s">
        <v>98</v>
      </c>
      <c r="O2552" s="101"/>
      <c r="P2552" s="101"/>
      <c r="Q2552" s="102"/>
    </row>
    <row r="2553">
      <c r="A2553" s="134" t="s">
        <v>84</v>
      </c>
      <c r="B2553" s="134" t="s">
        <v>18</v>
      </c>
      <c r="C2553" s="134" t="s">
        <v>84</v>
      </c>
      <c r="D2553" s="279" t="s">
        <v>969</v>
      </c>
      <c r="E2553" s="240">
        <v>43330.0</v>
      </c>
      <c r="F2553" s="13" t="str">
        <f t="shared" si="211"/>
        <v>Aug-2018</v>
      </c>
      <c r="G2553" s="101" t="s">
        <v>32</v>
      </c>
      <c r="H2553" s="15" t="s">
        <v>35</v>
      </c>
      <c r="I2553" s="16" t="s">
        <v>442</v>
      </c>
      <c r="J2553" s="16" t="s">
        <v>71</v>
      </c>
      <c r="K2553" s="16" t="s">
        <v>9</v>
      </c>
      <c r="L2553" s="16" t="s">
        <v>30</v>
      </c>
      <c r="M2553" s="16"/>
      <c r="N2553" s="16" t="s">
        <v>106</v>
      </c>
      <c r="O2553" s="101"/>
      <c r="P2553" s="101"/>
      <c r="Q2553" s="102"/>
    </row>
    <row r="2554">
      <c r="A2554" s="176" t="s">
        <v>972</v>
      </c>
      <c r="B2554" s="134" t="s">
        <v>18</v>
      </c>
      <c r="C2554" s="134" t="s">
        <v>84</v>
      </c>
      <c r="D2554" s="279" t="s">
        <v>969</v>
      </c>
      <c r="E2554" s="240">
        <v>43330.0</v>
      </c>
      <c r="F2554" s="13" t="str">
        <f t="shared" si="211"/>
        <v>Aug-2018</v>
      </c>
      <c r="G2554" t="s">
        <v>20</v>
      </c>
      <c r="H2554" s="24" t="s">
        <v>35</v>
      </c>
      <c r="I2554" s="25" t="s">
        <v>239</v>
      </c>
      <c r="J2554" s="25" t="s">
        <v>27</v>
      </c>
      <c r="K2554" s="25" t="s">
        <v>9</v>
      </c>
      <c r="L2554" s="25" t="s">
        <v>24</v>
      </c>
      <c r="M2554" s="25" t="s">
        <v>24</v>
      </c>
      <c r="N2554" s="25" t="s">
        <v>69</v>
      </c>
      <c r="Q2554" s="99"/>
    </row>
    <row r="2555">
      <c r="A2555" s="134" t="s">
        <v>973</v>
      </c>
      <c r="B2555" s="134" t="s">
        <v>18</v>
      </c>
      <c r="C2555" s="134" t="s">
        <v>84</v>
      </c>
      <c r="D2555" s="279" t="s">
        <v>969</v>
      </c>
      <c r="E2555" s="240">
        <v>43330.0</v>
      </c>
      <c r="F2555" s="13" t="str">
        <f t="shared" si="211"/>
        <v>Aug-2018</v>
      </c>
      <c r="G2555" t="s">
        <v>25</v>
      </c>
      <c r="H2555" s="24" t="s">
        <v>35</v>
      </c>
      <c r="I2555" s="25" t="s">
        <v>239</v>
      </c>
      <c r="J2555" s="25" t="s">
        <v>27</v>
      </c>
      <c r="K2555" s="25" t="s">
        <v>9</v>
      </c>
      <c r="L2555" s="25" t="s">
        <v>24</v>
      </c>
      <c r="M2555" s="25"/>
      <c r="N2555" s="25" t="s">
        <v>98</v>
      </c>
      <c r="Q2555" s="99"/>
    </row>
    <row r="2556">
      <c r="A2556" s="176" t="s">
        <v>974</v>
      </c>
      <c r="B2556" s="134" t="s">
        <v>18</v>
      </c>
      <c r="C2556" s="134" t="s">
        <v>84</v>
      </c>
      <c r="D2556" s="279" t="s">
        <v>969</v>
      </c>
      <c r="E2556" s="240">
        <v>43330.0</v>
      </c>
      <c r="F2556" s="13" t="str">
        <f t="shared" si="211"/>
        <v>Aug-2018</v>
      </c>
      <c r="G2556" s="101" t="s">
        <v>20</v>
      </c>
      <c r="H2556" s="15" t="s">
        <v>35</v>
      </c>
      <c r="I2556" s="16" t="s">
        <v>936</v>
      </c>
      <c r="J2556" s="16" t="s">
        <v>97</v>
      </c>
      <c r="K2556" s="16" t="s">
        <v>9</v>
      </c>
      <c r="L2556" s="16" t="s">
        <v>30</v>
      </c>
      <c r="M2556" s="16" t="s">
        <v>30</v>
      </c>
      <c r="N2556" s="16" t="s">
        <v>98</v>
      </c>
      <c r="O2556" s="101"/>
      <c r="P2556" s="101"/>
      <c r="Q2556" s="102"/>
    </row>
    <row r="2557">
      <c r="A2557" s="140"/>
      <c r="B2557" s="134" t="s">
        <v>18</v>
      </c>
      <c r="C2557" s="134" t="s">
        <v>84</v>
      </c>
      <c r="D2557" s="279" t="s">
        <v>969</v>
      </c>
      <c r="E2557" s="240">
        <v>43330.0</v>
      </c>
      <c r="F2557" s="13" t="str">
        <f t="shared" si="211"/>
        <v>Aug-2018</v>
      </c>
      <c r="G2557" s="101" t="s">
        <v>25</v>
      </c>
      <c r="H2557" s="15" t="s">
        <v>35</v>
      </c>
      <c r="I2557" s="16" t="s">
        <v>936</v>
      </c>
      <c r="J2557" s="16" t="s">
        <v>97</v>
      </c>
      <c r="K2557" s="16" t="s">
        <v>9</v>
      </c>
      <c r="L2557" s="16" t="s">
        <v>24</v>
      </c>
      <c r="M2557" s="16"/>
      <c r="N2557" s="16" t="s">
        <v>37</v>
      </c>
      <c r="O2557" s="101"/>
      <c r="P2557" s="101"/>
      <c r="Q2557" s="102"/>
    </row>
    <row r="2558">
      <c r="A2558" s="140"/>
      <c r="B2558" s="134" t="s">
        <v>18</v>
      </c>
      <c r="C2558" s="134" t="s">
        <v>84</v>
      </c>
      <c r="D2558" s="279" t="s">
        <v>969</v>
      </c>
      <c r="E2558" s="240">
        <v>43330.0</v>
      </c>
      <c r="F2558" s="13" t="str">
        <f t="shared" si="211"/>
        <v>Aug-2018</v>
      </c>
      <c r="G2558" s="101" t="s">
        <v>32</v>
      </c>
      <c r="H2558" s="15" t="s">
        <v>35</v>
      </c>
      <c r="I2558" s="16" t="s">
        <v>936</v>
      </c>
      <c r="J2558" s="16" t="s">
        <v>97</v>
      </c>
      <c r="K2558" s="16" t="s">
        <v>9</v>
      </c>
      <c r="L2558" s="16" t="s">
        <v>30</v>
      </c>
      <c r="M2558" s="16"/>
      <c r="N2558" s="16" t="s">
        <v>69</v>
      </c>
      <c r="O2558" s="101"/>
      <c r="P2558" s="101"/>
      <c r="Q2558" s="102"/>
    </row>
    <row r="2559">
      <c r="A2559" s="140"/>
      <c r="B2559" s="134" t="s">
        <v>18</v>
      </c>
      <c r="C2559" s="134" t="s">
        <v>84</v>
      </c>
      <c r="D2559" s="279" t="s">
        <v>969</v>
      </c>
      <c r="E2559" s="240">
        <v>43330.0</v>
      </c>
      <c r="F2559" s="13" t="str">
        <f t="shared" si="211"/>
        <v>Aug-2018</v>
      </c>
      <c r="G2559" s="264" t="s">
        <v>146</v>
      </c>
      <c r="H2559" s="24" t="s">
        <v>35</v>
      </c>
      <c r="I2559" s="25" t="s">
        <v>947</v>
      </c>
      <c r="J2559" s="25" t="s">
        <v>71</v>
      </c>
      <c r="K2559" s="25" t="s">
        <v>9</v>
      </c>
      <c r="L2559" s="25" t="s">
        <v>24</v>
      </c>
      <c r="M2559" s="25" t="s">
        <v>24</v>
      </c>
      <c r="N2559" s="25" t="s">
        <v>98</v>
      </c>
      <c r="Q2559" s="99"/>
    </row>
    <row r="2560">
      <c r="A2560" s="140"/>
      <c r="B2560" s="134" t="s">
        <v>18</v>
      </c>
      <c r="C2560" s="134" t="s">
        <v>84</v>
      </c>
      <c r="D2560" s="279" t="s">
        <v>969</v>
      </c>
      <c r="E2560" s="240">
        <v>43330.0</v>
      </c>
      <c r="F2560" s="13" t="str">
        <f t="shared" si="211"/>
        <v>Aug-2018</v>
      </c>
      <c r="G2560" s="264" t="s">
        <v>149</v>
      </c>
      <c r="H2560" s="24" t="s">
        <v>35</v>
      </c>
      <c r="I2560" s="25" t="s">
        <v>947</v>
      </c>
      <c r="J2560" s="25" t="s">
        <v>71</v>
      </c>
      <c r="K2560" s="25" t="s">
        <v>9</v>
      </c>
      <c r="L2560" s="25" t="s">
        <v>24</v>
      </c>
      <c r="M2560" s="25"/>
      <c r="N2560" s="25" t="s">
        <v>69</v>
      </c>
      <c r="Q2560" s="99"/>
    </row>
    <row r="2561">
      <c r="A2561" s="141"/>
      <c r="B2561" s="134" t="s">
        <v>18</v>
      </c>
      <c r="C2561" s="134" t="s">
        <v>84</v>
      </c>
      <c r="D2561" s="280" t="s">
        <v>969</v>
      </c>
      <c r="E2561" s="241">
        <v>43330.0</v>
      </c>
      <c r="F2561" s="35" t="str">
        <f t="shared" si="211"/>
        <v>Aug-2018</v>
      </c>
      <c r="G2561" s="266" t="s">
        <v>222</v>
      </c>
      <c r="H2561" s="54" t="s">
        <v>35</v>
      </c>
      <c r="I2561" s="55" t="s">
        <v>947</v>
      </c>
      <c r="J2561" s="55" t="s">
        <v>71</v>
      </c>
      <c r="K2561" s="55" t="s">
        <v>9</v>
      </c>
      <c r="L2561" s="55" t="s">
        <v>24</v>
      </c>
      <c r="M2561" s="55"/>
      <c r="N2561" s="55" t="s">
        <v>106</v>
      </c>
      <c r="O2561" s="143"/>
      <c r="P2561" s="143"/>
      <c r="Q2561" s="144"/>
    </row>
    <row r="2562">
      <c r="A2562" s="94"/>
    </row>
    <row r="2563">
      <c r="A2563" s="133" t="s">
        <v>975</v>
      </c>
      <c r="B2563" s="134" t="s">
        <v>433</v>
      </c>
      <c r="C2563" s="134" t="s">
        <v>74</v>
      </c>
      <c r="D2563" s="278" t="s">
        <v>975</v>
      </c>
      <c r="E2563" s="239">
        <v>43340.0</v>
      </c>
      <c r="F2563" s="110" t="str">
        <f t="shared" ref="F2563:F2587" si="212">TEXT(E2555:E2563, "mmm") &amp; "-" &amp; TEXT(E2555:E2563, "yyyy") </f>
        <v>Aug-2018</v>
      </c>
      <c r="G2563" s="47" t="s">
        <v>20</v>
      </c>
      <c r="H2563" s="46" t="s">
        <v>35</v>
      </c>
      <c r="I2563" s="47" t="s">
        <v>634</v>
      </c>
      <c r="J2563" s="47" t="s">
        <v>97</v>
      </c>
      <c r="K2563" s="47" t="s">
        <v>9</v>
      </c>
      <c r="L2563" s="47" t="s">
        <v>30</v>
      </c>
      <c r="M2563" s="47" t="s">
        <v>30</v>
      </c>
      <c r="N2563" s="47" t="s">
        <v>69</v>
      </c>
      <c r="O2563" s="152"/>
      <c r="P2563" s="152"/>
      <c r="Q2563" s="153"/>
    </row>
    <row r="2564">
      <c r="A2564" s="134" t="s">
        <v>433</v>
      </c>
      <c r="B2564" s="134" t="s">
        <v>433</v>
      </c>
      <c r="C2564" s="134" t="s">
        <v>74</v>
      </c>
      <c r="D2564" s="279" t="s">
        <v>975</v>
      </c>
      <c r="E2564" s="240">
        <v>43340.0</v>
      </c>
      <c r="F2564" s="13" t="str">
        <f t="shared" si="212"/>
        <v>Aug-2018</v>
      </c>
      <c r="G2564" s="16" t="s">
        <v>25</v>
      </c>
      <c r="H2564" s="15" t="s">
        <v>35</v>
      </c>
      <c r="I2564" s="16" t="s">
        <v>634</v>
      </c>
      <c r="J2564" s="16" t="s">
        <v>97</v>
      </c>
      <c r="K2564" s="16" t="s">
        <v>9</v>
      </c>
      <c r="L2564" s="16" t="s">
        <v>30</v>
      </c>
      <c r="M2564" s="16"/>
      <c r="N2564" s="16" t="s">
        <v>106</v>
      </c>
      <c r="O2564" s="101"/>
      <c r="P2564" s="101"/>
      <c r="Q2564" s="102"/>
    </row>
    <row r="2565">
      <c r="A2565" s="134" t="s">
        <v>901</v>
      </c>
      <c r="B2565" s="134" t="s">
        <v>433</v>
      </c>
      <c r="C2565" s="134" t="s">
        <v>74</v>
      </c>
      <c r="D2565" s="279" t="s">
        <v>975</v>
      </c>
      <c r="E2565" s="240">
        <v>43340.0</v>
      </c>
      <c r="F2565" s="13" t="str">
        <f t="shared" si="212"/>
        <v>Aug-2018</v>
      </c>
      <c r="G2565" s="25" t="s">
        <v>20</v>
      </c>
      <c r="H2565" s="24" t="s">
        <v>35</v>
      </c>
      <c r="I2565" s="25" t="s">
        <v>148</v>
      </c>
      <c r="J2565" s="25" t="s">
        <v>27</v>
      </c>
      <c r="K2565" s="25" t="s">
        <v>9</v>
      </c>
      <c r="L2565" s="25" t="s">
        <v>24</v>
      </c>
      <c r="M2565" s="25" t="s">
        <v>24</v>
      </c>
      <c r="N2565" s="25" t="s">
        <v>37</v>
      </c>
      <c r="Q2565" s="99"/>
    </row>
    <row r="2566">
      <c r="A2566" s="168">
        <v>43340.0</v>
      </c>
      <c r="B2566" s="134" t="s">
        <v>433</v>
      </c>
      <c r="C2566" s="134" t="s">
        <v>74</v>
      </c>
      <c r="D2566" s="279" t="s">
        <v>975</v>
      </c>
      <c r="E2566" s="240">
        <v>43340.0</v>
      </c>
      <c r="F2566" s="13" t="str">
        <f t="shared" si="212"/>
        <v>Aug-2018</v>
      </c>
      <c r="G2566" s="25" t="s">
        <v>25</v>
      </c>
      <c r="H2566" s="24" t="s">
        <v>35</v>
      </c>
      <c r="I2566" s="25" t="s">
        <v>148</v>
      </c>
      <c r="J2566" s="25" t="s">
        <v>27</v>
      </c>
      <c r="K2566" s="25" t="s">
        <v>9</v>
      </c>
      <c r="L2566" s="25" t="s">
        <v>24</v>
      </c>
      <c r="M2566" s="25"/>
      <c r="N2566" s="25" t="s">
        <v>106</v>
      </c>
      <c r="Q2566" s="99"/>
    </row>
    <row r="2567">
      <c r="A2567" s="134" t="s">
        <v>74</v>
      </c>
      <c r="B2567" s="134" t="s">
        <v>433</v>
      </c>
      <c r="C2567" s="134" t="s">
        <v>74</v>
      </c>
      <c r="D2567" s="279" t="s">
        <v>975</v>
      </c>
      <c r="E2567" s="240">
        <v>43340.0</v>
      </c>
      <c r="F2567" s="13" t="str">
        <f t="shared" si="212"/>
        <v>Aug-2018</v>
      </c>
      <c r="G2567" s="101" t="s">
        <v>20</v>
      </c>
      <c r="H2567" s="15" t="s">
        <v>35</v>
      </c>
      <c r="I2567" s="16" t="s">
        <v>976</v>
      </c>
      <c r="J2567" s="16" t="s">
        <v>48</v>
      </c>
      <c r="K2567" s="16" t="s">
        <v>9</v>
      </c>
      <c r="L2567" s="16" t="s">
        <v>30</v>
      </c>
      <c r="M2567" s="16" t="s">
        <v>30</v>
      </c>
      <c r="N2567" s="16" t="s">
        <v>98</v>
      </c>
      <c r="O2567" s="101"/>
      <c r="P2567" s="101"/>
      <c r="Q2567" s="102"/>
    </row>
    <row r="2568">
      <c r="A2568" s="176" t="s">
        <v>977</v>
      </c>
      <c r="B2568" s="134" t="s">
        <v>433</v>
      </c>
      <c r="C2568" s="134" t="s">
        <v>74</v>
      </c>
      <c r="D2568" s="279" t="s">
        <v>975</v>
      </c>
      <c r="E2568" s="240">
        <v>43340.0</v>
      </c>
      <c r="F2568" s="13" t="str">
        <f t="shared" si="212"/>
        <v>Aug-2018</v>
      </c>
      <c r="G2568" s="101" t="s">
        <v>25</v>
      </c>
      <c r="H2568" s="15" t="s">
        <v>35</v>
      </c>
      <c r="I2568" s="16" t="s">
        <v>976</v>
      </c>
      <c r="J2568" s="16" t="s">
        <v>48</v>
      </c>
      <c r="K2568" s="16" t="s">
        <v>9</v>
      </c>
      <c r="L2568" s="16" t="s">
        <v>24</v>
      </c>
      <c r="M2568" s="16"/>
      <c r="N2568" s="16" t="s">
        <v>69</v>
      </c>
      <c r="O2568" s="101"/>
      <c r="P2568" s="101"/>
      <c r="Q2568" s="102"/>
    </row>
    <row r="2569">
      <c r="A2569" s="140"/>
      <c r="B2569" s="134" t="s">
        <v>433</v>
      </c>
      <c r="C2569" s="134" t="s">
        <v>74</v>
      </c>
      <c r="D2569" s="279" t="s">
        <v>975</v>
      </c>
      <c r="E2569" s="240">
        <v>43340.0</v>
      </c>
      <c r="F2569" s="13" t="str">
        <f t="shared" si="212"/>
        <v>Aug-2018</v>
      </c>
      <c r="G2569" s="101" t="s">
        <v>32</v>
      </c>
      <c r="H2569" s="15" t="s">
        <v>35</v>
      </c>
      <c r="I2569" s="16" t="s">
        <v>976</v>
      </c>
      <c r="J2569" s="16" t="s">
        <v>48</v>
      </c>
      <c r="K2569" s="16" t="s">
        <v>9</v>
      </c>
      <c r="L2569" s="16" t="s">
        <v>30</v>
      </c>
      <c r="M2569" s="16"/>
      <c r="N2569" s="16" t="s">
        <v>106</v>
      </c>
      <c r="O2569" s="101"/>
      <c r="P2569" s="101"/>
      <c r="Q2569" s="102"/>
    </row>
    <row r="2570">
      <c r="A2570" s="140"/>
      <c r="B2570" s="134" t="s">
        <v>433</v>
      </c>
      <c r="C2570" s="134" t="s">
        <v>74</v>
      </c>
      <c r="D2570" s="279" t="s">
        <v>975</v>
      </c>
      <c r="E2570" s="240">
        <v>43340.0</v>
      </c>
      <c r="F2570" s="13" t="str">
        <f t="shared" si="212"/>
        <v>Aug-2018</v>
      </c>
      <c r="G2570" s="264" t="s">
        <v>146</v>
      </c>
      <c r="H2570" s="24" t="s">
        <v>35</v>
      </c>
      <c r="I2570" s="25" t="s">
        <v>978</v>
      </c>
      <c r="J2570" s="25" t="s">
        <v>23</v>
      </c>
      <c r="K2570" s="25" t="s">
        <v>9</v>
      </c>
      <c r="L2570" s="25" t="s">
        <v>24</v>
      </c>
      <c r="M2570" s="25" t="s">
        <v>30</v>
      </c>
      <c r="N2570" s="25" t="s">
        <v>37</v>
      </c>
      <c r="Q2570" s="99"/>
    </row>
    <row r="2571">
      <c r="A2571" s="140"/>
      <c r="B2571" s="134" t="s">
        <v>433</v>
      </c>
      <c r="C2571" s="134" t="s">
        <v>74</v>
      </c>
      <c r="D2571" s="279" t="s">
        <v>975</v>
      </c>
      <c r="E2571" s="240">
        <v>43340.0</v>
      </c>
      <c r="F2571" s="13" t="str">
        <f t="shared" si="212"/>
        <v>Aug-2018</v>
      </c>
      <c r="G2571" s="264" t="s">
        <v>149</v>
      </c>
      <c r="H2571" s="24" t="s">
        <v>35</v>
      </c>
      <c r="I2571" s="25" t="s">
        <v>978</v>
      </c>
      <c r="J2571" s="25" t="s">
        <v>23</v>
      </c>
      <c r="K2571" s="25" t="s">
        <v>9</v>
      </c>
      <c r="L2571" s="25" t="s">
        <v>30</v>
      </c>
      <c r="M2571" s="25"/>
      <c r="N2571" s="25" t="s">
        <v>29</v>
      </c>
      <c r="Q2571" s="99"/>
    </row>
    <row r="2572">
      <c r="A2572" s="140"/>
      <c r="B2572" s="134" t="s">
        <v>433</v>
      </c>
      <c r="C2572" s="134" t="s">
        <v>74</v>
      </c>
      <c r="D2572" s="279" t="s">
        <v>975</v>
      </c>
      <c r="E2572" s="240">
        <v>43340.0</v>
      </c>
      <c r="F2572" s="13" t="str">
        <f t="shared" si="212"/>
        <v>Aug-2018</v>
      </c>
      <c r="G2572" s="264" t="s">
        <v>222</v>
      </c>
      <c r="H2572" s="24" t="s">
        <v>35</v>
      </c>
      <c r="I2572" s="25" t="s">
        <v>978</v>
      </c>
      <c r="J2572" s="25" t="s">
        <v>23</v>
      </c>
      <c r="K2572" s="25" t="s">
        <v>9</v>
      </c>
      <c r="L2572" s="25" t="s">
        <v>30</v>
      </c>
      <c r="M2572" s="25"/>
      <c r="N2572" s="25" t="s">
        <v>98</v>
      </c>
      <c r="Q2572" s="99"/>
    </row>
    <row r="2573">
      <c r="A2573" s="140"/>
      <c r="B2573" s="134" t="s">
        <v>433</v>
      </c>
      <c r="C2573" s="134" t="s">
        <v>74</v>
      </c>
      <c r="D2573" s="279" t="s">
        <v>975</v>
      </c>
      <c r="E2573" s="240">
        <v>43340.0</v>
      </c>
      <c r="F2573" s="13" t="str">
        <f t="shared" si="212"/>
        <v>Aug-2018</v>
      </c>
      <c r="G2573" s="264" t="s">
        <v>467</v>
      </c>
      <c r="H2573" s="24" t="s">
        <v>35</v>
      </c>
      <c r="I2573" s="25" t="s">
        <v>978</v>
      </c>
      <c r="J2573" s="25" t="s">
        <v>23</v>
      </c>
      <c r="K2573" s="25" t="s">
        <v>9</v>
      </c>
      <c r="L2573" s="25" t="s">
        <v>30</v>
      </c>
      <c r="M2573" s="25"/>
      <c r="N2573" s="25" t="s">
        <v>98</v>
      </c>
      <c r="Q2573" s="99"/>
    </row>
    <row r="2574">
      <c r="A2574" s="140"/>
      <c r="B2574" s="134" t="s">
        <v>433</v>
      </c>
      <c r="C2574" s="134" t="s">
        <v>74</v>
      </c>
      <c r="D2574" s="279" t="s">
        <v>975</v>
      </c>
      <c r="E2574" s="240">
        <v>43340.0</v>
      </c>
      <c r="F2574" s="13" t="str">
        <f t="shared" si="212"/>
        <v>Aug-2018</v>
      </c>
      <c r="G2574" s="263" t="s">
        <v>146</v>
      </c>
      <c r="H2574" s="15" t="s">
        <v>35</v>
      </c>
      <c r="I2574" s="16" t="s">
        <v>218</v>
      </c>
      <c r="J2574" s="16" t="s">
        <v>86</v>
      </c>
      <c r="K2574" s="16" t="s">
        <v>9</v>
      </c>
      <c r="L2574" s="16" t="s">
        <v>24</v>
      </c>
      <c r="M2574" s="16" t="s">
        <v>30</v>
      </c>
      <c r="N2574" s="16" t="s">
        <v>29</v>
      </c>
      <c r="O2574" s="101"/>
      <c r="P2574" s="101"/>
      <c r="Q2574" s="102"/>
    </row>
    <row r="2575">
      <c r="A2575" s="140"/>
      <c r="B2575" s="134" t="s">
        <v>433</v>
      </c>
      <c r="C2575" s="134" t="s">
        <v>74</v>
      </c>
      <c r="D2575" s="279" t="s">
        <v>975</v>
      </c>
      <c r="E2575" s="240">
        <v>43340.0</v>
      </c>
      <c r="F2575" s="13" t="str">
        <f t="shared" si="212"/>
        <v>Aug-2018</v>
      </c>
      <c r="G2575" s="263" t="s">
        <v>149</v>
      </c>
      <c r="H2575" s="15" t="s">
        <v>35</v>
      </c>
      <c r="I2575" s="16" t="s">
        <v>218</v>
      </c>
      <c r="J2575" s="16" t="s">
        <v>86</v>
      </c>
      <c r="K2575" s="16" t="s">
        <v>9</v>
      </c>
      <c r="L2575" s="16" t="s">
        <v>30</v>
      </c>
      <c r="M2575" s="16"/>
      <c r="N2575" s="16" t="s">
        <v>69</v>
      </c>
      <c r="O2575" s="101"/>
      <c r="P2575" s="101"/>
      <c r="Q2575" s="102"/>
    </row>
    <row r="2576">
      <c r="A2576" s="140"/>
      <c r="B2576" s="134" t="s">
        <v>433</v>
      </c>
      <c r="C2576" s="134" t="s">
        <v>74</v>
      </c>
      <c r="D2576" s="279" t="s">
        <v>975</v>
      </c>
      <c r="E2576" s="240">
        <v>43340.0</v>
      </c>
      <c r="F2576" s="13" t="str">
        <f t="shared" si="212"/>
        <v>Aug-2018</v>
      </c>
      <c r="G2576" s="263" t="s">
        <v>222</v>
      </c>
      <c r="H2576" s="15" t="s">
        <v>35</v>
      </c>
      <c r="I2576" s="16" t="s">
        <v>218</v>
      </c>
      <c r="J2576" s="16" t="s">
        <v>86</v>
      </c>
      <c r="K2576" s="16" t="s">
        <v>9</v>
      </c>
      <c r="L2576" s="16" t="s">
        <v>24</v>
      </c>
      <c r="M2576" s="16"/>
      <c r="N2576" s="16" t="s">
        <v>98</v>
      </c>
      <c r="O2576" s="101"/>
      <c r="P2576" s="101"/>
      <c r="Q2576" s="102"/>
    </row>
    <row r="2577">
      <c r="A2577" s="140"/>
      <c r="B2577" s="134" t="s">
        <v>433</v>
      </c>
      <c r="C2577" s="134" t="s">
        <v>74</v>
      </c>
      <c r="D2577" s="279" t="s">
        <v>975</v>
      </c>
      <c r="E2577" s="240">
        <v>43340.0</v>
      </c>
      <c r="F2577" s="13" t="str">
        <f t="shared" si="212"/>
        <v>Aug-2018</v>
      </c>
      <c r="G2577" s="263" t="s">
        <v>467</v>
      </c>
      <c r="H2577" s="15" t="s">
        <v>35</v>
      </c>
      <c r="I2577" s="16" t="s">
        <v>218</v>
      </c>
      <c r="J2577" s="16" t="s">
        <v>86</v>
      </c>
      <c r="K2577" s="16" t="s">
        <v>9</v>
      </c>
      <c r="L2577" s="16" t="s">
        <v>30</v>
      </c>
      <c r="M2577" s="16"/>
      <c r="N2577" s="16" t="s">
        <v>29</v>
      </c>
      <c r="O2577" s="101"/>
      <c r="P2577" s="101"/>
      <c r="Q2577" s="102"/>
    </row>
    <row r="2578">
      <c r="A2578" s="140"/>
      <c r="B2578" s="134" t="s">
        <v>433</v>
      </c>
      <c r="C2578" s="134" t="s">
        <v>74</v>
      </c>
      <c r="D2578" s="279" t="s">
        <v>975</v>
      </c>
      <c r="E2578" s="240">
        <v>43340.0</v>
      </c>
      <c r="F2578" s="13" t="str">
        <f t="shared" si="212"/>
        <v>Aug-2018</v>
      </c>
      <c r="G2578" s="263" t="s">
        <v>480</v>
      </c>
      <c r="H2578" s="15" t="s">
        <v>35</v>
      </c>
      <c r="I2578" s="16" t="s">
        <v>218</v>
      </c>
      <c r="J2578" s="16" t="s">
        <v>86</v>
      </c>
      <c r="K2578" s="16" t="s">
        <v>9</v>
      </c>
      <c r="L2578" s="16" t="s">
        <v>30</v>
      </c>
      <c r="M2578" s="16"/>
      <c r="N2578" s="16" t="s">
        <v>37</v>
      </c>
      <c r="O2578" s="101"/>
      <c r="P2578" s="101"/>
      <c r="Q2578" s="102"/>
    </row>
    <row r="2579">
      <c r="A2579" s="140"/>
      <c r="B2579" s="134" t="s">
        <v>433</v>
      </c>
      <c r="C2579" s="134" t="s">
        <v>74</v>
      </c>
      <c r="D2579" s="279" t="s">
        <v>975</v>
      </c>
      <c r="E2579" s="240">
        <v>43340.0</v>
      </c>
      <c r="F2579" s="13" t="str">
        <f t="shared" si="212"/>
        <v>Aug-2018</v>
      </c>
      <c r="G2579" s="32" t="s">
        <v>146</v>
      </c>
      <c r="H2579" s="24" t="s">
        <v>35</v>
      </c>
      <c r="I2579" s="25" t="s">
        <v>148</v>
      </c>
      <c r="J2579" s="25" t="s">
        <v>27</v>
      </c>
      <c r="K2579" s="25" t="s">
        <v>9</v>
      </c>
      <c r="L2579" s="25" t="s">
        <v>30</v>
      </c>
      <c r="M2579" s="25" t="s">
        <v>30</v>
      </c>
      <c r="N2579" s="25" t="s">
        <v>37</v>
      </c>
      <c r="Q2579" s="99"/>
    </row>
    <row r="2580">
      <c r="A2580" s="140"/>
      <c r="B2580" s="134" t="s">
        <v>433</v>
      </c>
      <c r="C2580" s="134" t="s">
        <v>74</v>
      </c>
      <c r="D2580" s="279" t="s">
        <v>975</v>
      </c>
      <c r="E2580" s="240">
        <v>43340.0</v>
      </c>
      <c r="F2580" s="13" t="str">
        <f t="shared" si="212"/>
        <v>Aug-2018</v>
      </c>
      <c r="G2580" s="32" t="s">
        <v>149</v>
      </c>
      <c r="H2580" s="24" t="s">
        <v>35</v>
      </c>
      <c r="I2580" s="25" t="s">
        <v>148</v>
      </c>
      <c r="J2580" s="25" t="s">
        <v>27</v>
      </c>
      <c r="K2580" s="25" t="s">
        <v>9</v>
      </c>
      <c r="L2580" s="25" t="s">
        <v>30</v>
      </c>
      <c r="M2580" s="25"/>
      <c r="N2580" s="25" t="s">
        <v>37</v>
      </c>
      <c r="Q2580" s="99"/>
    </row>
    <row r="2581">
      <c r="A2581" s="140"/>
      <c r="B2581" s="134" t="s">
        <v>433</v>
      </c>
      <c r="C2581" s="134" t="s">
        <v>74</v>
      </c>
      <c r="D2581" s="279" t="s">
        <v>975</v>
      </c>
      <c r="E2581" s="240">
        <v>43340.0</v>
      </c>
      <c r="F2581" s="13" t="str">
        <f t="shared" si="212"/>
        <v>Aug-2018</v>
      </c>
      <c r="G2581" s="32" t="s">
        <v>222</v>
      </c>
      <c r="H2581" s="24" t="s">
        <v>35</v>
      </c>
      <c r="I2581" s="25" t="s">
        <v>148</v>
      </c>
      <c r="J2581" s="25" t="s">
        <v>27</v>
      </c>
      <c r="K2581" s="25" t="s">
        <v>9</v>
      </c>
      <c r="L2581" s="25" t="s">
        <v>24</v>
      </c>
      <c r="M2581" s="25"/>
      <c r="N2581" s="25" t="s">
        <v>106</v>
      </c>
      <c r="Q2581" s="99"/>
    </row>
    <row r="2582">
      <c r="A2582" s="140"/>
      <c r="B2582" s="134" t="s">
        <v>433</v>
      </c>
      <c r="C2582" s="134" t="s">
        <v>74</v>
      </c>
      <c r="D2582" s="279" t="s">
        <v>975</v>
      </c>
      <c r="E2582" s="240">
        <v>43340.0</v>
      </c>
      <c r="F2582" s="13" t="str">
        <f t="shared" si="212"/>
        <v>Aug-2018</v>
      </c>
      <c r="G2582" s="32" t="s">
        <v>467</v>
      </c>
      <c r="H2582" s="24" t="s">
        <v>35</v>
      </c>
      <c r="I2582" s="25" t="s">
        <v>148</v>
      </c>
      <c r="J2582" s="25" t="s">
        <v>27</v>
      </c>
      <c r="K2582" s="25" t="s">
        <v>9</v>
      </c>
      <c r="L2582" s="25" t="s">
        <v>24</v>
      </c>
      <c r="M2582" s="25"/>
      <c r="N2582" s="25" t="s">
        <v>98</v>
      </c>
      <c r="Q2582" s="99"/>
    </row>
    <row r="2583">
      <c r="A2583" s="140"/>
      <c r="B2583" s="134" t="s">
        <v>433</v>
      </c>
      <c r="C2583" s="134" t="s">
        <v>74</v>
      </c>
      <c r="D2583" s="279" t="s">
        <v>975</v>
      </c>
      <c r="E2583" s="240">
        <v>43340.0</v>
      </c>
      <c r="F2583" s="13" t="str">
        <f t="shared" si="212"/>
        <v>Aug-2018</v>
      </c>
      <c r="G2583" s="32" t="s">
        <v>480</v>
      </c>
      <c r="H2583" s="24" t="s">
        <v>35</v>
      </c>
      <c r="I2583" s="25" t="s">
        <v>148</v>
      </c>
      <c r="J2583" s="25" t="s">
        <v>27</v>
      </c>
      <c r="K2583" s="25" t="s">
        <v>9</v>
      </c>
      <c r="L2583" s="25" t="s">
        <v>30</v>
      </c>
      <c r="M2583" s="25"/>
      <c r="N2583" s="25" t="s">
        <v>98</v>
      </c>
      <c r="Q2583" s="99"/>
    </row>
    <row r="2584">
      <c r="A2584" s="140"/>
      <c r="B2584" s="134" t="s">
        <v>433</v>
      </c>
      <c r="C2584" s="134" t="s">
        <v>74</v>
      </c>
      <c r="D2584" s="279" t="s">
        <v>975</v>
      </c>
      <c r="E2584" s="240">
        <v>43340.0</v>
      </c>
      <c r="F2584" s="13" t="str">
        <f t="shared" si="212"/>
        <v>Aug-2018</v>
      </c>
      <c r="G2584" s="19" t="s">
        <v>146</v>
      </c>
      <c r="H2584" s="15" t="s">
        <v>35</v>
      </c>
      <c r="I2584" s="16" t="s">
        <v>452</v>
      </c>
      <c r="J2584" s="16" t="s">
        <v>27</v>
      </c>
      <c r="K2584" s="16" t="s">
        <v>9</v>
      </c>
      <c r="L2584" s="16" t="s">
        <v>30</v>
      </c>
      <c r="M2584" s="16" t="s">
        <v>24</v>
      </c>
      <c r="N2584" s="16" t="s">
        <v>37</v>
      </c>
      <c r="O2584" s="101"/>
      <c r="P2584" s="101"/>
      <c r="Q2584" s="102"/>
    </row>
    <row r="2585">
      <c r="A2585" s="140"/>
      <c r="B2585" s="134" t="s">
        <v>433</v>
      </c>
      <c r="C2585" s="134" t="s">
        <v>74</v>
      </c>
      <c r="D2585" s="279" t="s">
        <v>975</v>
      </c>
      <c r="E2585" s="240">
        <v>43340.0</v>
      </c>
      <c r="F2585" s="13" t="str">
        <f t="shared" si="212"/>
        <v>Aug-2018</v>
      </c>
      <c r="G2585" s="19" t="s">
        <v>149</v>
      </c>
      <c r="H2585" s="15" t="s">
        <v>35</v>
      </c>
      <c r="I2585" s="16" t="s">
        <v>452</v>
      </c>
      <c r="J2585" s="16" t="s">
        <v>27</v>
      </c>
      <c r="K2585" s="16" t="s">
        <v>9</v>
      </c>
      <c r="L2585" s="16" t="s">
        <v>24</v>
      </c>
      <c r="M2585" s="16"/>
      <c r="N2585" s="16" t="s">
        <v>99</v>
      </c>
      <c r="O2585" s="101"/>
      <c r="P2585" s="101"/>
      <c r="Q2585" s="102"/>
    </row>
    <row r="2586">
      <c r="A2586" s="140"/>
      <c r="B2586" s="134" t="s">
        <v>433</v>
      </c>
      <c r="C2586" s="134" t="s">
        <v>74</v>
      </c>
      <c r="D2586" s="279" t="s">
        <v>975</v>
      </c>
      <c r="E2586" s="240">
        <v>43340.0</v>
      </c>
      <c r="F2586" s="13" t="str">
        <f t="shared" si="212"/>
        <v>Aug-2018</v>
      </c>
      <c r="G2586" s="19" t="s">
        <v>222</v>
      </c>
      <c r="H2586" s="15" t="s">
        <v>35</v>
      </c>
      <c r="I2586" s="16" t="s">
        <v>452</v>
      </c>
      <c r="J2586" s="16" t="s">
        <v>27</v>
      </c>
      <c r="K2586" s="16" t="s">
        <v>9</v>
      </c>
      <c r="L2586" s="16" t="s">
        <v>24</v>
      </c>
      <c r="M2586" s="16"/>
      <c r="N2586" s="16" t="s">
        <v>98</v>
      </c>
      <c r="O2586" s="101"/>
      <c r="P2586" s="101"/>
      <c r="Q2586" s="102"/>
    </row>
    <row r="2587">
      <c r="A2587" s="141"/>
      <c r="B2587" s="134" t="s">
        <v>433</v>
      </c>
      <c r="C2587" s="134" t="s">
        <v>74</v>
      </c>
      <c r="D2587" s="280" t="s">
        <v>975</v>
      </c>
      <c r="E2587" s="241">
        <v>43340.0</v>
      </c>
      <c r="F2587" s="35" t="str">
        <f t="shared" si="212"/>
        <v>Aug-2018</v>
      </c>
      <c r="G2587" s="39" t="s">
        <v>467</v>
      </c>
      <c r="H2587" s="37" t="s">
        <v>35</v>
      </c>
      <c r="I2587" s="38" t="s">
        <v>452</v>
      </c>
      <c r="J2587" s="38" t="s">
        <v>27</v>
      </c>
      <c r="K2587" s="38" t="s">
        <v>9</v>
      </c>
      <c r="L2587" s="38" t="s">
        <v>24</v>
      </c>
      <c r="M2587" s="38"/>
      <c r="N2587" s="38" t="s">
        <v>98</v>
      </c>
      <c r="O2587" s="105"/>
      <c r="P2587" s="105"/>
      <c r="Q2587" s="106"/>
    </row>
    <row r="2588">
      <c r="A2588" s="94"/>
      <c r="G2588" s="32"/>
    </row>
    <row r="2589">
      <c r="A2589" s="133" t="s">
        <v>979</v>
      </c>
      <c r="B2589" s="134" t="s">
        <v>18</v>
      </c>
      <c r="C2589" s="134" t="s">
        <v>74</v>
      </c>
      <c r="D2589" s="278" t="s">
        <v>979</v>
      </c>
      <c r="E2589" s="281">
        <v>43343.0</v>
      </c>
      <c r="F2589" s="70" t="str">
        <f t="shared" ref="F2589:F2604" si="213">TEXT(E2581:E2589, "mmm") &amp; "-" &amp; TEXT(E2581:E2589, "yyyy") </f>
        <v>Aug-2018</v>
      </c>
      <c r="G2589" s="221" t="s">
        <v>20</v>
      </c>
      <c r="H2589" s="282" t="s">
        <v>35</v>
      </c>
      <c r="I2589" s="218" t="s">
        <v>980</v>
      </c>
      <c r="J2589" s="218" t="s">
        <v>9</v>
      </c>
      <c r="K2589" s="218" t="s">
        <v>9</v>
      </c>
      <c r="L2589" s="218" t="s">
        <v>30</v>
      </c>
      <c r="M2589" s="218" t="s">
        <v>30</v>
      </c>
      <c r="N2589" s="218" t="s">
        <v>69</v>
      </c>
      <c r="O2589" s="221"/>
      <c r="P2589" s="221"/>
      <c r="Q2589" s="222"/>
    </row>
    <row r="2590">
      <c r="A2590" s="134" t="s">
        <v>18</v>
      </c>
      <c r="B2590" s="134" t="s">
        <v>18</v>
      </c>
      <c r="C2590" s="134" t="s">
        <v>74</v>
      </c>
      <c r="D2590" s="279" t="s">
        <v>979</v>
      </c>
      <c r="E2590" s="283">
        <v>43343.0</v>
      </c>
      <c r="F2590" s="21" t="str">
        <f t="shared" si="213"/>
        <v>Aug-2018</v>
      </c>
      <c r="G2590" s="174" t="s">
        <v>25</v>
      </c>
      <c r="H2590" s="284" t="s">
        <v>35</v>
      </c>
      <c r="I2590" s="119" t="s">
        <v>980</v>
      </c>
      <c r="J2590" s="119" t="s">
        <v>64</v>
      </c>
      <c r="K2590" s="119" t="s">
        <v>9</v>
      </c>
      <c r="L2590" s="119" t="s">
        <v>30</v>
      </c>
      <c r="M2590" s="119"/>
      <c r="N2590" s="119" t="s">
        <v>37</v>
      </c>
      <c r="O2590" s="174"/>
      <c r="P2590" s="174"/>
      <c r="Q2590" s="175"/>
    </row>
    <row r="2591">
      <c r="A2591" s="134" t="s">
        <v>638</v>
      </c>
      <c r="B2591" s="134" t="s">
        <v>18</v>
      </c>
      <c r="C2591" s="134" t="s">
        <v>74</v>
      </c>
      <c r="D2591" s="279" t="s">
        <v>979</v>
      </c>
      <c r="E2591" s="283">
        <v>43343.0</v>
      </c>
      <c r="F2591" s="21" t="str">
        <f t="shared" si="213"/>
        <v>Aug-2018</v>
      </c>
      <c r="G2591" s="101" t="s">
        <v>20</v>
      </c>
      <c r="H2591" s="15" t="s">
        <v>35</v>
      </c>
      <c r="I2591" s="16" t="s">
        <v>302</v>
      </c>
      <c r="J2591" s="16" t="s">
        <v>27</v>
      </c>
      <c r="K2591" s="16" t="s">
        <v>9</v>
      </c>
      <c r="L2591" s="16" t="s">
        <v>30</v>
      </c>
      <c r="M2591" s="16" t="s">
        <v>30</v>
      </c>
      <c r="N2591" s="16" t="s">
        <v>69</v>
      </c>
      <c r="O2591" s="101"/>
      <c r="P2591" s="101"/>
      <c r="Q2591" s="102"/>
    </row>
    <row r="2592">
      <c r="A2592" s="155">
        <v>43343.0</v>
      </c>
      <c r="B2592" s="134" t="s">
        <v>18</v>
      </c>
      <c r="C2592" s="134" t="s">
        <v>74</v>
      </c>
      <c r="D2592" s="279" t="s">
        <v>979</v>
      </c>
      <c r="E2592" s="283">
        <v>43343.0</v>
      </c>
      <c r="F2592" s="21" t="str">
        <f t="shared" si="213"/>
        <v>Aug-2018</v>
      </c>
      <c r="G2592" s="101" t="s">
        <v>25</v>
      </c>
      <c r="H2592" s="15" t="s">
        <v>35</v>
      </c>
      <c r="I2592" s="16" t="s">
        <v>302</v>
      </c>
      <c r="J2592" s="16" t="s">
        <v>27</v>
      </c>
      <c r="K2592" s="16" t="s">
        <v>9</v>
      </c>
      <c r="L2592" s="16" t="s">
        <v>30</v>
      </c>
      <c r="M2592" s="16"/>
      <c r="N2592" s="16" t="s">
        <v>106</v>
      </c>
      <c r="O2592" s="101"/>
      <c r="P2592" s="101"/>
      <c r="Q2592" s="102"/>
    </row>
    <row r="2593">
      <c r="A2593" s="176" t="s">
        <v>981</v>
      </c>
      <c r="B2593" s="134" t="s">
        <v>18</v>
      </c>
      <c r="C2593" s="134" t="s">
        <v>74</v>
      </c>
      <c r="D2593" s="279" t="s">
        <v>979</v>
      </c>
      <c r="E2593" s="283">
        <v>43343.0</v>
      </c>
      <c r="F2593" s="21" t="str">
        <f t="shared" si="213"/>
        <v>Aug-2018</v>
      </c>
      <c r="G2593" s="127" t="s">
        <v>20</v>
      </c>
      <c r="H2593" s="284" t="s">
        <v>35</v>
      </c>
      <c r="I2593" s="119" t="s">
        <v>607</v>
      </c>
      <c r="J2593" s="119" t="s">
        <v>44</v>
      </c>
      <c r="K2593" s="119" t="s">
        <v>9</v>
      </c>
      <c r="L2593" s="119" t="s">
        <v>30</v>
      </c>
      <c r="M2593" s="119" t="s">
        <v>24</v>
      </c>
      <c r="N2593" s="119" t="s">
        <v>99</v>
      </c>
      <c r="O2593" s="174"/>
      <c r="P2593" s="174"/>
      <c r="Q2593" s="175"/>
    </row>
    <row r="2594">
      <c r="A2594" s="134" t="s">
        <v>74</v>
      </c>
      <c r="B2594" s="134" t="s">
        <v>18</v>
      </c>
      <c r="C2594" s="134" t="s">
        <v>74</v>
      </c>
      <c r="D2594" s="279" t="s">
        <v>979</v>
      </c>
      <c r="E2594" s="283">
        <v>43343.0</v>
      </c>
      <c r="F2594" s="21" t="str">
        <f t="shared" si="213"/>
        <v>Aug-2018</v>
      </c>
      <c r="G2594" s="127" t="s">
        <v>25</v>
      </c>
      <c r="H2594" s="284" t="s">
        <v>35</v>
      </c>
      <c r="I2594" s="119" t="s">
        <v>607</v>
      </c>
      <c r="J2594" s="119" t="s">
        <v>44</v>
      </c>
      <c r="K2594" s="119" t="s">
        <v>9</v>
      </c>
      <c r="L2594" s="119" t="s">
        <v>24</v>
      </c>
      <c r="M2594" s="119"/>
      <c r="N2594" s="119" t="s">
        <v>98</v>
      </c>
      <c r="O2594" s="174"/>
      <c r="P2594" s="174"/>
      <c r="Q2594" s="175"/>
    </row>
    <row r="2595">
      <c r="A2595" s="134" t="s">
        <v>982</v>
      </c>
      <c r="B2595" s="134" t="s">
        <v>18</v>
      </c>
      <c r="C2595" s="134" t="s">
        <v>74</v>
      </c>
      <c r="D2595" s="279" t="s">
        <v>979</v>
      </c>
      <c r="E2595" s="283">
        <v>43343.0</v>
      </c>
      <c r="F2595" s="21" t="str">
        <f t="shared" si="213"/>
        <v>Aug-2018</v>
      </c>
      <c r="G2595" s="127" t="s">
        <v>32</v>
      </c>
      <c r="H2595" s="284" t="s">
        <v>35</v>
      </c>
      <c r="I2595" s="119" t="s">
        <v>607</v>
      </c>
      <c r="J2595" s="119" t="s">
        <v>44</v>
      </c>
      <c r="K2595" s="119" t="s">
        <v>9</v>
      </c>
      <c r="L2595" s="119" t="s">
        <v>24</v>
      </c>
      <c r="M2595" s="119"/>
      <c r="N2595" s="119" t="s">
        <v>106</v>
      </c>
      <c r="O2595" s="174"/>
      <c r="P2595" s="174"/>
      <c r="Q2595" s="175"/>
    </row>
    <row r="2596">
      <c r="A2596" s="176" t="s">
        <v>983</v>
      </c>
      <c r="B2596" s="134" t="s">
        <v>18</v>
      </c>
      <c r="C2596" s="134" t="s">
        <v>74</v>
      </c>
      <c r="D2596" s="279" t="s">
        <v>979</v>
      </c>
      <c r="E2596" s="283">
        <v>43343.0</v>
      </c>
      <c r="F2596" s="21" t="str">
        <f t="shared" si="213"/>
        <v>Aug-2018</v>
      </c>
      <c r="G2596" s="19" t="s">
        <v>20</v>
      </c>
      <c r="H2596" s="15" t="s">
        <v>35</v>
      </c>
      <c r="I2596" s="16" t="s">
        <v>842</v>
      </c>
      <c r="J2596" s="16" t="s">
        <v>71</v>
      </c>
      <c r="K2596" s="16" t="s">
        <v>9</v>
      </c>
      <c r="L2596" s="16" t="s">
        <v>30</v>
      </c>
      <c r="M2596" s="16" t="s">
        <v>30</v>
      </c>
      <c r="N2596" s="16" t="s">
        <v>99</v>
      </c>
      <c r="O2596" s="101"/>
      <c r="P2596" s="101"/>
      <c r="Q2596" s="102"/>
    </row>
    <row r="2597">
      <c r="A2597" s="140"/>
      <c r="B2597" s="134" t="s">
        <v>18</v>
      </c>
      <c r="C2597" s="134" t="s">
        <v>74</v>
      </c>
      <c r="D2597" s="279" t="s">
        <v>979</v>
      </c>
      <c r="E2597" s="283">
        <v>43343.0</v>
      </c>
      <c r="F2597" s="21" t="str">
        <f t="shared" si="213"/>
        <v>Aug-2018</v>
      </c>
      <c r="G2597" s="19" t="s">
        <v>25</v>
      </c>
      <c r="H2597" s="15" t="s">
        <v>35</v>
      </c>
      <c r="I2597" s="16" t="s">
        <v>842</v>
      </c>
      <c r="J2597" s="16" t="s">
        <v>71</v>
      </c>
      <c r="K2597" s="16" t="s">
        <v>9</v>
      </c>
      <c r="L2597" s="16" t="s">
        <v>30</v>
      </c>
      <c r="M2597" s="16"/>
      <c r="N2597" s="16" t="s">
        <v>69</v>
      </c>
      <c r="O2597" s="101"/>
      <c r="P2597" s="101"/>
      <c r="Q2597" s="102"/>
    </row>
    <row r="2598">
      <c r="A2598" s="140"/>
      <c r="B2598" s="134" t="s">
        <v>18</v>
      </c>
      <c r="C2598" s="134" t="s">
        <v>74</v>
      </c>
      <c r="D2598" s="279" t="s">
        <v>979</v>
      </c>
      <c r="E2598" s="283">
        <v>43343.0</v>
      </c>
      <c r="F2598" s="21" t="str">
        <f t="shared" si="213"/>
        <v>Aug-2018</v>
      </c>
      <c r="G2598" s="285" t="s">
        <v>146</v>
      </c>
      <c r="H2598" s="284" t="s">
        <v>35</v>
      </c>
      <c r="I2598" s="119" t="s">
        <v>793</v>
      </c>
      <c r="J2598" s="119" t="s">
        <v>71</v>
      </c>
      <c r="K2598" s="119" t="s">
        <v>9</v>
      </c>
      <c r="L2598" s="119" t="s">
        <v>30</v>
      </c>
      <c r="M2598" s="119" t="s">
        <v>30</v>
      </c>
      <c r="N2598" s="119" t="s">
        <v>99</v>
      </c>
      <c r="O2598" s="174"/>
      <c r="P2598" s="174"/>
      <c r="Q2598" s="175"/>
    </row>
    <row r="2599">
      <c r="A2599" s="140"/>
      <c r="B2599" s="134" t="s">
        <v>18</v>
      </c>
      <c r="C2599" s="134" t="s">
        <v>74</v>
      </c>
      <c r="D2599" s="279" t="s">
        <v>979</v>
      </c>
      <c r="E2599" s="283">
        <v>43343.0</v>
      </c>
      <c r="F2599" s="21" t="str">
        <f t="shared" si="213"/>
        <v>Aug-2018</v>
      </c>
      <c r="G2599" s="285" t="s">
        <v>149</v>
      </c>
      <c r="H2599" s="284" t="s">
        <v>35</v>
      </c>
      <c r="I2599" s="119" t="s">
        <v>793</v>
      </c>
      <c r="J2599" s="119" t="s">
        <v>71</v>
      </c>
      <c r="K2599" s="119" t="s">
        <v>9</v>
      </c>
      <c r="L2599" s="119" t="s">
        <v>30</v>
      </c>
      <c r="M2599" s="119"/>
      <c r="N2599" s="119" t="s">
        <v>29</v>
      </c>
      <c r="O2599" s="174"/>
      <c r="P2599" s="174"/>
      <c r="Q2599" s="175"/>
    </row>
    <row r="2600">
      <c r="A2600" s="140"/>
      <c r="B2600" s="134" t="s">
        <v>18</v>
      </c>
      <c r="C2600" s="134" t="s">
        <v>74</v>
      </c>
      <c r="D2600" s="279" t="s">
        <v>979</v>
      </c>
      <c r="E2600" s="283">
        <v>43343.0</v>
      </c>
      <c r="F2600" s="21" t="str">
        <f t="shared" si="213"/>
        <v>Aug-2018</v>
      </c>
      <c r="G2600" s="285" t="s">
        <v>222</v>
      </c>
      <c r="H2600" s="284" t="s">
        <v>35</v>
      </c>
      <c r="I2600" s="119" t="s">
        <v>793</v>
      </c>
      <c r="J2600" s="119" t="s">
        <v>71</v>
      </c>
      <c r="K2600" s="119" t="s">
        <v>9</v>
      </c>
      <c r="L2600" s="119" t="s">
        <v>30</v>
      </c>
      <c r="M2600" s="119"/>
      <c r="N2600" s="119" t="s">
        <v>37</v>
      </c>
      <c r="O2600" s="174"/>
      <c r="P2600" s="174"/>
      <c r="Q2600" s="175"/>
    </row>
    <row r="2601">
      <c r="A2601" s="140"/>
      <c r="B2601" s="134" t="s">
        <v>18</v>
      </c>
      <c r="C2601" s="134" t="s">
        <v>74</v>
      </c>
      <c r="D2601" s="279" t="s">
        <v>979</v>
      </c>
      <c r="E2601" s="283">
        <v>43343.0</v>
      </c>
      <c r="F2601" s="21" t="str">
        <f t="shared" si="213"/>
        <v>Aug-2018</v>
      </c>
      <c r="G2601" s="263" t="s">
        <v>146</v>
      </c>
      <c r="H2601" s="15" t="s">
        <v>35</v>
      </c>
      <c r="I2601" s="16" t="s">
        <v>111</v>
      </c>
      <c r="J2601" s="16" t="s">
        <v>216</v>
      </c>
      <c r="K2601" s="16" t="s">
        <v>9</v>
      </c>
      <c r="L2601" s="16" t="s">
        <v>24</v>
      </c>
      <c r="M2601" s="16" t="s">
        <v>24</v>
      </c>
      <c r="N2601" s="16" t="s">
        <v>98</v>
      </c>
      <c r="O2601" s="101"/>
      <c r="P2601" s="101"/>
      <c r="Q2601" s="102"/>
    </row>
    <row r="2602">
      <c r="A2602" s="140"/>
      <c r="B2602" s="134" t="s">
        <v>18</v>
      </c>
      <c r="C2602" s="134" t="s">
        <v>74</v>
      </c>
      <c r="D2602" s="279" t="s">
        <v>979</v>
      </c>
      <c r="E2602" s="283">
        <v>43343.0</v>
      </c>
      <c r="F2602" s="21" t="str">
        <f t="shared" si="213"/>
        <v>Aug-2018</v>
      </c>
      <c r="G2602" s="263" t="s">
        <v>149</v>
      </c>
      <c r="H2602" s="15" t="s">
        <v>35</v>
      </c>
      <c r="I2602" s="16" t="s">
        <v>111</v>
      </c>
      <c r="J2602" s="16" t="s">
        <v>216</v>
      </c>
      <c r="K2602" s="16" t="s">
        <v>9</v>
      </c>
      <c r="L2602" s="16" t="s">
        <v>30</v>
      </c>
      <c r="M2602" s="16"/>
      <c r="N2602" s="16" t="s">
        <v>69</v>
      </c>
      <c r="O2602" s="101"/>
      <c r="P2602" s="101"/>
      <c r="Q2602" s="102"/>
    </row>
    <row r="2603">
      <c r="A2603" s="140"/>
      <c r="B2603" s="134" t="s">
        <v>18</v>
      </c>
      <c r="C2603" s="134" t="s">
        <v>74</v>
      </c>
      <c r="D2603" s="279" t="s">
        <v>979</v>
      </c>
      <c r="E2603" s="283">
        <v>43343.0</v>
      </c>
      <c r="F2603" s="21" t="str">
        <f t="shared" si="213"/>
        <v>Aug-2018</v>
      </c>
      <c r="G2603" s="263" t="s">
        <v>222</v>
      </c>
      <c r="H2603" s="15" t="s">
        <v>35</v>
      </c>
      <c r="I2603" s="16" t="s">
        <v>111</v>
      </c>
      <c r="J2603" s="16" t="s">
        <v>216</v>
      </c>
      <c r="K2603" s="16" t="s">
        <v>9</v>
      </c>
      <c r="L2603" s="16" t="s">
        <v>24</v>
      </c>
      <c r="M2603" s="16"/>
      <c r="N2603" s="16" t="s">
        <v>37</v>
      </c>
      <c r="O2603" s="101"/>
      <c r="P2603" s="101"/>
      <c r="Q2603" s="102"/>
    </row>
    <row r="2604">
      <c r="A2604" s="141"/>
      <c r="B2604" s="134" t="s">
        <v>18</v>
      </c>
      <c r="C2604" s="134" t="s">
        <v>74</v>
      </c>
      <c r="D2604" s="280" t="s">
        <v>979</v>
      </c>
      <c r="E2604" s="286">
        <v>43343.0</v>
      </c>
      <c r="F2604" s="51" t="str">
        <f t="shared" si="213"/>
        <v>Aug-2018</v>
      </c>
      <c r="G2604" s="265" t="s">
        <v>467</v>
      </c>
      <c r="H2604" s="37" t="s">
        <v>35</v>
      </c>
      <c r="I2604" s="38" t="s">
        <v>111</v>
      </c>
      <c r="J2604" s="38" t="s">
        <v>216</v>
      </c>
      <c r="K2604" s="38" t="s">
        <v>9</v>
      </c>
      <c r="L2604" s="38" t="s">
        <v>24</v>
      </c>
      <c r="M2604" s="38"/>
      <c r="N2604" s="38" t="s">
        <v>106</v>
      </c>
      <c r="O2604" s="105"/>
      <c r="P2604" s="105"/>
      <c r="Q2604" s="106"/>
    </row>
    <row r="2605">
      <c r="A2605" s="94"/>
    </row>
    <row r="2606">
      <c r="A2606" s="133" t="s">
        <v>984</v>
      </c>
      <c r="B2606" s="134" t="s">
        <v>433</v>
      </c>
      <c r="C2606" s="134" t="s">
        <v>74</v>
      </c>
      <c r="D2606" s="278" t="s">
        <v>984</v>
      </c>
      <c r="E2606" s="239">
        <v>43346.0</v>
      </c>
      <c r="F2606" s="70" t="str">
        <f t="shared" ref="F2606:F2627" si="214">TEXT(E2598:E2606, "mmm") &amp; "-" &amp; TEXT(E2598:E2606, "yyyy") </f>
        <v>Sep-2018</v>
      </c>
      <c r="G2606" s="287" t="s">
        <v>20</v>
      </c>
      <c r="H2606" s="282" t="s">
        <v>35</v>
      </c>
      <c r="I2606" s="73" t="s">
        <v>985</v>
      </c>
      <c r="J2606" s="73" t="s">
        <v>44</v>
      </c>
      <c r="K2606" s="218" t="s">
        <v>9</v>
      </c>
      <c r="L2606" s="73" t="s">
        <v>24</v>
      </c>
      <c r="M2606" s="73" t="s">
        <v>24</v>
      </c>
      <c r="N2606" s="73" t="s">
        <v>69</v>
      </c>
      <c r="O2606" s="165"/>
      <c r="P2606" s="165"/>
      <c r="Q2606" s="166"/>
    </row>
    <row r="2607">
      <c r="A2607" s="134" t="s">
        <v>433</v>
      </c>
      <c r="B2607" s="134" t="s">
        <v>433</v>
      </c>
      <c r="C2607" s="134" t="s">
        <v>74</v>
      </c>
      <c r="D2607" s="279" t="s">
        <v>984</v>
      </c>
      <c r="E2607" s="240">
        <v>43346.0</v>
      </c>
      <c r="F2607" s="21" t="str">
        <f t="shared" si="214"/>
        <v>Sep-2018</v>
      </c>
      <c r="G2607" s="127" t="s">
        <v>25</v>
      </c>
      <c r="H2607" s="284" t="s">
        <v>35</v>
      </c>
      <c r="I2607" s="25" t="s">
        <v>985</v>
      </c>
      <c r="J2607" s="25" t="s">
        <v>44</v>
      </c>
      <c r="K2607" s="119" t="s">
        <v>9</v>
      </c>
      <c r="L2607" s="25" t="s">
        <v>30</v>
      </c>
      <c r="M2607" s="25"/>
      <c r="N2607" s="25" t="s">
        <v>106</v>
      </c>
      <c r="Q2607" s="99"/>
    </row>
    <row r="2608">
      <c r="A2608" s="134" t="s">
        <v>901</v>
      </c>
      <c r="B2608" s="134" t="s">
        <v>433</v>
      </c>
      <c r="C2608" s="134" t="s">
        <v>74</v>
      </c>
      <c r="D2608" s="279" t="s">
        <v>984</v>
      </c>
      <c r="E2608" s="240">
        <v>43346.0</v>
      </c>
      <c r="F2608" s="21" t="str">
        <f t="shared" si="214"/>
        <v>Sep-2018</v>
      </c>
      <c r="G2608" s="127" t="s">
        <v>32</v>
      </c>
      <c r="H2608" s="284" t="s">
        <v>35</v>
      </c>
      <c r="I2608" s="25" t="s">
        <v>985</v>
      </c>
      <c r="J2608" s="25" t="s">
        <v>44</v>
      </c>
      <c r="K2608" s="119" t="s">
        <v>9</v>
      </c>
      <c r="L2608" s="25" t="s">
        <v>24</v>
      </c>
      <c r="M2608" s="25"/>
      <c r="N2608" s="25" t="s">
        <v>98</v>
      </c>
      <c r="Q2608" s="99"/>
    </row>
    <row r="2609">
      <c r="A2609" s="168">
        <v>43346.0</v>
      </c>
      <c r="B2609" s="134" t="s">
        <v>433</v>
      </c>
      <c r="C2609" s="134" t="s">
        <v>74</v>
      </c>
      <c r="D2609" s="279" t="s">
        <v>984</v>
      </c>
      <c r="E2609" s="240">
        <v>43346.0</v>
      </c>
      <c r="F2609" s="21" t="str">
        <f t="shared" si="214"/>
        <v>Sep-2018</v>
      </c>
      <c r="G2609" s="19" t="s">
        <v>20</v>
      </c>
      <c r="H2609" s="15" t="s">
        <v>35</v>
      </c>
      <c r="I2609" s="16" t="s">
        <v>801</v>
      </c>
      <c r="J2609" s="16" t="s">
        <v>9</v>
      </c>
      <c r="K2609" s="16" t="s">
        <v>9</v>
      </c>
      <c r="L2609" s="16" t="s">
        <v>30</v>
      </c>
      <c r="M2609" s="16" t="s">
        <v>30</v>
      </c>
      <c r="N2609" s="16" t="s">
        <v>69</v>
      </c>
      <c r="O2609" s="101"/>
      <c r="P2609" s="101"/>
      <c r="Q2609" s="102"/>
    </row>
    <row r="2610">
      <c r="A2610" s="134" t="s">
        <v>74</v>
      </c>
      <c r="B2610" s="134" t="s">
        <v>433</v>
      </c>
      <c r="C2610" s="134" t="s">
        <v>74</v>
      </c>
      <c r="D2610" s="279" t="s">
        <v>984</v>
      </c>
      <c r="E2610" s="240">
        <v>43346.0</v>
      </c>
      <c r="F2610" s="21" t="str">
        <f t="shared" si="214"/>
        <v>Sep-2018</v>
      </c>
      <c r="G2610" s="19" t="s">
        <v>25</v>
      </c>
      <c r="H2610" s="15" t="s">
        <v>35</v>
      </c>
      <c r="I2610" s="16" t="s">
        <v>801</v>
      </c>
      <c r="J2610" s="16" t="s">
        <v>9</v>
      </c>
      <c r="K2610" s="16" t="s">
        <v>9</v>
      </c>
      <c r="L2610" s="16" t="s">
        <v>30</v>
      </c>
      <c r="M2610" s="16"/>
      <c r="N2610" s="16" t="s">
        <v>99</v>
      </c>
      <c r="O2610" s="101"/>
      <c r="P2610" s="101"/>
      <c r="Q2610" s="102"/>
    </row>
    <row r="2611">
      <c r="A2611" s="176" t="s">
        <v>986</v>
      </c>
      <c r="B2611" s="134" t="s">
        <v>433</v>
      </c>
      <c r="C2611" s="134" t="s">
        <v>74</v>
      </c>
      <c r="D2611" s="279" t="s">
        <v>984</v>
      </c>
      <c r="E2611" s="240">
        <v>43346.0</v>
      </c>
      <c r="F2611" s="21" t="str">
        <f t="shared" si="214"/>
        <v>Sep-2018</v>
      </c>
      <c r="G2611" s="127" t="s">
        <v>20</v>
      </c>
      <c r="H2611" s="284" t="s">
        <v>35</v>
      </c>
      <c r="I2611" s="25" t="s">
        <v>302</v>
      </c>
      <c r="J2611" s="25" t="s">
        <v>27</v>
      </c>
      <c r="K2611" s="119" t="s">
        <v>9</v>
      </c>
      <c r="L2611" s="25" t="s">
        <v>30</v>
      </c>
      <c r="M2611" s="25" t="s">
        <v>30</v>
      </c>
      <c r="N2611" s="25" t="s">
        <v>69</v>
      </c>
      <c r="Q2611" s="99"/>
    </row>
    <row r="2612">
      <c r="A2612" s="134" t="s">
        <v>987</v>
      </c>
      <c r="B2612" s="134" t="s">
        <v>433</v>
      </c>
      <c r="C2612" s="134" t="s">
        <v>74</v>
      </c>
      <c r="D2612" s="279" t="s">
        <v>984</v>
      </c>
      <c r="E2612" s="240">
        <v>43346.0</v>
      </c>
      <c r="F2612" s="21" t="str">
        <f t="shared" si="214"/>
        <v>Sep-2018</v>
      </c>
      <c r="G2612" s="127" t="s">
        <v>25</v>
      </c>
      <c r="H2612" s="284" t="s">
        <v>35</v>
      </c>
      <c r="I2612" s="25" t="s">
        <v>302</v>
      </c>
      <c r="J2612" s="25" t="s">
        <v>27</v>
      </c>
      <c r="K2612" s="119" t="s">
        <v>9</v>
      </c>
      <c r="L2612" s="25" t="s">
        <v>30</v>
      </c>
      <c r="M2612" s="119"/>
      <c r="N2612" s="119" t="s">
        <v>99</v>
      </c>
      <c r="Q2612" s="99"/>
    </row>
    <row r="2613">
      <c r="A2613" s="176" t="s">
        <v>988</v>
      </c>
      <c r="B2613" s="134" t="s">
        <v>433</v>
      </c>
      <c r="C2613" s="134" t="s">
        <v>74</v>
      </c>
      <c r="D2613" s="279" t="s">
        <v>984</v>
      </c>
      <c r="E2613" s="240">
        <v>43346.0</v>
      </c>
      <c r="F2613" s="21" t="str">
        <f t="shared" si="214"/>
        <v>Sep-2018</v>
      </c>
      <c r="G2613" s="19" t="s">
        <v>20</v>
      </c>
      <c r="H2613" s="15" t="s">
        <v>35</v>
      </c>
      <c r="I2613" s="16" t="s">
        <v>93</v>
      </c>
      <c r="J2613" s="16" t="s">
        <v>23</v>
      </c>
      <c r="K2613" s="16" t="s">
        <v>9</v>
      </c>
      <c r="L2613" s="16" t="s">
        <v>30</v>
      </c>
      <c r="M2613" s="16" t="s">
        <v>30</v>
      </c>
      <c r="N2613" s="16" t="s">
        <v>37</v>
      </c>
      <c r="O2613" s="101"/>
      <c r="P2613" s="101"/>
      <c r="Q2613" s="102"/>
    </row>
    <row r="2614">
      <c r="A2614" s="140"/>
      <c r="B2614" s="134" t="s">
        <v>433</v>
      </c>
      <c r="C2614" s="134" t="s">
        <v>74</v>
      </c>
      <c r="D2614" s="279" t="s">
        <v>984</v>
      </c>
      <c r="E2614" s="240">
        <v>43346.0</v>
      </c>
      <c r="F2614" s="21" t="str">
        <f t="shared" si="214"/>
        <v>Sep-2018</v>
      </c>
      <c r="G2614" s="19" t="s">
        <v>25</v>
      </c>
      <c r="H2614" s="15" t="s">
        <v>35</v>
      </c>
      <c r="I2614" s="16" t="s">
        <v>93</v>
      </c>
      <c r="J2614" s="16" t="s">
        <v>23</v>
      </c>
      <c r="K2614" s="16" t="s">
        <v>9</v>
      </c>
      <c r="L2614" s="16" t="s">
        <v>30</v>
      </c>
      <c r="M2614" s="16"/>
      <c r="N2614" s="16" t="s">
        <v>99</v>
      </c>
      <c r="O2614" s="101"/>
      <c r="P2614" s="101"/>
      <c r="Q2614" s="102"/>
    </row>
    <row r="2615">
      <c r="A2615" s="140"/>
      <c r="B2615" s="134" t="s">
        <v>433</v>
      </c>
      <c r="C2615" s="134" t="s">
        <v>74</v>
      </c>
      <c r="D2615" s="279" t="s">
        <v>984</v>
      </c>
      <c r="E2615" s="240">
        <v>43346.0</v>
      </c>
      <c r="F2615" s="21" t="str">
        <f t="shared" si="214"/>
        <v>Sep-2018</v>
      </c>
      <c r="G2615" s="285" t="s">
        <v>146</v>
      </c>
      <c r="H2615" s="284" t="s">
        <v>35</v>
      </c>
      <c r="I2615" s="25" t="s">
        <v>409</v>
      </c>
      <c r="J2615" s="25" t="s">
        <v>27</v>
      </c>
      <c r="K2615" s="119" t="s">
        <v>9</v>
      </c>
      <c r="L2615" s="25" t="s">
        <v>30</v>
      </c>
      <c r="M2615" s="119" t="s">
        <v>30</v>
      </c>
      <c r="N2615" s="119" t="s">
        <v>37</v>
      </c>
      <c r="Q2615" s="99"/>
    </row>
    <row r="2616">
      <c r="A2616" s="140"/>
      <c r="B2616" s="134" t="s">
        <v>433</v>
      </c>
      <c r="C2616" s="134" t="s">
        <v>74</v>
      </c>
      <c r="D2616" s="279" t="s">
        <v>984</v>
      </c>
      <c r="E2616" s="240">
        <v>43346.0</v>
      </c>
      <c r="F2616" s="21" t="str">
        <f t="shared" si="214"/>
        <v>Sep-2018</v>
      </c>
      <c r="G2616" s="285" t="s">
        <v>149</v>
      </c>
      <c r="H2616" s="284" t="s">
        <v>35</v>
      </c>
      <c r="I2616" s="25" t="s">
        <v>409</v>
      </c>
      <c r="J2616" s="25" t="s">
        <v>27</v>
      </c>
      <c r="K2616" s="119" t="s">
        <v>9</v>
      </c>
      <c r="L2616" s="25" t="s">
        <v>30</v>
      </c>
      <c r="M2616" s="25"/>
      <c r="N2616" s="25" t="s">
        <v>69</v>
      </c>
      <c r="Q2616" s="99"/>
    </row>
    <row r="2617">
      <c r="A2617" s="140"/>
      <c r="B2617" s="134" t="s">
        <v>433</v>
      </c>
      <c r="C2617" s="134" t="s">
        <v>74</v>
      </c>
      <c r="D2617" s="279" t="s">
        <v>984</v>
      </c>
      <c r="E2617" s="240">
        <v>43346.0</v>
      </c>
      <c r="F2617" s="21" t="str">
        <f t="shared" si="214"/>
        <v>Sep-2018</v>
      </c>
      <c r="G2617" s="285" t="s">
        <v>222</v>
      </c>
      <c r="H2617" s="284" t="s">
        <v>35</v>
      </c>
      <c r="I2617" s="25" t="s">
        <v>409</v>
      </c>
      <c r="J2617" s="25" t="s">
        <v>27</v>
      </c>
      <c r="K2617" s="119" t="s">
        <v>9</v>
      </c>
      <c r="L2617" s="25" t="s">
        <v>30</v>
      </c>
      <c r="M2617" s="119"/>
      <c r="N2617" s="119" t="s">
        <v>99</v>
      </c>
      <c r="Q2617" s="99"/>
    </row>
    <row r="2618">
      <c r="A2618" s="140"/>
      <c r="B2618" s="134" t="s">
        <v>433</v>
      </c>
      <c r="C2618" s="134" t="s">
        <v>74</v>
      </c>
      <c r="D2618" s="279" t="s">
        <v>984</v>
      </c>
      <c r="E2618" s="240">
        <v>43346.0</v>
      </c>
      <c r="F2618" s="21" t="str">
        <f t="shared" si="214"/>
        <v>Sep-2018</v>
      </c>
      <c r="G2618" s="19" t="s">
        <v>146</v>
      </c>
      <c r="H2618" s="15" t="s">
        <v>35</v>
      </c>
      <c r="I2618" s="16" t="s">
        <v>989</v>
      </c>
      <c r="J2618" s="16" t="s">
        <v>86</v>
      </c>
      <c r="K2618" s="16" t="s">
        <v>9</v>
      </c>
      <c r="L2618" s="16" t="s">
        <v>24</v>
      </c>
      <c r="M2618" s="16" t="s">
        <v>30</v>
      </c>
      <c r="N2618" s="16" t="s">
        <v>69</v>
      </c>
      <c r="O2618" s="101"/>
      <c r="P2618" s="101"/>
      <c r="Q2618" s="102"/>
    </row>
    <row r="2619">
      <c r="A2619" s="140"/>
      <c r="B2619" s="134" t="s">
        <v>433</v>
      </c>
      <c r="C2619" s="134" t="s">
        <v>74</v>
      </c>
      <c r="D2619" s="279" t="s">
        <v>984</v>
      </c>
      <c r="E2619" s="240">
        <v>43346.0</v>
      </c>
      <c r="F2619" s="21" t="str">
        <f t="shared" si="214"/>
        <v>Sep-2018</v>
      </c>
      <c r="G2619" s="19" t="s">
        <v>149</v>
      </c>
      <c r="H2619" s="15" t="s">
        <v>35</v>
      </c>
      <c r="I2619" s="16" t="s">
        <v>989</v>
      </c>
      <c r="J2619" s="16" t="s">
        <v>86</v>
      </c>
      <c r="K2619" s="16" t="s">
        <v>9</v>
      </c>
      <c r="L2619" s="16" t="s">
        <v>24</v>
      </c>
      <c r="M2619" s="16"/>
      <c r="N2619" s="16" t="s">
        <v>29</v>
      </c>
      <c r="O2619" s="101"/>
      <c r="P2619" s="101"/>
      <c r="Q2619" s="102"/>
    </row>
    <row r="2620">
      <c r="A2620" s="140"/>
      <c r="B2620" s="134" t="s">
        <v>433</v>
      </c>
      <c r="C2620" s="134" t="s">
        <v>74</v>
      </c>
      <c r="D2620" s="279" t="s">
        <v>984</v>
      </c>
      <c r="E2620" s="240">
        <v>43346.0</v>
      </c>
      <c r="F2620" s="21" t="str">
        <f t="shared" si="214"/>
        <v>Sep-2018</v>
      </c>
      <c r="G2620" s="19" t="s">
        <v>222</v>
      </c>
      <c r="H2620" s="15" t="s">
        <v>35</v>
      </c>
      <c r="I2620" s="16" t="s">
        <v>989</v>
      </c>
      <c r="J2620" s="16" t="s">
        <v>86</v>
      </c>
      <c r="K2620" s="16" t="s">
        <v>9</v>
      </c>
      <c r="L2620" s="16" t="s">
        <v>30</v>
      </c>
      <c r="M2620" s="16"/>
      <c r="N2620" s="16" t="s">
        <v>29</v>
      </c>
      <c r="O2620" s="101"/>
      <c r="P2620" s="101"/>
      <c r="Q2620" s="102"/>
    </row>
    <row r="2621">
      <c r="A2621" s="140"/>
      <c r="B2621" s="134" t="s">
        <v>433</v>
      </c>
      <c r="C2621" s="134" t="s">
        <v>74</v>
      </c>
      <c r="D2621" s="279" t="s">
        <v>984</v>
      </c>
      <c r="E2621" s="240">
        <v>43346.0</v>
      </c>
      <c r="F2621" s="21" t="str">
        <f t="shared" si="214"/>
        <v>Sep-2018</v>
      </c>
      <c r="G2621" s="19" t="s">
        <v>467</v>
      </c>
      <c r="H2621" s="15" t="s">
        <v>35</v>
      </c>
      <c r="I2621" s="16" t="s">
        <v>989</v>
      </c>
      <c r="J2621" s="16" t="s">
        <v>86</v>
      </c>
      <c r="K2621" s="16" t="s">
        <v>9</v>
      </c>
      <c r="L2621" s="16" t="s">
        <v>30</v>
      </c>
      <c r="M2621" s="16"/>
      <c r="N2621" s="16" t="s">
        <v>37</v>
      </c>
      <c r="O2621" s="101"/>
      <c r="P2621" s="101"/>
      <c r="Q2621" s="102"/>
    </row>
    <row r="2622">
      <c r="A2622" s="140"/>
      <c r="B2622" s="134" t="s">
        <v>433</v>
      </c>
      <c r="C2622" s="134" t="s">
        <v>74</v>
      </c>
      <c r="D2622" s="279" t="s">
        <v>984</v>
      </c>
      <c r="E2622" s="240">
        <v>43346.0</v>
      </c>
      <c r="F2622" s="21" t="str">
        <f t="shared" si="214"/>
        <v>Sep-2018</v>
      </c>
      <c r="G2622" s="19" t="s">
        <v>480</v>
      </c>
      <c r="H2622" s="15" t="s">
        <v>35</v>
      </c>
      <c r="I2622" s="16" t="s">
        <v>989</v>
      </c>
      <c r="J2622" s="16" t="s">
        <v>86</v>
      </c>
      <c r="K2622" s="16" t="s">
        <v>9</v>
      </c>
      <c r="L2622" s="16" t="s">
        <v>30</v>
      </c>
      <c r="M2622" s="16"/>
      <c r="N2622" s="16" t="s">
        <v>37</v>
      </c>
      <c r="O2622" s="101"/>
      <c r="P2622" s="101"/>
      <c r="Q2622" s="102"/>
    </row>
    <row r="2623">
      <c r="A2623" s="140"/>
      <c r="B2623" s="134" t="s">
        <v>433</v>
      </c>
      <c r="C2623" s="134" t="s">
        <v>74</v>
      </c>
      <c r="D2623" s="279" t="s">
        <v>984</v>
      </c>
      <c r="E2623" s="240">
        <v>43346.0</v>
      </c>
      <c r="F2623" s="21" t="str">
        <f t="shared" si="214"/>
        <v>Sep-2018</v>
      </c>
      <c r="G2623" s="32" t="s">
        <v>146</v>
      </c>
      <c r="H2623" s="284" t="s">
        <v>35</v>
      </c>
      <c r="I2623" s="25" t="s">
        <v>122</v>
      </c>
      <c r="J2623" s="25" t="s">
        <v>44</v>
      </c>
      <c r="K2623" s="119" t="s">
        <v>9</v>
      </c>
      <c r="L2623" s="25" t="s">
        <v>30</v>
      </c>
      <c r="M2623" s="25" t="s">
        <v>24</v>
      </c>
      <c r="N2623" s="25" t="s">
        <v>98</v>
      </c>
      <c r="Q2623" s="99"/>
    </row>
    <row r="2624">
      <c r="A2624" s="140"/>
      <c r="B2624" s="134" t="s">
        <v>433</v>
      </c>
      <c r="C2624" s="134" t="s">
        <v>74</v>
      </c>
      <c r="D2624" s="279" t="s">
        <v>984</v>
      </c>
      <c r="E2624" s="240">
        <v>43346.0</v>
      </c>
      <c r="F2624" s="21" t="str">
        <f t="shared" si="214"/>
        <v>Sep-2018</v>
      </c>
      <c r="G2624" s="32" t="s">
        <v>149</v>
      </c>
      <c r="H2624" s="284" t="s">
        <v>35</v>
      </c>
      <c r="I2624" s="25" t="s">
        <v>122</v>
      </c>
      <c r="J2624" s="25" t="s">
        <v>44</v>
      </c>
      <c r="K2624" s="119" t="s">
        <v>9</v>
      </c>
      <c r="L2624" s="25" t="s">
        <v>24</v>
      </c>
      <c r="M2624" s="25"/>
      <c r="N2624" s="25" t="s">
        <v>98</v>
      </c>
      <c r="Q2624" s="99"/>
    </row>
    <row r="2625">
      <c r="A2625" s="140"/>
      <c r="B2625" s="134" t="s">
        <v>433</v>
      </c>
      <c r="C2625" s="134" t="s">
        <v>74</v>
      </c>
      <c r="D2625" s="279" t="s">
        <v>984</v>
      </c>
      <c r="E2625" s="240">
        <v>43346.0</v>
      </c>
      <c r="F2625" s="21" t="str">
        <f t="shared" si="214"/>
        <v>Sep-2018</v>
      </c>
      <c r="G2625" s="32" t="s">
        <v>222</v>
      </c>
      <c r="H2625" s="284" t="s">
        <v>35</v>
      </c>
      <c r="I2625" s="25" t="s">
        <v>122</v>
      </c>
      <c r="J2625" s="25" t="s">
        <v>44</v>
      </c>
      <c r="K2625" s="119" t="s">
        <v>9</v>
      </c>
      <c r="L2625" s="25" t="s">
        <v>24</v>
      </c>
      <c r="M2625" s="25"/>
      <c r="N2625" s="25" t="s">
        <v>106</v>
      </c>
      <c r="Q2625" s="99"/>
    </row>
    <row r="2626">
      <c r="A2626" s="140"/>
      <c r="B2626" s="134" t="s">
        <v>433</v>
      </c>
      <c r="C2626" s="134" t="s">
        <v>74</v>
      </c>
      <c r="D2626" s="279" t="s">
        <v>984</v>
      </c>
      <c r="E2626" s="240">
        <v>43346.0</v>
      </c>
      <c r="F2626" s="21" t="str">
        <f t="shared" si="214"/>
        <v>Sep-2018</v>
      </c>
      <c r="G2626" s="32" t="s">
        <v>467</v>
      </c>
      <c r="H2626" s="284" t="s">
        <v>35</v>
      </c>
      <c r="I2626" s="25" t="s">
        <v>122</v>
      </c>
      <c r="J2626" s="25" t="s">
        <v>44</v>
      </c>
      <c r="K2626" s="119" t="s">
        <v>9</v>
      </c>
      <c r="L2626" s="25" t="s">
        <v>30</v>
      </c>
      <c r="M2626" s="119"/>
      <c r="N2626" s="119" t="s">
        <v>37</v>
      </c>
      <c r="Q2626" s="99"/>
    </row>
    <row r="2627">
      <c r="A2627" s="141"/>
      <c r="B2627" s="134" t="s">
        <v>433</v>
      </c>
      <c r="C2627" s="134" t="s">
        <v>74</v>
      </c>
      <c r="D2627" s="280" t="s">
        <v>984</v>
      </c>
      <c r="E2627" s="241">
        <v>43346.0</v>
      </c>
      <c r="F2627" s="51" t="str">
        <f t="shared" si="214"/>
        <v>Sep-2018</v>
      </c>
      <c r="G2627" s="43" t="s">
        <v>480</v>
      </c>
      <c r="H2627" s="288" t="s">
        <v>35</v>
      </c>
      <c r="I2627" s="55" t="s">
        <v>122</v>
      </c>
      <c r="J2627" s="55" t="s">
        <v>44</v>
      </c>
      <c r="K2627" s="114" t="s">
        <v>9</v>
      </c>
      <c r="L2627" s="55" t="s">
        <v>24</v>
      </c>
      <c r="M2627" s="114"/>
      <c r="N2627" s="114" t="s">
        <v>29</v>
      </c>
      <c r="O2627" s="143"/>
      <c r="P2627" s="143"/>
      <c r="Q2627" s="144"/>
    </row>
    <row r="2628">
      <c r="A2628" s="94"/>
      <c r="K2628" s="119"/>
    </row>
    <row r="2629">
      <c r="A2629" s="133" t="s">
        <v>990</v>
      </c>
      <c r="B2629" s="134" t="s">
        <v>527</v>
      </c>
      <c r="C2629" s="134" t="s">
        <v>84</v>
      </c>
      <c r="D2629" s="278" t="s">
        <v>990</v>
      </c>
      <c r="E2629" s="239">
        <v>43351.0</v>
      </c>
      <c r="F2629" s="70" t="str">
        <f t="shared" ref="F2629:F2657" si="215">TEXT(E2621:E2629, "mmm") &amp; "-" &amp; TEXT(E2621:E2629, "yyyy") </f>
        <v>Sep-2018</v>
      </c>
      <c r="G2629" s="152" t="s">
        <v>20</v>
      </c>
      <c r="H2629" s="47" t="s">
        <v>682</v>
      </c>
      <c r="I2629" s="47" t="s">
        <v>991</v>
      </c>
      <c r="J2629" s="47" t="s">
        <v>71</v>
      </c>
      <c r="K2629" s="47" t="s">
        <v>9</v>
      </c>
      <c r="L2629" s="47" t="s">
        <v>30</v>
      </c>
      <c r="M2629" s="47" t="s">
        <v>30</v>
      </c>
      <c r="N2629" s="47" t="s">
        <v>99</v>
      </c>
      <c r="O2629" s="152"/>
      <c r="P2629" s="152"/>
      <c r="Q2629" s="153"/>
    </row>
    <row r="2630">
      <c r="A2630" s="134" t="s">
        <v>527</v>
      </c>
      <c r="B2630" s="134" t="s">
        <v>527</v>
      </c>
      <c r="C2630" s="134" t="s">
        <v>84</v>
      </c>
      <c r="D2630" s="279" t="s">
        <v>990</v>
      </c>
      <c r="E2630" s="240">
        <v>43351.0</v>
      </c>
      <c r="F2630" s="21" t="str">
        <f t="shared" si="215"/>
        <v>Sep-2018</v>
      </c>
      <c r="G2630" s="101" t="s">
        <v>25</v>
      </c>
      <c r="H2630" s="16" t="s">
        <v>682</v>
      </c>
      <c r="I2630" s="16" t="s">
        <v>991</v>
      </c>
      <c r="J2630" s="16" t="s">
        <v>71</v>
      </c>
      <c r="K2630" s="16" t="s">
        <v>9</v>
      </c>
      <c r="L2630" s="16" t="s">
        <v>24</v>
      </c>
      <c r="M2630" s="16"/>
      <c r="N2630" s="16" t="s">
        <v>99</v>
      </c>
      <c r="O2630" s="101"/>
      <c r="P2630" s="101"/>
      <c r="Q2630" s="102"/>
    </row>
    <row r="2631">
      <c r="A2631" s="134" t="s">
        <v>992</v>
      </c>
      <c r="B2631" s="134" t="s">
        <v>527</v>
      </c>
      <c r="C2631" s="134" t="s">
        <v>84</v>
      </c>
      <c r="D2631" s="279" t="s">
        <v>990</v>
      </c>
      <c r="E2631" s="240">
        <v>43351.0</v>
      </c>
      <c r="F2631" s="21" t="str">
        <f t="shared" si="215"/>
        <v>Sep-2018</v>
      </c>
      <c r="G2631" s="101" t="s">
        <v>32</v>
      </c>
      <c r="H2631" s="16" t="s">
        <v>682</v>
      </c>
      <c r="I2631" s="16" t="s">
        <v>991</v>
      </c>
      <c r="J2631" s="16" t="s">
        <v>71</v>
      </c>
      <c r="K2631" s="16" t="s">
        <v>9</v>
      </c>
      <c r="L2631" s="16" t="s">
        <v>30</v>
      </c>
      <c r="M2631" s="16"/>
      <c r="N2631" s="16" t="s">
        <v>106</v>
      </c>
      <c r="O2631" s="101"/>
      <c r="P2631" s="101"/>
      <c r="Q2631" s="102"/>
    </row>
    <row r="2632">
      <c r="A2632" s="168">
        <v>43351.0</v>
      </c>
      <c r="B2632" s="134" t="s">
        <v>527</v>
      </c>
      <c r="C2632" s="134" t="s">
        <v>84</v>
      </c>
      <c r="D2632" s="279" t="s">
        <v>990</v>
      </c>
      <c r="E2632" s="240">
        <v>43351.0</v>
      </c>
      <c r="F2632" s="21" t="str">
        <f t="shared" si="215"/>
        <v>Sep-2018</v>
      </c>
      <c r="G2632" t="s">
        <v>20</v>
      </c>
      <c r="H2632" s="25" t="s">
        <v>682</v>
      </c>
      <c r="I2632" s="25" t="s">
        <v>404</v>
      </c>
      <c r="J2632" s="25" t="s">
        <v>27</v>
      </c>
      <c r="K2632" s="119" t="s">
        <v>9</v>
      </c>
      <c r="L2632" s="25" t="s">
        <v>24</v>
      </c>
      <c r="M2632" s="119" t="s">
        <v>30</v>
      </c>
      <c r="N2632" s="119" t="s">
        <v>37</v>
      </c>
      <c r="Q2632" s="99"/>
    </row>
    <row r="2633">
      <c r="A2633" s="134" t="s">
        <v>84</v>
      </c>
      <c r="B2633" s="134" t="s">
        <v>527</v>
      </c>
      <c r="C2633" s="134" t="s">
        <v>84</v>
      </c>
      <c r="D2633" s="279" t="s">
        <v>990</v>
      </c>
      <c r="E2633" s="240">
        <v>43351.0</v>
      </c>
      <c r="F2633" s="21" t="str">
        <f t="shared" si="215"/>
        <v>Sep-2018</v>
      </c>
      <c r="G2633" t="s">
        <v>25</v>
      </c>
      <c r="H2633" s="25" t="s">
        <v>682</v>
      </c>
      <c r="I2633" s="25" t="s">
        <v>404</v>
      </c>
      <c r="J2633" s="25" t="s">
        <v>27</v>
      </c>
      <c r="K2633" s="119" t="s">
        <v>9</v>
      </c>
      <c r="L2633" s="25" t="s">
        <v>30</v>
      </c>
      <c r="M2633" s="25"/>
      <c r="N2633" s="25" t="s">
        <v>106</v>
      </c>
      <c r="Q2633" s="99"/>
    </row>
    <row r="2634">
      <c r="A2634" s="176" t="s">
        <v>993</v>
      </c>
      <c r="B2634" s="134" t="s">
        <v>527</v>
      </c>
      <c r="C2634" s="134" t="s">
        <v>84</v>
      </c>
      <c r="D2634" s="279" t="s">
        <v>990</v>
      </c>
      <c r="E2634" s="240">
        <v>43351.0</v>
      </c>
      <c r="F2634" s="21" t="str">
        <f t="shared" si="215"/>
        <v>Sep-2018</v>
      </c>
      <c r="G2634" t="s">
        <v>32</v>
      </c>
      <c r="H2634" s="25" t="s">
        <v>682</v>
      </c>
      <c r="I2634" s="25" t="s">
        <v>404</v>
      </c>
      <c r="J2634" s="25" t="s">
        <v>27</v>
      </c>
      <c r="K2634" s="119" t="s">
        <v>9</v>
      </c>
      <c r="L2634" s="25" t="s">
        <v>30</v>
      </c>
      <c r="M2634" s="25"/>
      <c r="N2634" s="25" t="s">
        <v>69</v>
      </c>
      <c r="Q2634" s="99"/>
    </row>
    <row r="2635">
      <c r="A2635" s="134" t="s">
        <v>994</v>
      </c>
      <c r="B2635" s="134" t="s">
        <v>527</v>
      </c>
      <c r="C2635" s="134" t="s">
        <v>84</v>
      </c>
      <c r="D2635" s="279" t="s">
        <v>990</v>
      </c>
      <c r="E2635" s="240">
        <v>43351.0</v>
      </c>
      <c r="F2635" s="21" t="str">
        <f t="shared" si="215"/>
        <v>Sep-2018</v>
      </c>
      <c r="G2635" s="101" t="s">
        <v>20</v>
      </c>
      <c r="H2635" s="16" t="s">
        <v>682</v>
      </c>
      <c r="I2635" s="16" t="s">
        <v>364</v>
      </c>
      <c r="J2635" s="16" t="s">
        <v>86</v>
      </c>
      <c r="K2635" s="16" t="s">
        <v>9</v>
      </c>
      <c r="L2635" s="16" t="s">
        <v>24</v>
      </c>
      <c r="M2635" s="16" t="s">
        <v>24</v>
      </c>
      <c r="N2635" s="16" t="s">
        <v>69</v>
      </c>
      <c r="O2635" s="101"/>
      <c r="P2635" s="101"/>
      <c r="Q2635" s="102"/>
    </row>
    <row r="2636">
      <c r="A2636" s="176" t="s">
        <v>995</v>
      </c>
      <c r="B2636" s="134" t="s">
        <v>527</v>
      </c>
      <c r="C2636" s="134" t="s">
        <v>84</v>
      </c>
      <c r="D2636" s="279" t="s">
        <v>990</v>
      </c>
      <c r="E2636" s="240">
        <v>43351.0</v>
      </c>
      <c r="F2636" s="21" t="str">
        <f t="shared" si="215"/>
        <v>Sep-2018</v>
      </c>
      <c r="G2636" s="101" t="s">
        <v>25</v>
      </c>
      <c r="H2636" s="16" t="s">
        <v>682</v>
      </c>
      <c r="I2636" s="16" t="s">
        <v>364</v>
      </c>
      <c r="J2636" s="16" t="s">
        <v>86</v>
      </c>
      <c r="K2636" s="16" t="s">
        <v>9</v>
      </c>
      <c r="L2636" s="16" t="s">
        <v>24</v>
      </c>
      <c r="M2636" s="16"/>
      <c r="N2636" s="16" t="s">
        <v>37</v>
      </c>
      <c r="O2636" s="101"/>
      <c r="P2636" s="101"/>
      <c r="Q2636" s="102"/>
    </row>
    <row r="2637">
      <c r="A2637" s="140"/>
      <c r="B2637" s="134" t="s">
        <v>527</v>
      </c>
      <c r="C2637" s="134" t="s">
        <v>84</v>
      </c>
      <c r="D2637" s="279" t="s">
        <v>990</v>
      </c>
      <c r="E2637" s="240">
        <v>43351.0</v>
      </c>
      <c r="F2637" s="21" t="str">
        <f t="shared" si="215"/>
        <v>Sep-2018</v>
      </c>
      <c r="G2637" t="s">
        <v>20</v>
      </c>
      <c r="H2637" s="25" t="s">
        <v>682</v>
      </c>
      <c r="I2637" s="25" t="s">
        <v>996</v>
      </c>
      <c r="J2637" s="25" t="s">
        <v>64</v>
      </c>
      <c r="K2637" s="119" t="s">
        <v>9</v>
      </c>
      <c r="L2637" s="25" t="s">
        <v>30</v>
      </c>
      <c r="M2637" s="25" t="s">
        <v>30</v>
      </c>
      <c r="N2637" s="25" t="s">
        <v>98</v>
      </c>
      <c r="Q2637" s="99"/>
    </row>
    <row r="2638">
      <c r="A2638" s="140"/>
      <c r="B2638" s="134" t="s">
        <v>527</v>
      </c>
      <c r="C2638" s="134" t="s">
        <v>84</v>
      </c>
      <c r="D2638" s="279" t="s">
        <v>990</v>
      </c>
      <c r="E2638" s="240">
        <v>43351.0</v>
      </c>
      <c r="F2638" s="21" t="str">
        <f t="shared" si="215"/>
        <v>Sep-2018</v>
      </c>
      <c r="G2638" t="s">
        <v>25</v>
      </c>
      <c r="H2638" s="25" t="s">
        <v>682</v>
      </c>
      <c r="I2638" s="25" t="s">
        <v>996</v>
      </c>
      <c r="J2638" s="25" t="s">
        <v>64</v>
      </c>
      <c r="K2638" s="119" t="s">
        <v>9</v>
      </c>
      <c r="L2638" s="25" t="s">
        <v>24</v>
      </c>
      <c r="M2638" s="25"/>
      <c r="N2638" s="25" t="s">
        <v>98</v>
      </c>
      <c r="Q2638" s="99"/>
    </row>
    <row r="2639">
      <c r="A2639" s="140"/>
      <c r="B2639" s="134" t="s">
        <v>527</v>
      </c>
      <c r="C2639" s="134" t="s">
        <v>84</v>
      </c>
      <c r="D2639" s="279" t="s">
        <v>990</v>
      </c>
      <c r="E2639" s="240">
        <v>43351.0</v>
      </c>
      <c r="F2639" s="21" t="str">
        <f t="shared" si="215"/>
        <v>Sep-2018</v>
      </c>
      <c r="G2639" t="s">
        <v>32</v>
      </c>
      <c r="H2639" s="25" t="s">
        <v>682</v>
      </c>
      <c r="I2639" s="25" t="s">
        <v>996</v>
      </c>
      <c r="J2639" s="25" t="s">
        <v>64</v>
      </c>
      <c r="K2639" s="119" t="s">
        <v>9</v>
      </c>
      <c r="L2639" s="25" t="s">
        <v>30</v>
      </c>
      <c r="M2639" s="25"/>
      <c r="N2639" s="25" t="s">
        <v>106</v>
      </c>
      <c r="Q2639" s="99"/>
    </row>
    <row r="2640">
      <c r="A2640" s="140"/>
      <c r="B2640" s="134" t="s">
        <v>527</v>
      </c>
      <c r="C2640" s="134" t="s">
        <v>84</v>
      </c>
      <c r="D2640" s="279" t="s">
        <v>990</v>
      </c>
      <c r="E2640" s="240">
        <v>43351.0</v>
      </c>
      <c r="F2640" s="21" t="str">
        <f t="shared" si="215"/>
        <v>Sep-2018</v>
      </c>
      <c r="G2640" s="101" t="s">
        <v>20</v>
      </c>
      <c r="H2640" s="16" t="s">
        <v>682</v>
      </c>
      <c r="I2640" s="16" t="s">
        <v>296</v>
      </c>
      <c r="J2640" s="16" t="s">
        <v>9</v>
      </c>
      <c r="K2640" s="16" t="s">
        <v>9</v>
      </c>
      <c r="L2640" s="16" t="s">
        <v>24</v>
      </c>
      <c r="M2640" s="16" t="s">
        <v>24</v>
      </c>
      <c r="N2640" s="16" t="s">
        <v>98</v>
      </c>
      <c r="O2640" s="101"/>
      <c r="P2640" s="101"/>
      <c r="Q2640" s="102"/>
    </row>
    <row r="2641">
      <c r="A2641" s="140"/>
      <c r="B2641" s="134" t="s">
        <v>527</v>
      </c>
      <c r="C2641" s="134" t="s">
        <v>84</v>
      </c>
      <c r="D2641" s="279" t="s">
        <v>990</v>
      </c>
      <c r="E2641" s="240">
        <v>43351.0</v>
      </c>
      <c r="F2641" s="21" t="str">
        <f t="shared" si="215"/>
        <v>Sep-2018</v>
      </c>
      <c r="G2641" s="101" t="s">
        <v>25</v>
      </c>
      <c r="H2641" s="16" t="s">
        <v>682</v>
      </c>
      <c r="I2641" s="16" t="s">
        <v>296</v>
      </c>
      <c r="J2641" s="16" t="s">
        <v>9</v>
      </c>
      <c r="K2641" s="16" t="s">
        <v>9</v>
      </c>
      <c r="L2641" s="16" t="s">
        <v>30</v>
      </c>
      <c r="M2641" s="16"/>
      <c r="N2641" s="16" t="s">
        <v>106</v>
      </c>
      <c r="O2641" s="101"/>
      <c r="P2641" s="101"/>
      <c r="Q2641" s="102"/>
    </row>
    <row r="2642">
      <c r="A2642" s="140"/>
      <c r="B2642" s="134" t="s">
        <v>527</v>
      </c>
      <c r="C2642" s="134" t="s">
        <v>84</v>
      </c>
      <c r="D2642" s="279" t="s">
        <v>990</v>
      </c>
      <c r="E2642" s="240">
        <v>43351.0</v>
      </c>
      <c r="F2642" s="21" t="str">
        <f t="shared" si="215"/>
        <v>Sep-2018</v>
      </c>
      <c r="G2642" s="101" t="s">
        <v>32</v>
      </c>
      <c r="H2642" s="16" t="s">
        <v>682</v>
      </c>
      <c r="I2642" s="16" t="s">
        <v>296</v>
      </c>
      <c r="J2642" s="16" t="s">
        <v>9</v>
      </c>
      <c r="K2642" s="16" t="s">
        <v>9</v>
      </c>
      <c r="L2642" s="16" t="s">
        <v>24</v>
      </c>
      <c r="M2642" s="16"/>
      <c r="N2642" s="16" t="s">
        <v>37</v>
      </c>
      <c r="O2642" s="101"/>
      <c r="P2642" s="101"/>
      <c r="Q2642" s="102"/>
    </row>
    <row r="2643">
      <c r="A2643" s="140"/>
      <c r="B2643" s="134" t="s">
        <v>527</v>
      </c>
      <c r="C2643" s="134" t="s">
        <v>84</v>
      </c>
      <c r="D2643" s="279" t="s">
        <v>990</v>
      </c>
      <c r="E2643" s="240">
        <v>43351.0</v>
      </c>
      <c r="F2643" s="21" t="str">
        <f t="shared" si="215"/>
        <v>Sep-2018</v>
      </c>
      <c r="G2643" t="s">
        <v>20</v>
      </c>
      <c r="H2643" s="25" t="s">
        <v>682</v>
      </c>
      <c r="I2643" s="25" t="s">
        <v>997</v>
      </c>
      <c r="J2643" s="25" t="s">
        <v>9</v>
      </c>
      <c r="K2643" s="119" t="s">
        <v>9</v>
      </c>
      <c r="L2643" s="25" t="s">
        <v>24</v>
      </c>
      <c r="M2643" s="25" t="s">
        <v>30</v>
      </c>
      <c r="N2643" s="25" t="s">
        <v>98</v>
      </c>
      <c r="Q2643" s="99"/>
    </row>
    <row r="2644">
      <c r="A2644" s="140"/>
      <c r="B2644" s="134" t="s">
        <v>527</v>
      </c>
      <c r="C2644" s="134" t="s">
        <v>84</v>
      </c>
      <c r="D2644" s="279" t="s">
        <v>990</v>
      </c>
      <c r="E2644" s="240">
        <v>43351.0</v>
      </c>
      <c r="F2644" s="21" t="str">
        <f t="shared" si="215"/>
        <v>Sep-2018</v>
      </c>
      <c r="G2644" t="s">
        <v>25</v>
      </c>
      <c r="H2644" s="25" t="s">
        <v>682</v>
      </c>
      <c r="I2644" s="25" t="s">
        <v>997</v>
      </c>
      <c r="J2644" s="25" t="s">
        <v>9</v>
      </c>
      <c r="K2644" s="119" t="s">
        <v>9</v>
      </c>
      <c r="L2644" s="25" t="s">
        <v>30</v>
      </c>
      <c r="M2644" s="25"/>
      <c r="N2644" s="25" t="s">
        <v>106</v>
      </c>
      <c r="Q2644" s="99"/>
    </row>
    <row r="2645">
      <c r="A2645" s="140"/>
      <c r="B2645" s="134" t="s">
        <v>527</v>
      </c>
      <c r="C2645" s="134" t="s">
        <v>84</v>
      </c>
      <c r="D2645" s="279" t="s">
        <v>990</v>
      </c>
      <c r="E2645" s="240">
        <v>43351.0</v>
      </c>
      <c r="F2645" s="21" t="str">
        <f t="shared" si="215"/>
        <v>Sep-2018</v>
      </c>
      <c r="G2645" t="s">
        <v>32</v>
      </c>
      <c r="H2645" s="25" t="s">
        <v>682</v>
      </c>
      <c r="I2645" s="25" t="s">
        <v>997</v>
      </c>
      <c r="J2645" s="25" t="s">
        <v>9</v>
      </c>
      <c r="K2645" s="119" t="s">
        <v>9</v>
      </c>
      <c r="L2645" s="25" t="s">
        <v>30</v>
      </c>
      <c r="M2645" s="25"/>
      <c r="N2645" s="25" t="s">
        <v>69</v>
      </c>
      <c r="Q2645" s="99"/>
    </row>
    <row r="2646">
      <c r="A2646" s="140"/>
      <c r="B2646" s="134" t="s">
        <v>527</v>
      </c>
      <c r="C2646" s="134" t="s">
        <v>84</v>
      </c>
      <c r="D2646" s="279" t="s">
        <v>990</v>
      </c>
      <c r="E2646" s="240">
        <v>43351.0</v>
      </c>
      <c r="F2646" s="21" t="str">
        <f t="shared" si="215"/>
        <v>Sep-2018</v>
      </c>
      <c r="G2646" s="101" t="s">
        <v>20</v>
      </c>
      <c r="H2646" s="16" t="s">
        <v>35</v>
      </c>
      <c r="I2646" s="16" t="s">
        <v>998</v>
      </c>
      <c r="J2646" s="16" t="s">
        <v>27</v>
      </c>
      <c r="K2646" s="16" t="s">
        <v>9</v>
      </c>
      <c r="L2646" s="16" t="s">
        <v>30</v>
      </c>
      <c r="M2646" s="16" t="s">
        <v>30</v>
      </c>
      <c r="N2646" s="16" t="s">
        <v>37</v>
      </c>
      <c r="O2646" s="101"/>
      <c r="P2646" s="101"/>
      <c r="Q2646" s="102"/>
    </row>
    <row r="2647">
      <c r="A2647" s="140"/>
      <c r="B2647" s="134" t="s">
        <v>527</v>
      </c>
      <c r="C2647" s="134" t="s">
        <v>84</v>
      </c>
      <c r="D2647" s="279" t="s">
        <v>990</v>
      </c>
      <c r="E2647" s="240">
        <v>43351.0</v>
      </c>
      <c r="F2647" s="21" t="str">
        <f t="shared" si="215"/>
        <v>Sep-2018</v>
      </c>
      <c r="G2647" s="101" t="s">
        <v>25</v>
      </c>
      <c r="H2647" s="16" t="s">
        <v>35</v>
      </c>
      <c r="I2647" s="16" t="s">
        <v>998</v>
      </c>
      <c r="J2647" s="16" t="s">
        <v>27</v>
      </c>
      <c r="K2647" s="16" t="s">
        <v>9</v>
      </c>
      <c r="L2647" s="16" t="s">
        <v>30</v>
      </c>
      <c r="M2647" s="16"/>
      <c r="N2647" s="16" t="s">
        <v>106</v>
      </c>
      <c r="O2647" s="101"/>
      <c r="P2647" s="101"/>
      <c r="Q2647" s="102"/>
    </row>
    <row r="2648">
      <c r="A2648" s="140"/>
      <c r="B2648" s="134" t="s">
        <v>527</v>
      </c>
      <c r="C2648" s="134" t="s">
        <v>84</v>
      </c>
      <c r="D2648" s="279" t="s">
        <v>990</v>
      </c>
      <c r="E2648" s="240">
        <v>43351.0</v>
      </c>
      <c r="F2648" s="21" t="str">
        <f t="shared" si="215"/>
        <v>Sep-2018</v>
      </c>
      <c r="G2648" t="s">
        <v>20</v>
      </c>
      <c r="H2648" s="25" t="s">
        <v>35</v>
      </c>
      <c r="I2648" s="25" t="s">
        <v>756</v>
      </c>
      <c r="J2648" s="25" t="s">
        <v>23</v>
      </c>
      <c r="K2648" s="119" t="s">
        <v>9</v>
      </c>
      <c r="L2648" s="25" t="s">
        <v>24</v>
      </c>
      <c r="M2648" s="119" t="s">
        <v>24</v>
      </c>
      <c r="N2648" s="119" t="s">
        <v>37</v>
      </c>
      <c r="Q2648" s="99"/>
    </row>
    <row r="2649">
      <c r="A2649" s="140"/>
      <c r="B2649" s="134" t="s">
        <v>527</v>
      </c>
      <c r="C2649" s="134" t="s">
        <v>84</v>
      </c>
      <c r="D2649" s="279" t="s">
        <v>990</v>
      </c>
      <c r="E2649" s="240">
        <v>43351.0</v>
      </c>
      <c r="F2649" s="21" t="str">
        <f t="shared" si="215"/>
        <v>Sep-2018</v>
      </c>
      <c r="G2649" t="s">
        <v>25</v>
      </c>
      <c r="H2649" s="25" t="s">
        <v>35</v>
      </c>
      <c r="I2649" s="25" t="s">
        <v>756</v>
      </c>
      <c r="J2649" s="25" t="s">
        <v>23</v>
      </c>
      <c r="K2649" s="119" t="s">
        <v>9</v>
      </c>
      <c r="L2649" s="25" t="s">
        <v>30</v>
      </c>
      <c r="M2649" s="25"/>
      <c r="N2649" s="25" t="s">
        <v>106</v>
      </c>
      <c r="Q2649" s="99"/>
    </row>
    <row r="2650">
      <c r="A2650" s="140"/>
      <c r="B2650" s="134" t="s">
        <v>527</v>
      </c>
      <c r="C2650" s="134" t="s">
        <v>84</v>
      </c>
      <c r="D2650" s="279" t="s">
        <v>990</v>
      </c>
      <c r="E2650" s="240">
        <v>43351.0</v>
      </c>
      <c r="F2650" s="21" t="str">
        <f t="shared" si="215"/>
        <v>Sep-2018</v>
      </c>
      <c r="G2650" t="s">
        <v>32</v>
      </c>
      <c r="H2650" s="25" t="s">
        <v>35</v>
      </c>
      <c r="I2650" s="25" t="s">
        <v>756</v>
      </c>
      <c r="J2650" s="25" t="s">
        <v>23</v>
      </c>
      <c r="K2650" s="119" t="s">
        <v>9</v>
      </c>
      <c r="L2650" s="25" t="s">
        <v>24</v>
      </c>
      <c r="M2650" s="119"/>
      <c r="N2650" s="119" t="s">
        <v>99</v>
      </c>
      <c r="Q2650" s="99"/>
    </row>
    <row r="2651">
      <c r="A2651" s="140"/>
      <c r="B2651" s="134" t="s">
        <v>527</v>
      </c>
      <c r="C2651" s="134" t="s">
        <v>84</v>
      </c>
      <c r="D2651" s="279" t="s">
        <v>990</v>
      </c>
      <c r="E2651" s="240">
        <v>43351.0</v>
      </c>
      <c r="F2651" s="21" t="str">
        <f t="shared" si="215"/>
        <v>Sep-2018</v>
      </c>
      <c r="G2651" s="101" t="s">
        <v>20</v>
      </c>
      <c r="H2651" s="16" t="s">
        <v>35</v>
      </c>
      <c r="I2651" s="16" t="s">
        <v>961</v>
      </c>
      <c r="J2651" s="16" t="s">
        <v>27</v>
      </c>
      <c r="K2651" s="16" t="s">
        <v>9</v>
      </c>
      <c r="L2651" s="16" t="s">
        <v>30</v>
      </c>
      <c r="M2651" s="16" t="s">
        <v>30</v>
      </c>
      <c r="N2651" s="16" t="s">
        <v>37</v>
      </c>
      <c r="O2651" s="101"/>
      <c r="P2651" s="101"/>
      <c r="Q2651" s="102"/>
    </row>
    <row r="2652">
      <c r="A2652" s="140"/>
      <c r="B2652" s="134" t="s">
        <v>527</v>
      </c>
      <c r="C2652" s="134" t="s">
        <v>84</v>
      </c>
      <c r="D2652" s="279" t="s">
        <v>990</v>
      </c>
      <c r="E2652" s="240">
        <v>43351.0</v>
      </c>
      <c r="F2652" s="21" t="str">
        <f t="shared" si="215"/>
        <v>Sep-2018</v>
      </c>
      <c r="G2652" s="101" t="s">
        <v>25</v>
      </c>
      <c r="H2652" s="16" t="s">
        <v>35</v>
      </c>
      <c r="I2652" s="16" t="s">
        <v>961</v>
      </c>
      <c r="J2652" s="16" t="s">
        <v>27</v>
      </c>
      <c r="K2652" s="16" t="s">
        <v>9</v>
      </c>
      <c r="L2652" s="16" t="s">
        <v>24</v>
      </c>
      <c r="M2652" s="16"/>
      <c r="N2652" s="16" t="s">
        <v>98</v>
      </c>
      <c r="O2652" s="101"/>
      <c r="P2652" s="101"/>
      <c r="Q2652" s="102"/>
    </row>
    <row r="2653">
      <c r="A2653" s="140"/>
      <c r="B2653" s="134" t="s">
        <v>527</v>
      </c>
      <c r="C2653" s="134" t="s">
        <v>84</v>
      </c>
      <c r="D2653" s="279" t="s">
        <v>990</v>
      </c>
      <c r="E2653" s="240">
        <v>43351.0</v>
      </c>
      <c r="F2653" s="21" t="str">
        <f t="shared" si="215"/>
        <v>Sep-2018</v>
      </c>
      <c r="G2653" s="101" t="s">
        <v>32</v>
      </c>
      <c r="H2653" s="16" t="s">
        <v>35</v>
      </c>
      <c r="I2653" s="16" t="s">
        <v>961</v>
      </c>
      <c r="J2653" s="16" t="s">
        <v>27</v>
      </c>
      <c r="K2653" s="16" t="s">
        <v>9</v>
      </c>
      <c r="L2653" s="16" t="s">
        <v>30</v>
      </c>
      <c r="M2653" s="16"/>
      <c r="N2653" s="16" t="s">
        <v>29</v>
      </c>
      <c r="O2653" s="101"/>
      <c r="P2653" s="101"/>
      <c r="Q2653" s="102"/>
    </row>
    <row r="2654">
      <c r="A2654" s="140"/>
      <c r="B2654" s="134" t="s">
        <v>527</v>
      </c>
      <c r="C2654" s="134" t="s">
        <v>84</v>
      </c>
      <c r="D2654" s="279" t="s">
        <v>990</v>
      </c>
      <c r="E2654" s="240">
        <v>43351.0</v>
      </c>
      <c r="F2654" s="21" t="str">
        <f t="shared" si="215"/>
        <v>Sep-2018</v>
      </c>
      <c r="G2654" t="s">
        <v>20</v>
      </c>
      <c r="H2654" s="25" t="s">
        <v>35</v>
      </c>
      <c r="I2654" s="25" t="s">
        <v>199</v>
      </c>
      <c r="J2654" s="25" t="s">
        <v>27</v>
      </c>
      <c r="K2654" s="119" t="s">
        <v>9</v>
      </c>
      <c r="L2654" s="25" t="s">
        <v>30</v>
      </c>
      <c r="M2654" s="25" t="s">
        <v>30</v>
      </c>
      <c r="N2654" s="25" t="s">
        <v>69</v>
      </c>
      <c r="Q2654" s="99"/>
    </row>
    <row r="2655">
      <c r="A2655" s="140"/>
      <c r="B2655" s="134" t="s">
        <v>527</v>
      </c>
      <c r="C2655" s="134" t="s">
        <v>84</v>
      </c>
      <c r="D2655" s="279" t="s">
        <v>990</v>
      </c>
      <c r="E2655" s="240">
        <v>43351.0</v>
      </c>
      <c r="F2655" s="21" t="str">
        <f t="shared" si="215"/>
        <v>Sep-2018</v>
      </c>
      <c r="G2655" t="s">
        <v>25</v>
      </c>
      <c r="H2655" s="25" t="s">
        <v>35</v>
      </c>
      <c r="I2655" s="25" t="s">
        <v>199</v>
      </c>
      <c r="J2655" s="25" t="s">
        <v>27</v>
      </c>
      <c r="K2655" s="119" t="s">
        <v>9</v>
      </c>
      <c r="L2655" s="25" t="s">
        <v>30</v>
      </c>
      <c r="M2655" s="119"/>
      <c r="N2655" s="119" t="s">
        <v>99</v>
      </c>
      <c r="Q2655" s="99"/>
    </row>
    <row r="2656">
      <c r="A2656" s="140"/>
      <c r="B2656" s="134" t="s">
        <v>527</v>
      </c>
      <c r="C2656" s="134" t="s">
        <v>84</v>
      </c>
      <c r="D2656" s="279" t="s">
        <v>990</v>
      </c>
      <c r="E2656" s="240">
        <v>43351.0</v>
      </c>
      <c r="F2656" s="21" t="str">
        <f t="shared" si="215"/>
        <v>Sep-2018</v>
      </c>
      <c r="G2656" s="101" t="s">
        <v>20</v>
      </c>
      <c r="H2656" s="16" t="s">
        <v>35</v>
      </c>
      <c r="I2656" s="16" t="s">
        <v>989</v>
      </c>
      <c r="J2656" s="16" t="s">
        <v>86</v>
      </c>
      <c r="K2656" s="16" t="s">
        <v>9</v>
      </c>
      <c r="L2656" s="16" t="s">
        <v>24</v>
      </c>
      <c r="M2656" s="16" t="s">
        <v>24</v>
      </c>
      <c r="N2656" s="16" t="s">
        <v>69</v>
      </c>
      <c r="O2656" s="101"/>
      <c r="P2656" s="101"/>
      <c r="Q2656" s="102"/>
    </row>
    <row r="2657">
      <c r="A2657" s="141"/>
      <c r="B2657" s="134" t="s">
        <v>527</v>
      </c>
      <c r="C2657" s="134" t="s">
        <v>84</v>
      </c>
      <c r="D2657" s="280" t="s">
        <v>990</v>
      </c>
      <c r="E2657" s="241">
        <v>43351.0</v>
      </c>
      <c r="F2657" s="51" t="str">
        <f t="shared" si="215"/>
        <v>Sep-2018</v>
      </c>
      <c r="G2657" s="105" t="s">
        <v>25</v>
      </c>
      <c r="H2657" s="38" t="s">
        <v>35</v>
      </c>
      <c r="I2657" s="38" t="s">
        <v>989</v>
      </c>
      <c r="J2657" s="38" t="s">
        <v>86</v>
      </c>
      <c r="K2657" s="38" t="s">
        <v>9</v>
      </c>
      <c r="L2657" s="38" t="s">
        <v>24</v>
      </c>
      <c r="M2657" s="38"/>
      <c r="N2657" s="38" t="s">
        <v>106</v>
      </c>
      <c r="O2657" s="105"/>
      <c r="P2657" s="105"/>
      <c r="Q2657" s="106"/>
    </row>
    <row r="2658">
      <c r="A2658" s="94"/>
    </row>
    <row r="2659">
      <c r="A2659" s="133" t="s">
        <v>999</v>
      </c>
      <c r="B2659" s="134" t="s">
        <v>433</v>
      </c>
      <c r="C2659" s="134" t="s">
        <v>74</v>
      </c>
      <c r="D2659" s="133" t="s">
        <v>999</v>
      </c>
      <c r="E2659" s="239">
        <v>43354.0</v>
      </c>
      <c r="F2659" s="70" t="str">
        <f t="shared" ref="F2659:F2683" si="216">TEXT(E2651:E2659, "mmm") &amp; "-" &amp; TEXT(E2651:E2659, "yyyy") </f>
        <v>Sep-2018</v>
      </c>
      <c r="G2659" s="165" t="s">
        <v>20</v>
      </c>
      <c r="H2659" s="73" t="s">
        <v>35</v>
      </c>
      <c r="I2659" s="73" t="s">
        <v>576</v>
      </c>
      <c r="J2659" s="73" t="s">
        <v>27</v>
      </c>
      <c r="K2659" s="218" t="s">
        <v>9</v>
      </c>
      <c r="L2659" s="73" t="s">
        <v>30</v>
      </c>
      <c r="M2659" s="218" t="s">
        <v>30</v>
      </c>
      <c r="N2659" s="218" t="s">
        <v>37</v>
      </c>
      <c r="O2659" s="165"/>
      <c r="P2659" s="165"/>
      <c r="Q2659" s="166"/>
    </row>
    <row r="2660">
      <c r="A2660" s="134" t="s">
        <v>433</v>
      </c>
      <c r="B2660" s="134" t="s">
        <v>433</v>
      </c>
      <c r="C2660" s="134" t="s">
        <v>74</v>
      </c>
      <c r="D2660" s="133" t="s">
        <v>999</v>
      </c>
      <c r="E2660" s="240">
        <v>43354.0</v>
      </c>
      <c r="F2660" s="21" t="str">
        <f t="shared" si="216"/>
        <v>Sep-2018</v>
      </c>
      <c r="G2660" t="s">
        <v>25</v>
      </c>
      <c r="H2660" s="25" t="s">
        <v>35</v>
      </c>
      <c r="I2660" s="25" t="s">
        <v>576</v>
      </c>
      <c r="J2660" s="25" t="s">
        <v>27</v>
      </c>
      <c r="K2660" s="119" t="s">
        <v>9</v>
      </c>
      <c r="L2660" s="25" t="s">
        <v>30</v>
      </c>
      <c r="M2660" s="25"/>
      <c r="N2660" s="25" t="s">
        <v>98</v>
      </c>
      <c r="Q2660" s="99"/>
    </row>
    <row r="2661">
      <c r="A2661" s="134" t="s">
        <v>901</v>
      </c>
      <c r="B2661" s="134" t="s">
        <v>433</v>
      </c>
      <c r="C2661" s="134" t="s">
        <v>74</v>
      </c>
      <c r="D2661" s="133" t="s">
        <v>999</v>
      </c>
      <c r="E2661" s="240">
        <v>43354.0</v>
      </c>
      <c r="F2661" s="21" t="str">
        <f t="shared" si="216"/>
        <v>Sep-2018</v>
      </c>
      <c r="G2661" s="101" t="s">
        <v>20</v>
      </c>
      <c r="H2661" s="16" t="s">
        <v>35</v>
      </c>
      <c r="I2661" s="16" t="s">
        <v>976</v>
      </c>
      <c r="J2661" s="16" t="s">
        <v>48</v>
      </c>
      <c r="K2661" s="16" t="s">
        <v>9</v>
      </c>
      <c r="L2661" s="16" t="s">
        <v>30</v>
      </c>
      <c r="M2661" s="16" t="s">
        <v>30</v>
      </c>
      <c r="N2661" s="16" t="s">
        <v>98</v>
      </c>
      <c r="O2661" s="101"/>
      <c r="P2661" s="101"/>
      <c r="Q2661" s="102"/>
    </row>
    <row r="2662">
      <c r="A2662" s="168">
        <v>43354.0</v>
      </c>
      <c r="B2662" s="134" t="s">
        <v>433</v>
      </c>
      <c r="C2662" s="134" t="s">
        <v>74</v>
      </c>
      <c r="D2662" s="133" t="s">
        <v>999</v>
      </c>
      <c r="E2662" s="240">
        <v>43354.0</v>
      </c>
      <c r="F2662" s="21" t="str">
        <f t="shared" si="216"/>
        <v>Sep-2018</v>
      </c>
      <c r="G2662" s="101" t="s">
        <v>25</v>
      </c>
      <c r="H2662" s="16" t="s">
        <v>35</v>
      </c>
      <c r="I2662" s="16" t="s">
        <v>976</v>
      </c>
      <c r="J2662" s="16" t="s">
        <v>48</v>
      </c>
      <c r="K2662" s="16" t="s">
        <v>9</v>
      </c>
      <c r="L2662" s="16" t="s">
        <v>24</v>
      </c>
      <c r="M2662" s="16"/>
      <c r="N2662" s="16" t="s">
        <v>98</v>
      </c>
      <c r="O2662" s="101"/>
      <c r="P2662" s="101"/>
      <c r="Q2662" s="102"/>
    </row>
    <row r="2663">
      <c r="A2663" s="134" t="s">
        <v>74</v>
      </c>
      <c r="B2663" s="134" t="s">
        <v>433</v>
      </c>
      <c r="C2663" s="134" t="s">
        <v>74</v>
      </c>
      <c r="D2663" s="133" t="s">
        <v>999</v>
      </c>
      <c r="E2663" s="240">
        <v>43354.0</v>
      </c>
      <c r="F2663" s="21" t="str">
        <f t="shared" si="216"/>
        <v>Sep-2018</v>
      </c>
      <c r="G2663" s="101" t="s">
        <v>32</v>
      </c>
      <c r="H2663" s="16" t="s">
        <v>35</v>
      </c>
      <c r="I2663" s="16" t="s">
        <v>976</v>
      </c>
      <c r="J2663" s="16" t="s">
        <v>48</v>
      </c>
      <c r="K2663" s="16" t="s">
        <v>9</v>
      </c>
      <c r="L2663" s="16" t="s">
        <v>30</v>
      </c>
      <c r="M2663" s="16"/>
      <c r="N2663" s="16" t="s">
        <v>106</v>
      </c>
      <c r="O2663" s="101"/>
      <c r="P2663" s="101"/>
      <c r="Q2663" s="102"/>
    </row>
    <row r="2664">
      <c r="A2664" s="176" t="s">
        <v>1000</v>
      </c>
      <c r="B2664" s="134" t="s">
        <v>433</v>
      </c>
      <c r="C2664" s="134" t="s">
        <v>74</v>
      </c>
      <c r="D2664" s="133" t="s">
        <v>999</v>
      </c>
      <c r="E2664" s="240">
        <v>43354.0</v>
      </c>
      <c r="F2664" s="21" t="str">
        <f t="shared" si="216"/>
        <v>Sep-2018</v>
      </c>
      <c r="G2664" t="s">
        <v>20</v>
      </c>
      <c r="H2664" s="25" t="s">
        <v>35</v>
      </c>
      <c r="I2664" s="25" t="s">
        <v>148</v>
      </c>
      <c r="J2664" s="25" t="s">
        <v>27</v>
      </c>
      <c r="K2664" s="119" t="s">
        <v>9</v>
      </c>
      <c r="L2664" s="25" t="s">
        <v>24</v>
      </c>
      <c r="M2664" s="25" t="s">
        <v>24</v>
      </c>
      <c r="N2664" s="25" t="s">
        <v>69</v>
      </c>
      <c r="Q2664" s="99"/>
    </row>
    <row r="2665">
      <c r="A2665" s="140"/>
      <c r="B2665" s="134" t="s">
        <v>433</v>
      </c>
      <c r="C2665" s="134" t="s">
        <v>74</v>
      </c>
      <c r="D2665" s="133" t="s">
        <v>999</v>
      </c>
      <c r="E2665" s="240">
        <v>43354.0</v>
      </c>
      <c r="F2665" s="21" t="str">
        <f t="shared" si="216"/>
        <v>Sep-2018</v>
      </c>
      <c r="G2665" t="s">
        <v>25</v>
      </c>
      <c r="H2665" s="25" t="s">
        <v>35</v>
      </c>
      <c r="I2665" s="25" t="s">
        <v>148</v>
      </c>
      <c r="J2665" s="25" t="s">
        <v>27</v>
      </c>
      <c r="K2665" s="119" t="s">
        <v>9</v>
      </c>
      <c r="L2665" s="25" t="s">
        <v>24</v>
      </c>
      <c r="M2665" s="25"/>
      <c r="N2665" s="25" t="s">
        <v>106</v>
      </c>
      <c r="Q2665" s="99"/>
    </row>
    <row r="2666">
      <c r="A2666" s="140"/>
      <c r="B2666" s="134" t="s">
        <v>433</v>
      </c>
      <c r="C2666" s="134" t="s">
        <v>74</v>
      </c>
      <c r="D2666" s="133" t="s">
        <v>999</v>
      </c>
      <c r="E2666" s="240">
        <v>43354.0</v>
      </c>
      <c r="F2666" s="21" t="str">
        <f t="shared" si="216"/>
        <v>Sep-2018</v>
      </c>
      <c r="G2666" s="101" t="s">
        <v>20</v>
      </c>
      <c r="H2666" s="16" t="s">
        <v>35</v>
      </c>
      <c r="I2666" s="16" t="s">
        <v>163</v>
      </c>
      <c r="J2666" s="16" t="s">
        <v>44</v>
      </c>
      <c r="K2666" s="16" t="s">
        <v>9</v>
      </c>
      <c r="L2666" s="16" t="s">
        <v>30</v>
      </c>
      <c r="M2666" s="16" t="s">
        <v>30</v>
      </c>
      <c r="N2666" s="16" t="s">
        <v>69</v>
      </c>
      <c r="O2666" s="101"/>
      <c r="P2666" s="101"/>
      <c r="Q2666" s="102"/>
    </row>
    <row r="2667">
      <c r="A2667" s="140"/>
      <c r="B2667" s="134" t="s">
        <v>433</v>
      </c>
      <c r="C2667" s="134" t="s">
        <v>74</v>
      </c>
      <c r="D2667" s="133" t="s">
        <v>999</v>
      </c>
      <c r="E2667" s="240">
        <v>43354.0</v>
      </c>
      <c r="F2667" s="21" t="str">
        <f t="shared" si="216"/>
        <v>Sep-2018</v>
      </c>
      <c r="G2667" s="101" t="s">
        <v>25</v>
      </c>
      <c r="H2667" s="16" t="s">
        <v>35</v>
      </c>
      <c r="I2667" s="16" t="s">
        <v>163</v>
      </c>
      <c r="J2667" s="16" t="s">
        <v>44</v>
      </c>
      <c r="K2667" s="16" t="s">
        <v>9</v>
      </c>
      <c r="L2667" s="16" t="s">
        <v>30</v>
      </c>
      <c r="M2667" s="16"/>
      <c r="N2667" s="16" t="s">
        <v>69</v>
      </c>
      <c r="O2667" s="101"/>
      <c r="P2667" s="101"/>
      <c r="Q2667" s="102"/>
    </row>
    <row r="2668">
      <c r="A2668" s="140"/>
      <c r="B2668" s="134" t="s">
        <v>433</v>
      </c>
      <c r="C2668" s="134" t="s">
        <v>74</v>
      </c>
      <c r="D2668" s="133" t="s">
        <v>999</v>
      </c>
      <c r="E2668" s="240">
        <v>43354.0</v>
      </c>
      <c r="F2668" s="21" t="str">
        <f t="shared" si="216"/>
        <v>Sep-2018</v>
      </c>
      <c r="G2668" t="s">
        <v>146</v>
      </c>
      <c r="H2668" s="25" t="s">
        <v>35</v>
      </c>
      <c r="I2668" s="25" t="s">
        <v>989</v>
      </c>
      <c r="J2668" s="25" t="s">
        <v>86</v>
      </c>
      <c r="K2668" s="119" t="s">
        <v>9</v>
      </c>
      <c r="L2668" s="25" t="s">
        <v>30</v>
      </c>
      <c r="M2668" s="25" t="s">
        <v>30</v>
      </c>
      <c r="N2668" s="25" t="s">
        <v>69</v>
      </c>
      <c r="Q2668" s="99"/>
    </row>
    <row r="2669">
      <c r="A2669" s="140"/>
      <c r="B2669" s="134" t="s">
        <v>433</v>
      </c>
      <c r="C2669" s="134" t="s">
        <v>74</v>
      </c>
      <c r="D2669" s="133" t="s">
        <v>999</v>
      </c>
      <c r="E2669" s="240">
        <v>43354.0</v>
      </c>
      <c r="F2669" s="21" t="str">
        <f t="shared" si="216"/>
        <v>Sep-2018</v>
      </c>
      <c r="G2669" t="s">
        <v>149</v>
      </c>
      <c r="H2669" s="25" t="s">
        <v>35</v>
      </c>
      <c r="I2669" s="25" t="s">
        <v>989</v>
      </c>
      <c r="J2669" s="25" t="s">
        <v>86</v>
      </c>
      <c r="K2669" s="119" t="s">
        <v>9</v>
      </c>
      <c r="L2669" s="25" t="s">
        <v>30</v>
      </c>
      <c r="M2669" s="119"/>
      <c r="N2669" s="119" t="s">
        <v>37</v>
      </c>
      <c r="Q2669" s="99"/>
    </row>
    <row r="2670">
      <c r="A2670" s="140"/>
      <c r="B2670" s="134" t="s">
        <v>433</v>
      </c>
      <c r="C2670" s="134" t="s">
        <v>74</v>
      </c>
      <c r="D2670" s="133" t="s">
        <v>999</v>
      </c>
      <c r="E2670" s="240">
        <v>43354.0</v>
      </c>
      <c r="F2670" s="21" t="str">
        <f t="shared" si="216"/>
        <v>Sep-2018</v>
      </c>
      <c r="G2670" t="s">
        <v>222</v>
      </c>
      <c r="H2670" s="25" t="s">
        <v>35</v>
      </c>
      <c r="I2670" s="25" t="s">
        <v>989</v>
      </c>
      <c r="J2670" s="25" t="s">
        <v>86</v>
      </c>
      <c r="K2670" s="119" t="s">
        <v>9</v>
      </c>
      <c r="L2670" s="25" t="s">
        <v>30</v>
      </c>
      <c r="M2670" s="119"/>
      <c r="N2670" s="119" t="s">
        <v>37</v>
      </c>
      <c r="Q2670" s="99"/>
    </row>
    <row r="2671">
      <c r="A2671" s="140"/>
      <c r="B2671" s="134" t="s">
        <v>433</v>
      </c>
      <c r="C2671" s="134" t="s">
        <v>74</v>
      </c>
      <c r="D2671" s="133" t="s">
        <v>999</v>
      </c>
      <c r="E2671" s="240">
        <v>43354.0</v>
      </c>
      <c r="F2671" s="21" t="str">
        <f t="shared" si="216"/>
        <v>Sep-2018</v>
      </c>
      <c r="G2671" s="101" t="s">
        <v>146</v>
      </c>
      <c r="H2671" s="16" t="s">
        <v>35</v>
      </c>
      <c r="I2671" s="16" t="s">
        <v>633</v>
      </c>
      <c r="J2671" s="16" t="s">
        <v>27</v>
      </c>
      <c r="K2671" s="16" t="s">
        <v>9</v>
      </c>
      <c r="L2671" s="16" t="s">
        <v>30</v>
      </c>
      <c r="M2671" s="16" t="s">
        <v>30</v>
      </c>
      <c r="N2671" s="16" t="s">
        <v>69</v>
      </c>
      <c r="O2671" s="101"/>
      <c r="P2671" s="101"/>
      <c r="Q2671" s="102"/>
    </row>
    <row r="2672">
      <c r="A2672" s="140"/>
      <c r="B2672" s="134" t="s">
        <v>433</v>
      </c>
      <c r="C2672" s="134" t="s">
        <v>74</v>
      </c>
      <c r="D2672" s="133" t="s">
        <v>999</v>
      </c>
      <c r="E2672" s="240">
        <v>43354.0</v>
      </c>
      <c r="F2672" s="21" t="str">
        <f t="shared" si="216"/>
        <v>Sep-2018</v>
      </c>
      <c r="G2672" s="101" t="s">
        <v>149</v>
      </c>
      <c r="H2672" s="16" t="s">
        <v>35</v>
      </c>
      <c r="I2672" s="16" t="s">
        <v>633</v>
      </c>
      <c r="J2672" s="16" t="s">
        <v>27</v>
      </c>
      <c r="K2672" s="16" t="s">
        <v>9</v>
      </c>
      <c r="L2672" s="16" t="s">
        <v>30</v>
      </c>
      <c r="M2672" s="16"/>
      <c r="N2672" s="16" t="s">
        <v>99</v>
      </c>
      <c r="O2672" s="101"/>
      <c r="P2672" s="101"/>
      <c r="Q2672" s="102"/>
    </row>
    <row r="2673">
      <c r="A2673" s="140"/>
      <c r="B2673" s="134" t="s">
        <v>433</v>
      </c>
      <c r="C2673" s="134" t="s">
        <v>74</v>
      </c>
      <c r="D2673" s="133" t="s">
        <v>999</v>
      </c>
      <c r="E2673" s="240">
        <v>43354.0</v>
      </c>
      <c r="F2673" s="21" t="str">
        <f t="shared" si="216"/>
        <v>Sep-2018</v>
      </c>
      <c r="G2673" s="101" t="s">
        <v>222</v>
      </c>
      <c r="H2673" s="16" t="s">
        <v>35</v>
      </c>
      <c r="I2673" s="16" t="s">
        <v>633</v>
      </c>
      <c r="J2673" s="16" t="s">
        <v>27</v>
      </c>
      <c r="K2673" s="16" t="s">
        <v>9</v>
      </c>
      <c r="L2673" s="16" t="s">
        <v>24</v>
      </c>
      <c r="M2673" s="16"/>
      <c r="N2673" s="16" t="s">
        <v>99</v>
      </c>
      <c r="O2673" s="101"/>
      <c r="P2673" s="101"/>
      <c r="Q2673" s="102"/>
    </row>
    <row r="2674">
      <c r="A2674" s="140"/>
      <c r="B2674" s="134" t="s">
        <v>433</v>
      </c>
      <c r="C2674" s="134" t="s">
        <v>74</v>
      </c>
      <c r="D2674" s="133" t="s">
        <v>999</v>
      </c>
      <c r="E2674" s="240">
        <v>43354.0</v>
      </c>
      <c r="F2674" s="21" t="str">
        <f t="shared" si="216"/>
        <v>Sep-2018</v>
      </c>
      <c r="G2674" s="101" t="s">
        <v>467</v>
      </c>
      <c r="H2674" s="16" t="s">
        <v>35</v>
      </c>
      <c r="I2674" s="16" t="s">
        <v>633</v>
      </c>
      <c r="J2674" s="16" t="s">
        <v>27</v>
      </c>
      <c r="K2674" s="16" t="s">
        <v>9</v>
      </c>
      <c r="L2674" s="16" t="s">
        <v>30</v>
      </c>
      <c r="M2674" s="16"/>
      <c r="N2674" s="16" t="s">
        <v>106</v>
      </c>
      <c r="O2674" s="101"/>
      <c r="P2674" s="101"/>
      <c r="Q2674" s="102"/>
    </row>
    <row r="2675">
      <c r="A2675" s="140"/>
      <c r="B2675" s="134" t="s">
        <v>433</v>
      </c>
      <c r="C2675" s="134" t="s">
        <v>74</v>
      </c>
      <c r="D2675" s="133" t="s">
        <v>999</v>
      </c>
      <c r="E2675" s="240">
        <v>43354.0</v>
      </c>
      <c r="F2675" s="21" t="str">
        <f t="shared" si="216"/>
        <v>Sep-2018</v>
      </c>
      <c r="G2675" s="32" t="s">
        <v>146</v>
      </c>
      <c r="H2675" s="25" t="s">
        <v>35</v>
      </c>
      <c r="I2675" s="25" t="s">
        <v>361</v>
      </c>
      <c r="J2675" s="25" t="s">
        <v>44</v>
      </c>
      <c r="K2675" s="119" t="s">
        <v>9</v>
      </c>
      <c r="L2675" s="25" t="s">
        <v>30</v>
      </c>
      <c r="M2675" s="25" t="s">
        <v>30</v>
      </c>
      <c r="N2675" s="25" t="s">
        <v>69</v>
      </c>
      <c r="Q2675" s="99"/>
    </row>
    <row r="2676">
      <c r="A2676" s="140"/>
      <c r="B2676" s="134" t="s">
        <v>433</v>
      </c>
      <c r="C2676" s="134" t="s">
        <v>74</v>
      </c>
      <c r="D2676" s="133" t="s">
        <v>999</v>
      </c>
      <c r="E2676" s="240">
        <v>43354.0</v>
      </c>
      <c r="F2676" s="21" t="str">
        <f t="shared" si="216"/>
        <v>Sep-2018</v>
      </c>
      <c r="G2676" s="32" t="s">
        <v>149</v>
      </c>
      <c r="H2676" s="25" t="s">
        <v>35</v>
      </c>
      <c r="I2676" s="25" t="s">
        <v>361</v>
      </c>
      <c r="J2676" s="25" t="s">
        <v>44</v>
      </c>
      <c r="K2676" s="119" t="s">
        <v>9</v>
      </c>
      <c r="L2676" s="25" t="s">
        <v>30</v>
      </c>
      <c r="M2676" s="25"/>
      <c r="N2676" s="25" t="s">
        <v>29</v>
      </c>
      <c r="Q2676" s="99"/>
    </row>
    <row r="2677">
      <c r="A2677" s="140"/>
      <c r="B2677" s="134" t="s">
        <v>433</v>
      </c>
      <c r="C2677" s="134" t="s">
        <v>74</v>
      </c>
      <c r="D2677" s="133" t="s">
        <v>999</v>
      </c>
      <c r="E2677" s="240">
        <v>43354.0</v>
      </c>
      <c r="F2677" s="21" t="str">
        <f t="shared" si="216"/>
        <v>Sep-2018</v>
      </c>
      <c r="G2677" s="32" t="s">
        <v>222</v>
      </c>
      <c r="H2677" s="25" t="s">
        <v>35</v>
      </c>
      <c r="I2677" s="25" t="s">
        <v>361</v>
      </c>
      <c r="J2677" s="25" t="s">
        <v>44</v>
      </c>
      <c r="K2677" s="119" t="s">
        <v>9</v>
      </c>
      <c r="L2677" s="25" t="s">
        <v>24</v>
      </c>
      <c r="M2677" s="25"/>
      <c r="N2677" s="25" t="s">
        <v>29</v>
      </c>
      <c r="Q2677" s="99"/>
    </row>
    <row r="2678">
      <c r="A2678" s="140"/>
      <c r="B2678" s="134" t="s">
        <v>433</v>
      </c>
      <c r="C2678" s="134" t="s">
        <v>74</v>
      </c>
      <c r="D2678" s="133" t="s">
        <v>999</v>
      </c>
      <c r="E2678" s="240">
        <v>43354.0</v>
      </c>
      <c r="F2678" s="21" t="str">
        <f t="shared" si="216"/>
        <v>Sep-2018</v>
      </c>
      <c r="G2678" s="32" t="s">
        <v>467</v>
      </c>
      <c r="H2678" s="25" t="s">
        <v>35</v>
      </c>
      <c r="I2678" s="25" t="s">
        <v>361</v>
      </c>
      <c r="J2678" s="25" t="s">
        <v>44</v>
      </c>
      <c r="K2678" s="119" t="s">
        <v>9</v>
      </c>
      <c r="L2678" s="25" t="s">
        <v>24</v>
      </c>
      <c r="M2678" s="119"/>
      <c r="N2678" s="119" t="s">
        <v>37</v>
      </c>
      <c r="Q2678" s="99"/>
    </row>
    <row r="2679">
      <c r="A2679" s="140"/>
      <c r="B2679" s="134" t="s">
        <v>433</v>
      </c>
      <c r="C2679" s="134" t="s">
        <v>74</v>
      </c>
      <c r="D2679" s="133" t="s">
        <v>999</v>
      </c>
      <c r="E2679" s="240">
        <v>43354.0</v>
      </c>
      <c r="F2679" s="21" t="str">
        <f t="shared" si="216"/>
        <v>Sep-2018</v>
      </c>
      <c r="G2679" s="32" t="s">
        <v>480</v>
      </c>
      <c r="H2679" s="25" t="s">
        <v>35</v>
      </c>
      <c r="I2679" s="25" t="s">
        <v>361</v>
      </c>
      <c r="J2679" s="25" t="s">
        <v>44</v>
      </c>
      <c r="K2679" s="119" t="s">
        <v>9</v>
      </c>
      <c r="L2679" s="25" t="s">
        <v>30</v>
      </c>
      <c r="M2679" s="119"/>
      <c r="N2679" s="119" t="s">
        <v>37</v>
      </c>
      <c r="Q2679" s="99"/>
    </row>
    <row r="2680">
      <c r="A2680" s="140"/>
      <c r="B2680" s="134" t="s">
        <v>433</v>
      </c>
      <c r="C2680" s="134" t="s">
        <v>74</v>
      </c>
      <c r="D2680" s="133" t="s">
        <v>999</v>
      </c>
      <c r="E2680" s="240">
        <v>43354.0</v>
      </c>
      <c r="F2680" s="21" t="str">
        <f t="shared" si="216"/>
        <v>Sep-2018</v>
      </c>
      <c r="G2680" s="19" t="s">
        <v>146</v>
      </c>
      <c r="H2680" s="16" t="s">
        <v>35</v>
      </c>
      <c r="I2680" s="16" t="s">
        <v>452</v>
      </c>
      <c r="J2680" s="16" t="s">
        <v>27</v>
      </c>
      <c r="K2680" s="16" t="s">
        <v>9</v>
      </c>
      <c r="L2680" s="16" t="s">
        <v>30</v>
      </c>
      <c r="M2680" s="16" t="s">
        <v>24</v>
      </c>
      <c r="N2680" s="16" t="s">
        <v>37</v>
      </c>
      <c r="O2680" s="101"/>
      <c r="P2680" s="101"/>
      <c r="Q2680" s="102"/>
    </row>
    <row r="2681">
      <c r="A2681" s="140"/>
      <c r="B2681" s="134" t="s">
        <v>433</v>
      </c>
      <c r="C2681" s="134" t="s">
        <v>74</v>
      </c>
      <c r="D2681" s="133" t="s">
        <v>999</v>
      </c>
      <c r="E2681" s="240">
        <v>43354.0</v>
      </c>
      <c r="F2681" s="21" t="str">
        <f t="shared" si="216"/>
        <v>Sep-2018</v>
      </c>
      <c r="G2681" s="19" t="s">
        <v>149</v>
      </c>
      <c r="H2681" s="16" t="s">
        <v>35</v>
      </c>
      <c r="I2681" s="16" t="s">
        <v>452</v>
      </c>
      <c r="J2681" s="16" t="s">
        <v>27</v>
      </c>
      <c r="K2681" s="16" t="s">
        <v>9</v>
      </c>
      <c r="L2681" s="16" t="s">
        <v>24</v>
      </c>
      <c r="M2681" s="16"/>
      <c r="N2681" s="16" t="s">
        <v>99</v>
      </c>
      <c r="O2681" s="101"/>
      <c r="P2681" s="101"/>
      <c r="Q2681" s="102"/>
    </row>
    <row r="2682">
      <c r="A2682" s="140"/>
      <c r="B2682" s="134" t="s">
        <v>433</v>
      </c>
      <c r="C2682" s="134" t="s">
        <v>74</v>
      </c>
      <c r="D2682" s="133" t="s">
        <v>999</v>
      </c>
      <c r="E2682" s="240">
        <v>43354.0</v>
      </c>
      <c r="F2682" s="21" t="str">
        <f t="shared" si="216"/>
        <v>Sep-2018</v>
      </c>
      <c r="G2682" s="19" t="s">
        <v>222</v>
      </c>
      <c r="H2682" s="16" t="s">
        <v>35</v>
      </c>
      <c r="I2682" s="16" t="s">
        <v>452</v>
      </c>
      <c r="J2682" s="16" t="s">
        <v>27</v>
      </c>
      <c r="K2682" s="16" t="s">
        <v>9</v>
      </c>
      <c r="L2682" s="16" t="s">
        <v>24</v>
      </c>
      <c r="M2682" s="16"/>
      <c r="N2682" s="16" t="s">
        <v>98</v>
      </c>
      <c r="O2682" s="101"/>
      <c r="P2682" s="101"/>
      <c r="Q2682" s="102"/>
    </row>
    <row r="2683">
      <c r="A2683" s="141"/>
      <c r="B2683" s="134" t="s">
        <v>433</v>
      </c>
      <c r="C2683" s="134" t="s">
        <v>74</v>
      </c>
      <c r="D2683" s="277" t="s">
        <v>999</v>
      </c>
      <c r="E2683" s="241">
        <v>43354.0</v>
      </c>
      <c r="F2683" s="51" t="str">
        <f t="shared" si="216"/>
        <v>Sep-2018</v>
      </c>
      <c r="G2683" s="39" t="s">
        <v>467</v>
      </c>
      <c r="H2683" s="38" t="s">
        <v>35</v>
      </c>
      <c r="I2683" s="38" t="s">
        <v>452</v>
      </c>
      <c r="J2683" s="38" t="s">
        <v>27</v>
      </c>
      <c r="K2683" s="38" t="s">
        <v>9</v>
      </c>
      <c r="L2683" s="38" t="s">
        <v>24</v>
      </c>
      <c r="M2683" s="38"/>
      <c r="N2683" s="38" t="s">
        <v>106</v>
      </c>
      <c r="O2683" s="105"/>
      <c r="P2683" s="105"/>
      <c r="Q2683" s="106"/>
    </row>
    <row r="2684">
      <c r="A2684" s="94"/>
      <c r="G2684" s="32"/>
    </row>
    <row r="2685">
      <c r="A2685" s="133" t="s">
        <v>1001</v>
      </c>
      <c r="B2685" s="134" t="s">
        <v>433</v>
      </c>
      <c r="C2685" s="134" t="s">
        <v>74</v>
      </c>
      <c r="D2685" s="133" t="s">
        <v>1001</v>
      </c>
      <c r="E2685" s="223">
        <v>43361.0</v>
      </c>
      <c r="F2685" s="70" t="str">
        <f t="shared" ref="F2685:F2695" si="217">TEXT(E2677:E2685, "mmm") &amp; "-" &amp; TEXT(E2677:E2685, "yyyy") </f>
        <v>Sep-2018</v>
      </c>
      <c r="G2685" s="165" t="s">
        <v>20</v>
      </c>
      <c r="H2685" s="73" t="s">
        <v>35</v>
      </c>
      <c r="I2685" s="73" t="s">
        <v>122</v>
      </c>
      <c r="J2685" s="73" t="s">
        <v>44</v>
      </c>
      <c r="K2685" s="73" t="s">
        <v>9</v>
      </c>
      <c r="L2685" s="73" t="s">
        <v>30</v>
      </c>
      <c r="M2685" s="73" t="s">
        <v>30</v>
      </c>
      <c r="N2685" s="73" t="s">
        <v>99</v>
      </c>
      <c r="O2685" s="165"/>
      <c r="P2685" s="165"/>
      <c r="Q2685" s="166"/>
    </row>
    <row r="2686">
      <c r="A2686" s="134" t="s">
        <v>433</v>
      </c>
      <c r="B2686" s="134" t="s">
        <v>433</v>
      </c>
      <c r="C2686" s="134" t="s">
        <v>74</v>
      </c>
      <c r="D2686" s="133" t="s">
        <v>1001</v>
      </c>
      <c r="E2686" s="168">
        <v>43361.0</v>
      </c>
      <c r="F2686" s="21" t="str">
        <f t="shared" si="217"/>
        <v>Sep-2018</v>
      </c>
      <c r="G2686" t="s">
        <v>25</v>
      </c>
      <c r="H2686" s="25" t="s">
        <v>35</v>
      </c>
      <c r="I2686" s="25" t="s">
        <v>122</v>
      </c>
      <c r="J2686" s="25" t="s">
        <v>44</v>
      </c>
      <c r="K2686" s="25" t="s">
        <v>9</v>
      </c>
      <c r="L2686" s="25" t="s">
        <v>30</v>
      </c>
      <c r="M2686" s="25"/>
      <c r="N2686" s="25" t="s">
        <v>98</v>
      </c>
      <c r="Q2686" s="99"/>
    </row>
    <row r="2687">
      <c r="A2687" s="134" t="s">
        <v>901</v>
      </c>
      <c r="B2687" s="134" t="s">
        <v>433</v>
      </c>
      <c r="C2687" s="134" t="s">
        <v>74</v>
      </c>
      <c r="D2687" s="133" t="s">
        <v>1001</v>
      </c>
      <c r="E2687" s="168">
        <v>43361.0</v>
      </c>
      <c r="F2687" s="21" t="str">
        <f t="shared" si="217"/>
        <v>Sep-2018</v>
      </c>
      <c r="G2687" s="101" t="s">
        <v>20</v>
      </c>
      <c r="H2687" s="16" t="s">
        <v>35</v>
      </c>
      <c r="I2687" s="16" t="s">
        <v>194</v>
      </c>
      <c r="J2687" s="16" t="s">
        <v>23</v>
      </c>
      <c r="K2687" s="16" t="s">
        <v>9</v>
      </c>
      <c r="L2687" s="16" t="s">
        <v>24</v>
      </c>
      <c r="M2687" s="16" t="s">
        <v>24</v>
      </c>
      <c r="N2687" s="16" t="s">
        <v>37</v>
      </c>
      <c r="O2687" s="101"/>
      <c r="P2687" s="101"/>
      <c r="Q2687" s="102"/>
    </row>
    <row r="2688">
      <c r="A2688" s="168">
        <v>43361.0</v>
      </c>
      <c r="B2688" s="134" t="s">
        <v>433</v>
      </c>
      <c r="C2688" s="134" t="s">
        <v>74</v>
      </c>
      <c r="D2688" s="133" t="s">
        <v>1001</v>
      </c>
      <c r="E2688" s="168">
        <v>43361.0</v>
      </c>
      <c r="F2688" s="21" t="str">
        <f t="shared" si="217"/>
        <v>Sep-2018</v>
      </c>
      <c r="G2688" s="101" t="s">
        <v>25</v>
      </c>
      <c r="H2688" s="16" t="s">
        <v>35</v>
      </c>
      <c r="I2688" s="16" t="s">
        <v>194</v>
      </c>
      <c r="J2688" s="16" t="s">
        <v>23</v>
      </c>
      <c r="K2688" s="16" t="s">
        <v>9</v>
      </c>
      <c r="L2688" s="16" t="s">
        <v>30</v>
      </c>
      <c r="M2688" s="16"/>
      <c r="N2688" s="16" t="s">
        <v>106</v>
      </c>
      <c r="O2688" s="101"/>
      <c r="P2688" s="101"/>
      <c r="Q2688" s="102"/>
    </row>
    <row r="2689">
      <c r="A2689" s="134" t="s">
        <v>74</v>
      </c>
      <c r="B2689" s="134" t="s">
        <v>433</v>
      </c>
      <c r="C2689" s="134" t="s">
        <v>74</v>
      </c>
      <c r="D2689" s="133" t="s">
        <v>1001</v>
      </c>
      <c r="E2689" s="168">
        <v>43361.0</v>
      </c>
      <c r="F2689" s="21" t="str">
        <f t="shared" si="217"/>
        <v>Sep-2018</v>
      </c>
      <c r="G2689" s="101" t="s">
        <v>32</v>
      </c>
      <c r="H2689" s="16" t="s">
        <v>35</v>
      </c>
      <c r="I2689" s="16" t="s">
        <v>194</v>
      </c>
      <c r="J2689" s="16" t="s">
        <v>23</v>
      </c>
      <c r="K2689" s="16" t="s">
        <v>9</v>
      </c>
      <c r="L2689" s="16" t="s">
        <v>24</v>
      </c>
      <c r="M2689" s="16"/>
      <c r="N2689" s="16" t="s">
        <v>99</v>
      </c>
      <c r="O2689" s="101"/>
      <c r="P2689" s="101"/>
      <c r="Q2689" s="102"/>
    </row>
    <row r="2690">
      <c r="A2690" s="176" t="s">
        <v>1002</v>
      </c>
      <c r="B2690" s="134" t="s">
        <v>433</v>
      </c>
      <c r="C2690" s="134" t="s">
        <v>74</v>
      </c>
      <c r="D2690" s="133" t="s">
        <v>1001</v>
      </c>
      <c r="E2690" s="168">
        <v>43361.0</v>
      </c>
      <c r="F2690" s="21" t="str">
        <f t="shared" si="217"/>
        <v>Sep-2018</v>
      </c>
      <c r="G2690" s="32" t="s">
        <v>20</v>
      </c>
      <c r="H2690" s="25" t="s">
        <v>35</v>
      </c>
      <c r="I2690" s="25" t="s">
        <v>302</v>
      </c>
      <c r="J2690" s="25" t="s">
        <v>27</v>
      </c>
      <c r="K2690" s="25" t="s">
        <v>9</v>
      </c>
      <c r="L2690" s="25" t="s">
        <v>30</v>
      </c>
      <c r="M2690" s="25" t="s">
        <v>30</v>
      </c>
      <c r="N2690" s="25" t="s">
        <v>98</v>
      </c>
      <c r="Q2690" s="99"/>
    </row>
    <row r="2691">
      <c r="A2691" s="134" t="s">
        <v>1003</v>
      </c>
      <c r="B2691" s="134" t="s">
        <v>433</v>
      </c>
      <c r="C2691" s="134" t="s">
        <v>74</v>
      </c>
      <c r="D2691" s="133" t="s">
        <v>1001</v>
      </c>
      <c r="E2691" s="168">
        <v>43361.0</v>
      </c>
      <c r="F2691" s="21" t="str">
        <f t="shared" si="217"/>
        <v>Sep-2018</v>
      </c>
      <c r="G2691" s="32" t="s">
        <v>25</v>
      </c>
      <c r="H2691" s="25" t="s">
        <v>35</v>
      </c>
      <c r="I2691" s="25" t="s">
        <v>302</v>
      </c>
      <c r="J2691" s="25" t="s">
        <v>27</v>
      </c>
      <c r="K2691" s="25" t="s">
        <v>9</v>
      </c>
      <c r="L2691" s="25" t="s">
        <v>30</v>
      </c>
      <c r="M2691" s="25"/>
      <c r="N2691" s="25" t="s">
        <v>69</v>
      </c>
      <c r="Q2691" s="99"/>
    </row>
    <row r="2692">
      <c r="A2692" s="176" t="s">
        <v>1004</v>
      </c>
      <c r="B2692" s="134" t="s">
        <v>433</v>
      </c>
      <c r="C2692" s="134" t="s">
        <v>74</v>
      </c>
      <c r="D2692" s="133" t="s">
        <v>1001</v>
      </c>
      <c r="E2692" s="168">
        <v>43361.0</v>
      </c>
      <c r="F2692" s="21" t="str">
        <f t="shared" si="217"/>
        <v>Sep-2018</v>
      </c>
      <c r="G2692" s="19" t="s">
        <v>146</v>
      </c>
      <c r="H2692" s="16" t="s">
        <v>35</v>
      </c>
      <c r="I2692" s="16" t="s">
        <v>148</v>
      </c>
      <c r="J2692" s="16" t="s">
        <v>27</v>
      </c>
      <c r="K2692" s="16" t="s">
        <v>9</v>
      </c>
      <c r="L2692" s="16" t="s">
        <v>24</v>
      </c>
      <c r="M2692" s="16" t="s">
        <v>24</v>
      </c>
      <c r="N2692" s="16" t="s">
        <v>29</v>
      </c>
      <c r="O2692" s="101"/>
      <c r="P2692" s="101"/>
      <c r="Q2692" s="102"/>
    </row>
    <row r="2693">
      <c r="A2693" s="134"/>
      <c r="B2693" s="134" t="s">
        <v>433</v>
      </c>
      <c r="C2693" s="134" t="s">
        <v>74</v>
      </c>
      <c r="D2693" s="133" t="s">
        <v>1001</v>
      </c>
      <c r="E2693" s="168">
        <v>43361.0</v>
      </c>
      <c r="F2693" s="21" t="str">
        <f t="shared" si="217"/>
        <v>Sep-2018</v>
      </c>
      <c r="G2693" s="19" t="s">
        <v>149</v>
      </c>
      <c r="H2693" s="16" t="s">
        <v>35</v>
      </c>
      <c r="I2693" s="16" t="s">
        <v>148</v>
      </c>
      <c r="J2693" s="16" t="s">
        <v>27</v>
      </c>
      <c r="K2693" s="16" t="s">
        <v>9</v>
      </c>
      <c r="L2693" s="16" t="s">
        <v>24</v>
      </c>
      <c r="M2693" s="16"/>
      <c r="N2693" s="16" t="s">
        <v>106</v>
      </c>
      <c r="O2693" s="101"/>
      <c r="P2693" s="101"/>
      <c r="Q2693" s="102"/>
    </row>
    <row r="2694">
      <c r="A2694" s="134"/>
      <c r="B2694" s="134" t="s">
        <v>433</v>
      </c>
      <c r="C2694" s="134" t="s">
        <v>74</v>
      </c>
      <c r="D2694" s="133" t="s">
        <v>1001</v>
      </c>
      <c r="E2694" s="168">
        <v>43361.0</v>
      </c>
      <c r="F2694" s="21" t="str">
        <f t="shared" si="217"/>
        <v>Sep-2018</v>
      </c>
      <c r="G2694" s="19" t="s">
        <v>222</v>
      </c>
      <c r="H2694" s="16" t="s">
        <v>35</v>
      </c>
      <c r="I2694" s="16" t="s">
        <v>148</v>
      </c>
      <c r="J2694" s="16" t="s">
        <v>27</v>
      </c>
      <c r="K2694" s="16" t="s">
        <v>9</v>
      </c>
      <c r="L2694" s="16" t="s">
        <v>30</v>
      </c>
      <c r="M2694" s="16"/>
      <c r="N2694" s="16" t="s">
        <v>37</v>
      </c>
      <c r="O2694" s="101"/>
      <c r="P2694" s="101"/>
      <c r="Q2694" s="102"/>
    </row>
    <row r="2695">
      <c r="A2695" s="204"/>
      <c r="B2695" s="134" t="s">
        <v>433</v>
      </c>
      <c r="C2695" s="134" t="s">
        <v>74</v>
      </c>
      <c r="D2695" s="277" t="s">
        <v>1001</v>
      </c>
      <c r="E2695" s="170">
        <v>43361.0</v>
      </c>
      <c r="F2695" s="51" t="str">
        <f t="shared" si="217"/>
        <v>Sep-2018</v>
      </c>
      <c r="G2695" s="39" t="s">
        <v>467</v>
      </c>
      <c r="H2695" s="38" t="s">
        <v>35</v>
      </c>
      <c r="I2695" s="38" t="s">
        <v>148</v>
      </c>
      <c r="J2695" s="38" t="s">
        <v>27</v>
      </c>
      <c r="K2695" s="38" t="s">
        <v>9</v>
      </c>
      <c r="L2695" s="38" t="s">
        <v>24</v>
      </c>
      <c r="M2695" s="38"/>
      <c r="N2695" s="38" t="s">
        <v>69</v>
      </c>
      <c r="O2695" s="105"/>
      <c r="P2695" s="105"/>
      <c r="Q2695" s="106"/>
    </row>
    <row r="2696">
      <c r="A2696" s="94"/>
    </row>
    <row r="2697">
      <c r="A2697" s="133" t="s">
        <v>1005</v>
      </c>
      <c r="B2697" s="134" t="s">
        <v>433</v>
      </c>
      <c r="C2697" s="134" t="s">
        <v>74</v>
      </c>
      <c r="D2697" s="133" t="s">
        <v>1005</v>
      </c>
      <c r="E2697" s="223">
        <v>43368.0</v>
      </c>
      <c r="F2697" s="70" t="str">
        <f t="shared" ref="F2697:F2714" si="218">TEXT(E2689:E2697, "mmm") &amp; "-" &amp; TEXT(E2689:E2697, "yyyy") </f>
        <v>Sep-2018</v>
      </c>
      <c r="G2697" s="165" t="s">
        <v>20</v>
      </c>
      <c r="H2697" s="73" t="s">
        <v>35</v>
      </c>
      <c r="I2697" s="73" t="s">
        <v>1006</v>
      </c>
      <c r="J2697" s="73" t="s">
        <v>27</v>
      </c>
      <c r="K2697" s="73" t="s">
        <v>9</v>
      </c>
      <c r="L2697" s="73" t="s">
        <v>30</v>
      </c>
      <c r="M2697" s="73" t="s">
        <v>30</v>
      </c>
      <c r="N2697" s="73" t="s">
        <v>98</v>
      </c>
      <c r="O2697" s="165"/>
      <c r="P2697" s="165"/>
      <c r="Q2697" s="166"/>
    </row>
    <row r="2698">
      <c r="A2698" s="134" t="s">
        <v>433</v>
      </c>
      <c r="B2698" s="134" t="s">
        <v>433</v>
      </c>
      <c r="C2698" s="134" t="s">
        <v>74</v>
      </c>
      <c r="D2698" s="133" t="s">
        <v>1005</v>
      </c>
      <c r="E2698" s="168">
        <v>43368.0</v>
      </c>
      <c r="F2698" s="21" t="str">
        <f t="shared" si="218"/>
        <v>Sep-2018</v>
      </c>
      <c r="G2698" t="s">
        <v>25</v>
      </c>
      <c r="H2698" s="25" t="s">
        <v>35</v>
      </c>
      <c r="I2698" s="25" t="s">
        <v>1006</v>
      </c>
      <c r="J2698" s="25" t="s">
        <v>27</v>
      </c>
      <c r="K2698" s="25" t="s">
        <v>9</v>
      </c>
      <c r="L2698" s="25" t="s">
        <v>30</v>
      </c>
      <c r="M2698" s="25"/>
      <c r="N2698" s="25" t="s">
        <v>98</v>
      </c>
      <c r="Q2698" s="99"/>
    </row>
    <row r="2699">
      <c r="A2699" s="134" t="s">
        <v>901</v>
      </c>
      <c r="B2699" s="134" t="s">
        <v>433</v>
      </c>
      <c r="C2699" s="134" t="s">
        <v>74</v>
      </c>
      <c r="D2699" s="133" t="s">
        <v>1005</v>
      </c>
      <c r="E2699" s="168">
        <v>43368.0</v>
      </c>
      <c r="F2699" s="21" t="str">
        <f t="shared" si="218"/>
        <v>Sep-2018</v>
      </c>
      <c r="G2699" s="101" t="s">
        <v>20</v>
      </c>
      <c r="H2699" s="16" t="s">
        <v>35</v>
      </c>
      <c r="I2699" s="16" t="s">
        <v>782</v>
      </c>
      <c r="J2699" s="16" t="s">
        <v>9</v>
      </c>
      <c r="K2699" s="16" t="s">
        <v>9</v>
      </c>
      <c r="L2699" s="16" t="s">
        <v>30</v>
      </c>
      <c r="M2699" s="16" t="s">
        <v>30</v>
      </c>
      <c r="N2699" s="16" t="s">
        <v>69</v>
      </c>
      <c r="O2699" s="101"/>
      <c r="P2699" s="101"/>
      <c r="Q2699" s="102"/>
    </row>
    <row r="2700">
      <c r="A2700" s="168">
        <v>43368.0</v>
      </c>
      <c r="B2700" s="134" t="s">
        <v>433</v>
      </c>
      <c r="C2700" s="134" t="s">
        <v>74</v>
      </c>
      <c r="D2700" s="133" t="s">
        <v>1005</v>
      </c>
      <c r="E2700" s="168">
        <v>43368.0</v>
      </c>
      <c r="F2700" s="21" t="str">
        <f t="shared" si="218"/>
        <v>Sep-2018</v>
      </c>
      <c r="G2700" s="101" t="s">
        <v>25</v>
      </c>
      <c r="H2700" s="16" t="s">
        <v>35</v>
      </c>
      <c r="I2700" s="16" t="s">
        <v>782</v>
      </c>
      <c r="J2700" s="16" t="s">
        <v>9</v>
      </c>
      <c r="K2700" s="16" t="s">
        <v>9</v>
      </c>
      <c r="L2700" s="16" t="s">
        <v>30</v>
      </c>
      <c r="M2700" s="16"/>
      <c r="N2700" s="16" t="s">
        <v>69</v>
      </c>
      <c r="O2700" s="101"/>
      <c r="P2700" s="101"/>
      <c r="Q2700" s="102"/>
    </row>
    <row r="2701">
      <c r="A2701" s="134" t="s">
        <v>74</v>
      </c>
      <c r="B2701" s="134" t="s">
        <v>433</v>
      </c>
      <c r="C2701" s="134" t="s">
        <v>74</v>
      </c>
      <c r="D2701" s="133" t="s">
        <v>1005</v>
      </c>
      <c r="E2701" s="168">
        <v>43368.0</v>
      </c>
      <c r="F2701" s="21" t="str">
        <f t="shared" si="218"/>
        <v>Sep-2018</v>
      </c>
      <c r="G2701" s="32" t="s">
        <v>146</v>
      </c>
      <c r="H2701" s="25" t="s">
        <v>35</v>
      </c>
      <c r="I2701" s="25" t="s">
        <v>452</v>
      </c>
      <c r="J2701" s="25" t="s">
        <v>27</v>
      </c>
      <c r="K2701" s="25" t="s">
        <v>9</v>
      </c>
      <c r="L2701" s="25" t="s">
        <v>30</v>
      </c>
      <c r="M2701" s="25" t="s">
        <v>24</v>
      </c>
      <c r="N2701" s="25" t="s">
        <v>37</v>
      </c>
      <c r="Q2701" s="99"/>
    </row>
    <row r="2702">
      <c r="A2702" s="176" t="s">
        <v>1007</v>
      </c>
      <c r="B2702" s="134" t="s">
        <v>433</v>
      </c>
      <c r="C2702" s="134" t="s">
        <v>74</v>
      </c>
      <c r="D2702" s="133" t="s">
        <v>1005</v>
      </c>
      <c r="E2702" s="168">
        <v>43368.0</v>
      </c>
      <c r="F2702" s="21" t="str">
        <f t="shared" si="218"/>
        <v>Sep-2018</v>
      </c>
      <c r="G2702" s="32" t="s">
        <v>149</v>
      </c>
      <c r="H2702" s="25" t="s">
        <v>35</v>
      </c>
      <c r="I2702" s="25" t="s">
        <v>452</v>
      </c>
      <c r="J2702" s="25" t="s">
        <v>27</v>
      </c>
      <c r="K2702" s="25" t="s">
        <v>9</v>
      </c>
      <c r="L2702" s="25" t="s">
        <v>24</v>
      </c>
      <c r="M2702" s="25"/>
      <c r="N2702" s="25" t="s">
        <v>99</v>
      </c>
      <c r="Q2702" s="99"/>
    </row>
    <row r="2703">
      <c r="A2703" s="134"/>
      <c r="B2703" s="134" t="s">
        <v>433</v>
      </c>
      <c r="C2703" s="134" t="s">
        <v>74</v>
      </c>
      <c r="D2703" s="133" t="s">
        <v>1005</v>
      </c>
      <c r="E2703" s="168">
        <v>43368.0</v>
      </c>
      <c r="F2703" s="21" t="str">
        <f t="shared" si="218"/>
        <v>Sep-2018</v>
      </c>
      <c r="G2703" s="32" t="s">
        <v>222</v>
      </c>
      <c r="H2703" s="25" t="s">
        <v>35</v>
      </c>
      <c r="I2703" s="25" t="s">
        <v>452</v>
      </c>
      <c r="J2703" s="25" t="s">
        <v>27</v>
      </c>
      <c r="K2703" s="25" t="s">
        <v>9</v>
      </c>
      <c r="L2703" s="25" t="s">
        <v>30</v>
      </c>
      <c r="M2703" s="25"/>
      <c r="N2703" s="25" t="s">
        <v>106</v>
      </c>
      <c r="Q2703" s="99"/>
    </row>
    <row r="2704">
      <c r="A2704" s="134"/>
      <c r="B2704" s="134" t="s">
        <v>433</v>
      </c>
      <c r="C2704" s="134" t="s">
        <v>74</v>
      </c>
      <c r="D2704" s="133" t="s">
        <v>1005</v>
      </c>
      <c r="E2704" s="168">
        <v>43368.0</v>
      </c>
      <c r="F2704" s="21" t="str">
        <f t="shared" si="218"/>
        <v>Sep-2018</v>
      </c>
      <c r="G2704" s="32" t="s">
        <v>467</v>
      </c>
      <c r="H2704" s="25" t="s">
        <v>35</v>
      </c>
      <c r="I2704" s="25" t="s">
        <v>452</v>
      </c>
      <c r="J2704" s="25" t="s">
        <v>27</v>
      </c>
      <c r="K2704" s="25" t="s">
        <v>9</v>
      </c>
      <c r="L2704" s="25" t="s">
        <v>24</v>
      </c>
      <c r="M2704" s="25"/>
      <c r="N2704" s="25" t="s">
        <v>29</v>
      </c>
      <c r="Q2704" s="99"/>
    </row>
    <row r="2705">
      <c r="A2705" s="134"/>
      <c r="B2705" s="134" t="s">
        <v>433</v>
      </c>
      <c r="C2705" s="134" t="s">
        <v>74</v>
      </c>
      <c r="D2705" s="133" t="s">
        <v>1005</v>
      </c>
      <c r="E2705" s="168">
        <v>43368.0</v>
      </c>
      <c r="F2705" s="21" t="str">
        <f t="shared" si="218"/>
        <v>Sep-2018</v>
      </c>
      <c r="G2705" s="32" t="s">
        <v>480</v>
      </c>
      <c r="H2705" s="25" t="s">
        <v>35</v>
      </c>
      <c r="I2705" s="25" t="s">
        <v>452</v>
      </c>
      <c r="J2705" s="25" t="s">
        <v>27</v>
      </c>
      <c r="K2705" s="25" t="s">
        <v>9</v>
      </c>
      <c r="L2705" s="25" t="s">
        <v>24</v>
      </c>
      <c r="M2705" s="25"/>
      <c r="N2705" s="25" t="s">
        <v>98</v>
      </c>
      <c r="Q2705" s="99"/>
    </row>
    <row r="2706">
      <c r="A2706" s="134"/>
      <c r="B2706" s="134" t="s">
        <v>433</v>
      </c>
      <c r="C2706" s="134" t="s">
        <v>74</v>
      </c>
      <c r="D2706" s="133" t="s">
        <v>1005</v>
      </c>
      <c r="E2706" s="168">
        <v>43368.0</v>
      </c>
      <c r="F2706" s="21" t="str">
        <f t="shared" si="218"/>
        <v>Sep-2018</v>
      </c>
      <c r="G2706" s="19" t="s">
        <v>146</v>
      </c>
      <c r="H2706" s="16" t="s">
        <v>35</v>
      </c>
      <c r="I2706" s="16" t="s">
        <v>1006</v>
      </c>
      <c r="J2706" s="16" t="s">
        <v>27</v>
      </c>
      <c r="K2706" s="16" t="s">
        <v>9</v>
      </c>
      <c r="L2706" s="16" t="s">
        <v>24</v>
      </c>
      <c r="M2706" s="16" t="s">
        <v>30</v>
      </c>
      <c r="N2706" s="16" t="s">
        <v>98</v>
      </c>
      <c r="O2706" s="101"/>
      <c r="P2706" s="101"/>
      <c r="Q2706" s="102"/>
    </row>
    <row r="2707">
      <c r="A2707" s="134"/>
      <c r="B2707" s="134" t="s">
        <v>433</v>
      </c>
      <c r="C2707" s="134" t="s">
        <v>74</v>
      </c>
      <c r="D2707" s="133" t="s">
        <v>1005</v>
      </c>
      <c r="E2707" s="168">
        <v>43368.0</v>
      </c>
      <c r="F2707" s="21" t="str">
        <f t="shared" si="218"/>
        <v>Sep-2018</v>
      </c>
      <c r="G2707" s="19" t="s">
        <v>149</v>
      </c>
      <c r="H2707" s="16" t="s">
        <v>35</v>
      </c>
      <c r="I2707" s="16" t="s">
        <v>1006</v>
      </c>
      <c r="J2707" s="16" t="s">
        <v>27</v>
      </c>
      <c r="K2707" s="16" t="s">
        <v>9</v>
      </c>
      <c r="L2707" s="16" t="s">
        <v>30</v>
      </c>
      <c r="M2707" s="16"/>
      <c r="N2707" s="16" t="s">
        <v>29</v>
      </c>
      <c r="O2707" s="101"/>
      <c r="P2707" s="101"/>
      <c r="Q2707" s="102"/>
    </row>
    <row r="2708">
      <c r="A2708" s="134"/>
      <c r="B2708" s="134" t="s">
        <v>433</v>
      </c>
      <c r="C2708" s="134" t="s">
        <v>74</v>
      </c>
      <c r="D2708" s="133" t="s">
        <v>1005</v>
      </c>
      <c r="E2708" s="168">
        <v>43368.0</v>
      </c>
      <c r="F2708" s="21" t="str">
        <f t="shared" si="218"/>
        <v>Sep-2018</v>
      </c>
      <c r="G2708" s="19" t="s">
        <v>222</v>
      </c>
      <c r="H2708" s="16" t="s">
        <v>35</v>
      </c>
      <c r="I2708" s="16" t="s">
        <v>1006</v>
      </c>
      <c r="J2708" s="16" t="s">
        <v>27</v>
      </c>
      <c r="K2708" s="16" t="s">
        <v>9</v>
      </c>
      <c r="L2708" s="16" t="s">
        <v>30</v>
      </c>
      <c r="M2708" s="16"/>
      <c r="N2708" s="16" t="s">
        <v>99</v>
      </c>
      <c r="O2708" s="101"/>
      <c r="P2708" s="101"/>
      <c r="Q2708" s="102"/>
    </row>
    <row r="2709">
      <c r="A2709" s="134"/>
      <c r="B2709" s="134" t="s">
        <v>433</v>
      </c>
      <c r="C2709" s="134" t="s">
        <v>74</v>
      </c>
      <c r="D2709" s="133" t="s">
        <v>1005</v>
      </c>
      <c r="E2709" s="168">
        <v>43368.0</v>
      </c>
      <c r="F2709" s="21" t="str">
        <f t="shared" si="218"/>
        <v>Sep-2018</v>
      </c>
      <c r="G2709" s="19" t="s">
        <v>467</v>
      </c>
      <c r="H2709" s="16" t="s">
        <v>35</v>
      </c>
      <c r="I2709" s="16" t="s">
        <v>1006</v>
      </c>
      <c r="J2709" s="16" t="s">
        <v>27</v>
      </c>
      <c r="K2709" s="16" t="s">
        <v>9</v>
      </c>
      <c r="L2709" s="16" t="s">
        <v>30</v>
      </c>
      <c r="M2709" s="16"/>
      <c r="N2709" s="16" t="s">
        <v>37</v>
      </c>
      <c r="O2709" s="101"/>
      <c r="P2709" s="101"/>
      <c r="Q2709" s="102"/>
    </row>
    <row r="2710">
      <c r="A2710" s="134"/>
      <c r="B2710" s="134" t="s">
        <v>433</v>
      </c>
      <c r="C2710" s="134" t="s">
        <v>74</v>
      </c>
      <c r="D2710" s="133" t="s">
        <v>1005</v>
      </c>
      <c r="E2710" s="168">
        <v>43368.0</v>
      </c>
      <c r="F2710" s="21" t="str">
        <f t="shared" si="218"/>
        <v>Sep-2018</v>
      </c>
      <c r="G2710" s="32" t="s">
        <v>146</v>
      </c>
      <c r="H2710" s="25" t="s">
        <v>35</v>
      </c>
      <c r="I2710" s="25" t="s">
        <v>394</v>
      </c>
      <c r="J2710" s="25" t="s">
        <v>27</v>
      </c>
      <c r="K2710" s="25" t="s">
        <v>9</v>
      </c>
      <c r="L2710" s="25" t="s">
        <v>24</v>
      </c>
      <c r="M2710" s="25" t="s">
        <v>24</v>
      </c>
      <c r="N2710" s="25" t="s">
        <v>37</v>
      </c>
      <c r="Q2710" s="99"/>
    </row>
    <row r="2711">
      <c r="A2711" s="134"/>
      <c r="B2711" s="134" t="s">
        <v>433</v>
      </c>
      <c r="C2711" s="134" t="s">
        <v>74</v>
      </c>
      <c r="D2711" s="133" t="s">
        <v>1005</v>
      </c>
      <c r="E2711" s="168">
        <v>43368.0</v>
      </c>
      <c r="F2711" s="21" t="str">
        <f t="shared" si="218"/>
        <v>Sep-2018</v>
      </c>
      <c r="G2711" s="32" t="s">
        <v>149</v>
      </c>
      <c r="H2711" s="25" t="s">
        <v>35</v>
      </c>
      <c r="I2711" s="25" t="s">
        <v>394</v>
      </c>
      <c r="J2711" s="25" t="s">
        <v>27</v>
      </c>
      <c r="K2711" s="25" t="s">
        <v>9</v>
      </c>
      <c r="L2711" s="25" t="s">
        <v>30</v>
      </c>
      <c r="M2711" s="25"/>
      <c r="N2711" s="25" t="s">
        <v>106</v>
      </c>
      <c r="Q2711" s="99"/>
    </row>
    <row r="2712">
      <c r="A2712" s="134"/>
      <c r="B2712" s="134" t="s">
        <v>433</v>
      </c>
      <c r="C2712" s="134" t="s">
        <v>74</v>
      </c>
      <c r="D2712" s="133" t="s">
        <v>1005</v>
      </c>
      <c r="E2712" s="168">
        <v>43368.0</v>
      </c>
      <c r="F2712" s="21" t="str">
        <f t="shared" si="218"/>
        <v>Sep-2018</v>
      </c>
      <c r="G2712" s="32" t="s">
        <v>222</v>
      </c>
      <c r="H2712" s="25" t="s">
        <v>35</v>
      </c>
      <c r="I2712" s="25" t="s">
        <v>394</v>
      </c>
      <c r="J2712" s="25" t="s">
        <v>27</v>
      </c>
      <c r="K2712" s="25" t="s">
        <v>9</v>
      </c>
      <c r="L2712" s="25" t="s">
        <v>30</v>
      </c>
      <c r="M2712" s="25"/>
      <c r="N2712" s="25" t="s">
        <v>69</v>
      </c>
      <c r="Q2712" s="99"/>
    </row>
    <row r="2713">
      <c r="A2713" s="134"/>
      <c r="B2713" s="134" t="s">
        <v>433</v>
      </c>
      <c r="C2713" s="134" t="s">
        <v>74</v>
      </c>
      <c r="D2713" s="133" t="s">
        <v>1005</v>
      </c>
      <c r="E2713" s="168">
        <v>43368.0</v>
      </c>
      <c r="F2713" s="21" t="str">
        <f t="shared" si="218"/>
        <v>Sep-2018</v>
      </c>
      <c r="G2713" s="32" t="s">
        <v>467</v>
      </c>
      <c r="H2713" s="25" t="s">
        <v>35</v>
      </c>
      <c r="I2713" s="25" t="s">
        <v>394</v>
      </c>
      <c r="J2713" s="25" t="s">
        <v>27</v>
      </c>
      <c r="K2713" s="25" t="s">
        <v>9</v>
      </c>
      <c r="L2713" s="25" t="s">
        <v>24</v>
      </c>
      <c r="M2713" s="25"/>
      <c r="N2713" s="25" t="s">
        <v>29</v>
      </c>
      <c r="Q2713" s="99"/>
    </row>
    <row r="2714">
      <c r="A2714" s="204"/>
      <c r="B2714" s="134" t="s">
        <v>433</v>
      </c>
      <c r="C2714" s="134" t="s">
        <v>74</v>
      </c>
      <c r="D2714" s="277" t="s">
        <v>1005</v>
      </c>
      <c r="E2714" s="170">
        <v>43368.0</v>
      </c>
      <c r="F2714" s="51" t="str">
        <f t="shared" si="218"/>
        <v>Sep-2018</v>
      </c>
      <c r="G2714" s="43" t="s">
        <v>480</v>
      </c>
      <c r="H2714" s="55" t="s">
        <v>35</v>
      </c>
      <c r="I2714" s="55" t="s">
        <v>394</v>
      </c>
      <c r="J2714" s="55" t="s">
        <v>27</v>
      </c>
      <c r="K2714" s="55" t="s">
        <v>9</v>
      </c>
      <c r="L2714" s="55" t="s">
        <v>24</v>
      </c>
      <c r="M2714" s="55"/>
      <c r="N2714" s="55" t="s">
        <v>98</v>
      </c>
      <c r="O2714" s="143"/>
      <c r="P2714" s="143"/>
      <c r="Q2714" s="144"/>
    </row>
    <row r="2715">
      <c r="A2715" s="94"/>
    </row>
    <row r="2716">
      <c r="A2716" s="133" t="s">
        <v>1008</v>
      </c>
      <c r="B2716" s="134" t="s">
        <v>433</v>
      </c>
      <c r="C2716" s="134" t="s">
        <v>74</v>
      </c>
      <c r="D2716" s="133" t="s">
        <v>1008</v>
      </c>
      <c r="E2716" s="223">
        <v>43375.0</v>
      </c>
      <c r="F2716" s="70" t="str">
        <f t="shared" ref="F2716:F2736" si="219">TEXT(E2708:E2716, "mmm") &amp; "-" &amp; TEXT(E2708:E2716, "yyyy") </f>
        <v>Oct-2018</v>
      </c>
      <c r="G2716" s="152" t="s">
        <v>20</v>
      </c>
      <c r="H2716" s="47" t="s">
        <v>35</v>
      </c>
      <c r="I2716" s="47" t="s">
        <v>302</v>
      </c>
      <c r="J2716" s="47" t="s">
        <v>27</v>
      </c>
      <c r="K2716" s="47" t="s">
        <v>9</v>
      </c>
      <c r="L2716" s="47" t="s">
        <v>30</v>
      </c>
      <c r="M2716" s="47" t="s">
        <v>30</v>
      </c>
      <c r="N2716" s="47" t="s">
        <v>69</v>
      </c>
      <c r="O2716" s="152"/>
      <c r="P2716" s="152"/>
      <c r="Q2716" s="153"/>
    </row>
    <row r="2717">
      <c r="A2717" s="134" t="s">
        <v>433</v>
      </c>
      <c r="B2717" s="134" t="s">
        <v>433</v>
      </c>
      <c r="C2717" s="134" t="s">
        <v>74</v>
      </c>
      <c r="D2717" s="133" t="s">
        <v>1008</v>
      </c>
      <c r="E2717" s="168">
        <v>43375.0</v>
      </c>
      <c r="F2717" s="21" t="str">
        <f t="shared" si="219"/>
        <v>Oct-2018</v>
      </c>
      <c r="G2717" s="101" t="s">
        <v>25</v>
      </c>
      <c r="H2717" s="16" t="s">
        <v>35</v>
      </c>
      <c r="I2717" s="16" t="s">
        <v>302</v>
      </c>
      <c r="J2717" s="16" t="s">
        <v>27</v>
      </c>
      <c r="K2717" s="16" t="s">
        <v>9</v>
      </c>
      <c r="L2717" s="16" t="s">
        <v>30</v>
      </c>
      <c r="M2717" s="16"/>
      <c r="N2717" s="16" t="s">
        <v>29</v>
      </c>
      <c r="O2717" s="101"/>
      <c r="P2717" s="101"/>
      <c r="Q2717" s="102"/>
    </row>
    <row r="2718">
      <c r="A2718" s="134" t="s">
        <v>901</v>
      </c>
      <c r="B2718" s="134" t="s">
        <v>433</v>
      </c>
      <c r="C2718" s="134" t="s">
        <v>74</v>
      </c>
      <c r="D2718" s="133" t="s">
        <v>1008</v>
      </c>
      <c r="E2718" s="168">
        <v>43375.0</v>
      </c>
      <c r="F2718" s="21" t="str">
        <f t="shared" si="219"/>
        <v>Oct-2018</v>
      </c>
      <c r="G2718" t="s">
        <v>20</v>
      </c>
      <c r="H2718" s="25" t="s">
        <v>35</v>
      </c>
      <c r="I2718" s="25" t="s">
        <v>361</v>
      </c>
      <c r="J2718" s="25" t="s">
        <v>44</v>
      </c>
      <c r="K2718" s="25" t="s">
        <v>9</v>
      </c>
      <c r="L2718" s="25" t="s">
        <v>30</v>
      </c>
      <c r="M2718" s="25" t="s">
        <v>24</v>
      </c>
      <c r="N2718" s="25" t="s">
        <v>69</v>
      </c>
      <c r="Q2718" s="99"/>
    </row>
    <row r="2719">
      <c r="A2719" s="168">
        <v>43375.0</v>
      </c>
      <c r="B2719" s="134" t="s">
        <v>433</v>
      </c>
      <c r="C2719" s="134" t="s">
        <v>74</v>
      </c>
      <c r="D2719" s="133" t="s">
        <v>1008</v>
      </c>
      <c r="E2719" s="168">
        <v>43375.0</v>
      </c>
      <c r="F2719" s="21" t="str">
        <f t="shared" si="219"/>
        <v>Oct-2018</v>
      </c>
      <c r="G2719" t="s">
        <v>25</v>
      </c>
      <c r="H2719" s="25" t="s">
        <v>35</v>
      </c>
      <c r="I2719" s="25" t="s">
        <v>361</v>
      </c>
      <c r="J2719" s="25" t="s">
        <v>44</v>
      </c>
      <c r="K2719" s="25" t="s">
        <v>9</v>
      </c>
      <c r="L2719" s="25" t="s">
        <v>24</v>
      </c>
      <c r="M2719" s="25"/>
      <c r="N2719" s="25" t="s">
        <v>99</v>
      </c>
      <c r="Q2719" s="99"/>
    </row>
    <row r="2720">
      <c r="A2720" s="134" t="s">
        <v>74</v>
      </c>
      <c r="B2720" s="134" t="s">
        <v>433</v>
      </c>
      <c r="C2720" s="134" t="s">
        <v>74</v>
      </c>
      <c r="D2720" s="133" t="s">
        <v>1008</v>
      </c>
      <c r="E2720" s="168">
        <v>43375.0</v>
      </c>
      <c r="F2720" s="21" t="str">
        <f t="shared" si="219"/>
        <v>Oct-2018</v>
      </c>
      <c r="G2720" t="s">
        <v>32</v>
      </c>
      <c r="H2720" s="25" t="s">
        <v>35</v>
      </c>
      <c r="I2720" s="25" t="s">
        <v>361</v>
      </c>
      <c r="J2720" s="25" t="s">
        <v>44</v>
      </c>
      <c r="K2720" s="25" t="s">
        <v>9</v>
      </c>
      <c r="L2720" s="25" t="s">
        <v>24</v>
      </c>
      <c r="M2720" s="25"/>
      <c r="N2720" s="25" t="s">
        <v>106</v>
      </c>
      <c r="Q2720" s="99"/>
    </row>
    <row r="2721">
      <c r="A2721" s="176" t="s">
        <v>1009</v>
      </c>
      <c r="B2721" s="134" t="s">
        <v>433</v>
      </c>
      <c r="C2721" s="134" t="s">
        <v>74</v>
      </c>
      <c r="D2721" s="133" t="s">
        <v>1008</v>
      </c>
      <c r="E2721" s="168">
        <v>43375.0</v>
      </c>
      <c r="F2721" s="21" t="str">
        <f t="shared" si="219"/>
        <v>Oct-2018</v>
      </c>
      <c r="G2721" s="101" t="s">
        <v>20</v>
      </c>
      <c r="H2721" s="16" t="s">
        <v>35</v>
      </c>
      <c r="I2721" s="16" t="s">
        <v>976</v>
      </c>
      <c r="J2721" s="16" t="s">
        <v>48</v>
      </c>
      <c r="K2721" s="16" t="s">
        <v>9</v>
      </c>
      <c r="L2721" s="16" t="s">
        <v>30</v>
      </c>
      <c r="M2721" s="16" t="s">
        <v>30</v>
      </c>
      <c r="N2721" s="16" t="s">
        <v>98</v>
      </c>
      <c r="O2721" s="101"/>
      <c r="P2721" s="101"/>
      <c r="Q2721" s="102"/>
    </row>
    <row r="2722">
      <c r="A2722" s="134" t="s">
        <v>987</v>
      </c>
      <c r="B2722" s="134" t="s">
        <v>433</v>
      </c>
      <c r="C2722" s="134" t="s">
        <v>74</v>
      </c>
      <c r="D2722" s="133" t="s">
        <v>1008</v>
      </c>
      <c r="E2722" s="168">
        <v>43375.0</v>
      </c>
      <c r="F2722" s="21" t="str">
        <f t="shared" si="219"/>
        <v>Oct-2018</v>
      </c>
      <c r="G2722" s="101" t="s">
        <v>25</v>
      </c>
      <c r="H2722" s="16" t="s">
        <v>35</v>
      </c>
      <c r="I2722" s="16" t="s">
        <v>976</v>
      </c>
      <c r="J2722" s="16" t="s">
        <v>48</v>
      </c>
      <c r="K2722" s="16" t="s">
        <v>9</v>
      </c>
      <c r="L2722" s="16" t="s">
        <v>30</v>
      </c>
      <c r="M2722" s="16"/>
      <c r="N2722" s="16" t="s">
        <v>98</v>
      </c>
      <c r="O2722" s="101"/>
      <c r="P2722" s="101"/>
      <c r="Q2722" s="102"/>
    </row>
    <row r="2723">
      <c r="A2723" s="176" t="s">
        <v>1010</v>
      </c>
      <c r="B2723" s="134" t="s">
        <v>433</v>
      </c>
      <c r="C2723" s="134" t="s">
        <v>74</v>
      </c>
      <c r="D2723" s="133" t="s">
        <v>1008</v>
      </c>
      <c r="E2723" s="168">
        <v>43375.0</v>
      </c>
      <c r="F2723" s="21" t="str">
        <f t="shared" si="219"/>
        <v>Oct-2018</v>
      </c>
      <c r="G2723" s="32" t="s">
        <v>146</v>
      </c>
      <c r="H2723" s="25" t="s">
        <v>35</v>
      </c>
      <c r="I2723" s="25" t="s">
        <v>451</v>
      </c>
      <c r="J2723" s="25" t="s">
        <v>139</v>
      </c>
      <c r="K2723" s="25" t="s">
        <v>9</v>
      </c>
      <c r="L2723" s="25" t="s">
        <v>30</v>
      </c>
      <c r="M2723" s="25" t="s">
        <v>30</v>
      </c>
      <c r="N2723" s="25" t="s">
        <v>98</v>
      </c>
      <c r="Q2723" s="99"/>
    </row>
    <row r="2724">
      <c r="A2724" s="134"/>
      <c r="B2724" s="134" t="s">
        <v>433</v>
      </c>
      <c r="C2724" s="134" t="s">
        <v>74</v>
      </c>
      <c r="D2724" s="133" t="s">
        <v>1008</v>
      </c>
      <c r="E2724" s="168">
        <v>43375.0</v>
      </c>
      <c r="F2724" s="21" t="str">
        <f t="shared" si="219"/>
        <v>Oct-2018</v>
      </c>
      <c r="G2724" s="32" t="s">
        <v>149</v>
      </c>
      <c r="H2724" s="25" t="s">
        <v>35</v>
      </c>
      <c r="I2724" s="25" t="s">
        <v>451</v>
      </c>
      <c r="J2724" s="25" t="s">
        <v>139</v>
      </c>
      <c r="K2724" s="25" t="s">
        <v>9</v>
      </c>
      <c r="L2724" s="25" t="s">
        <v>30</v>
      </c>
      <c r="M2724" s="25"/>
      <c r="N2724" s="25" t="s">
        <v>29</v>
      </c>
      <c r="Q2724" s="99"/>
    </row>
    <row r="2725">
      <c r="A2725" s="134"/>
      <c r="B2725" s="134" t="s">
        <v>433</v>
      </c>
      <c r="C2725" s="134" t="s">
        <v>74</v>
      </c>
      <c r="D2725" s="133" t="s">
        <v>1008</v>
      </c>
      <c r="E2725" s="168">
        <v>43375.0</v>
      </c>
      <c r="F2725" s="21" t="str">
        <f t="shared" si="219"/>
        <v>Oct-2018</v>
      </c>
      <c r="G2725" s="32" t="s">
        <v>222</v>
      </c>
      <c r="H2725" s="25" t="s">
        <v>35</v>
      </c>
      <c r="I2725" s="25" t="s">
        <v>451</v>
      </c>
      <c r="J2725" s="25" t="s">
        <v>139</v>
      </c>
      <c r="K2725" s="25" t="s">
        <v>9</v>
      </c>
      <c r="L2725" s="25" t="s">
        <v>30</v>
      </c>
      <c r="M2725" s="25"/>
      <c r="N2725" s="25" t="s">
        <v>29</v>
      </c>
      <c r="Q2725" s="99"/>
    </row>
    <row r="2726">
      <c r="A2726" s="134"/>
      <c r="B2726" s="134" t="s">
        <v>433</v>
      </c>
      <c r="C2726" s="134" t="s">
        <v>74</v>
      </c>
      <c r="D2726" s="133" t="s">
        <v>1008</v>
      </c>
      <c r="E2726" s="168">
        <v>43375.0</v>
      </c>
      <c r="F2726" s="21" t="str">
        <f t="shared" si="219"/>
        <v>Oct-2018</v>
      </c>
      <c r="G2726" s="19" t="s">
        <v>146</v>
      </c>
      <c r="H2726" s="16" t="s">
        <v>35</v>
      </c>
      <c r="I2726" s="16" t="s">
        <v>184</v>
      </c>
      <c r="J2726" s="16" t="s">
        <v>9</v>
      </c>
      <c r="K2726" s="16" t="s">
        <v>9</v>
      </c>
      <c r="L2726" s="16" t="s">
        <v>30</v>
      </c>
      <c r="M2726" s="16" t="s">
        <v>30</v>
      </c>
      <c r="N2726" s="16" t="s">
        <v>69</v>
      </c>
      <c r="O2726" s="101"/>
      <c r="P2726" s="101"/>
      <c r="Q2726" s="102"/>
    </row>
    <row r="2727">
      <c r="A2727" s="134"/>
      <c r="B2727" s="134" t="s">
        <v>433</v>
      </c>
      <c r="C2727" s="134" t="s">
        <v>74</v>
      </c>
      <c r="D2727" s="133" t="s">
        <v>1008</v>
      </c>
      <c r="E2727" s="168">
        <v>43375.0</v>
      </c>
      <c r="F2727" s="21" t="str">
        <f t="shared" si="219"/>
        <v>Oct-2018</v>
      </c>
      <c r="G2727" s="19" t="s">
        <v>149</v>
      </c>
      <c r="H2727" s="16" t="s">
        <v>35</v>
      </c>
      <c r="I2727" s="16" t="s">
        <v>184</v>
      </c>
      <c r="J2727" s="16" t="s">
        <v>44</v>
      </c>
      <c r="K2727" s="16" t="s">
        <v>9</v>
      </c>
      <c r="L2727" s="16" t="s">
        <v>24</v>
      </c>
      <c r="M2727" s="16"/>
      <c r="N2727" s="16" t="s">
        <v>69</v>
      </c>
      <c r="O2727" s="101"/>
      <c r="P2727" s="101"/>
      <c r="Q2727" s="102"/>
    </row>
    <row r="2728">
      <c r="A2728" s="134"/>
      <c r="B2728" s="134" t="s">
        <v>433</v>
      </c>
      <c r="C2728" s="134" t="s">
        <v>74</v>
      </c>
      <c r="D2728" s="133" t="s">
        <v>1008</v>
      </c>
      <c r="E2728" s="168">
        <v>43375.0</v>
      </c>
      <c r="F2728" s="21" t="str">
        <f t="shared" si="219"/>
        <v>Oct-2018</v>
      </c>
      <c r="G2728" s="19" t="s">
        <v>222</v>
      </c>
      <c r="H2728" s="16" t="s">
        <v>35</v>
      </c>
      <c r="I2728" s="16" t="s">
        <v>184</v>
      </c>
      <c r="J2728" s="16" t="s">
        <v>44</v>
      </c>
      <c r="K2728" s="16" t="s">
        <v>9</v>
      </c>
      <c r="L2728" s="16" t="s">
        <v>30</v>
      </c>
      <c r="M2728" s="16"/>
      <c r="N2728" s="16" t="s">
        <v>106</v>
      </c>
      <c r="O2728" s="101"/>
      <c r="P2728" s="101"/>
      <c r="Q2728" s="102"/>
    </row>
    <row r="2729">
      <c r="A2729" s="134"/>
      <c r="B2729" s="134" t="s">
        <v>433</v>
      </c>
      <c r="C2729" s="134" t="s">
        <v>74</v>
      </c>
      <c r="D2729" s="133" t="s">
        <v>1008</v>
      </c>
      <c r="E2729" s="168">
        <v>43375.0</v>
      </c>
      <c r="F2729" s="21" t="str">
        <f t="shared" si="219"/>
        <v>Oct-2018</v>
      </c>
      <c r="G2729" s="19" t="s">
        <v>467</v>
      </c>
      <c r="H2729" s="16" t="s">
        <v>35</v>
      </c>
      <c r="I2729" s="16" t="s">
        <v>184</v>
      </c>
      <c r="J2729" s="16" t="s">
        <v>44</v>
      </c>
      <c r="K2729" s="16" t="s">
        <v>9</v>
      </c>
      <c r="L2729" s="16" t="s">
        <v>30</v>
      </c>
      <c r="M2729" s="16"/>
      <c r="N2729" s="16" t="s">
        <v>99</v>
      </c>
      <c r="O2729" s="101"/>
      <c r="P2729" s="101"/>
      <c r="Q2729" s="102"/>
    </row>
    <row r="2730">
      <c r="A2730" s="134"/>
      <c r="B2730" s="134" t="s">
        <v>433</v>
      </c>
      <c r="C2730" s="134" t="s">
        <v>74</v>
      </c>
      <c r="D2730" s="133" t="s">
        <v>1008</v>
      </c>
      <c r="E2730" s="168">
        <v>43375.0</v>
      </c>
      <c r="F2730" s="21" t="str">
        <f t="shared" si="219"/>
        <v>Oct-2018</v>
      </c>
      <c r="G2730" s="32" t="s">
        <v>146</v>
      </c>
      <c r="H2730" s="25" t="s">
        <v>35</v>
      </c>
      <c r="I2730" s="25" t="s">
        <v>361</v>
      </c>
      <c r="J2730" s="25" t="s">
        <v>44</v>
      </c>
      <c r="K2730" s="25" t="s">
        <v>9</v>
      </c>
      <c r="L2730" s="25" t="s">
        <v>30</v>
      </c>
      <c r="M2730" s="25" t="s">
        <v>30</v>
      </c>
      <c r="N2730" s="25" t="s">
        <v>69</v>
      </c>
      <c r="Q2730" s="99"/>
    </row>
    <row r="2731">
      <c r="A2731" s="134"/>
      <c r="B2731" s="134" t="s">
        <v>433</v>
      </c>
      <c r="C2731" s="134" t="s">
        <v>74</v>
      </c>
      <c r="D2731" s="133" t="s">
        <v>1008</v>
      </c>
      <c r="E2731" s="168">
        <v>43375.0</v>
      </c>
      <c r="F2731" s="21" t="str">
        <f t="shared" si="219"/>
        <v>Oct-2018</v>
      </c>
      <c r="G2731" s="32" t="s">
        <v>149</v>
      </c>
      <c r="H2731" s="25" t="s">
        <v>35</v>
      </c>
      <c r="I2731" s="25" t="s">
        <v>361</v>
      </c>
      <c r="J2731" s="25" t="s">
        <v>44</v>
      </c>
      <c r="K2731" s="25" t="s">
        <v>9</v>
      </c>
      <c r="L2731" s="25" t="s">
        <v>24</v>
      </c>
      <c r="M2731" s="25"/>
      <c r="N2731" s="25" t="s">
        <v>29</v>
      </c>
      <c r="Q2731" s="99"/>
    </row>
    <row r="2732">
      <c r="A2732" s="134"/>
      <c r="B2732" s="134" t="s">
        <v>433</v>
      </c>
      <c r="C2732" s="134" t="s">
        <v>74</v>
      </c>
      <c r="D2732" s="133" t="s">
        <v>1008</v>
      </c>
      <c r="E2732" s="168">
        <v>43375.0</v>
      </c>
      <c r="F2732" s="21" t="str">
        <f t="shared" si="219"/>
        <v>Oct-2018</v>
      </c>
      <c r="G2732" s="32" t="s">
        <v>222</v>
      </c>
      <c r="H2732" s="25" t="s">
        <v>35</v>
      </c>
      <c r="I2732" s="25" t="s">
        <v>361</v>
      </c>
      <c r="J2732" s="25" t="s">
        <v>44</v>
      </c>
      <c r="K2732" s="25" t="s">
        <v>9</v>
      </c>
      <c r="L2732" s="25" t="s">
        <v>30</v>
      </c>
      <c r="M2732" s="25"/>
      <c r="N2732" s="25" t="s">
        <v>37</v>
      </c>
      <c r="Q2732" s="99"/>
    </row>
    <row r="2733">
      <c r="A2733" s="134"/>
      <c r="B2733" s="134" t="s">
        <v>433</v>
      </c>
      <c r="C2733" s="134" t="s">
        <v>74</v>
      </c>
      <c r="D2733" s="133" t="s">
        <v>1008</v>
      </c>
      <c r="E2733" s="168">
        <v>43375.0</v>
      </c>
      <c r="F2733" s="21" t="str">
        <f t="shared" si="219"/>
        <v>Oct-2018</v>
      </c>
      <c r="G2733" s="32" t="s">
        <v>467</v>
      </c>
      <c r="H2733" s="25" t="s">
        <v>35</v>
      </c>
      <c r="I2733" s="25" t="s">
        <v>361</v>
      </c>
      <c r="J2733" s="25" t="s">
        <v>44</v>
      </c>
      <c r="K2733" s="25" t="s">
        <v>9</v>
      </c>
      <c r="L2733" s="25" t="s">
        <v>30</v>
      </c>
      <c r="M2733" s="25"/>
      <c r="N2733" s="25" t="s">
        <v>99</v>
      </c>
      <c r="Q2733" s="99"/>
    </row>
    <row r="2734">
      <c r="A2734" s="134"/>
      <c r="B2734" s="134" t="s">
        <v>433</v>
      </c>
      <c r="C2734" s="134" t="s">
        <v>74</v>
      </c>
      <c r="D2734" s="133" t="s">
        <v>1008</v>
      </c>
      <c r="E2734" s="168">
        <v>43375.0</v>
      </c>
      <c r="F2734" s="21" t="str">
        <f t="shared" si="219"/>
        <v>Oct-2018</v>
      </c>
      <c r="G2734" s="19" t="s">
        <v>146</v>
      </c>
      <c r="H2734" s="16" t="s">
        <v>35</v>
      </c>
      <c r="I2734" s="16" t="s">
        <v>947</v>
      </c>
      <c r="J2734" s="16" t="s">
        <v>71</v>
      </c>
      <c r="K2734" s="16" t="s">
        <v>9</v>
      </c>
      <c r="L2734" s="16" t="s">
        <v>24</v>
      </c>
      <c r="M2734" s="16" t="s">
        <v>24</v>
      </c>
      <c r="N2734" s="16" t="s">
        <v>98</v>
      </c>
      <c r="O2734" s="101"/>
      <c r="P2734" s="101"/>
      <c r="Q2734" s="102"/>
    </row>
    <row r="2735">
      <c r="A2735" s="134"/>
      <c r="B2735" s="134" t="s">
        <v>433</v>
      </c>
      <c r="C2735" s="134" t="s">
        <v>74</v>
      </c>
      <c r="D2735" s="133" t="s">
        <v>1008</v>
      </c>
      <c r="E2735" s="168">
        <v>43375.0</v>
      </c>
      <c r="F2735" s="21" t="str">
        <f t="shared" si="219"/>
        <v>Oct-2018</v>
      </c>
      <c r="G2735" s="19" t="s">
        <v>149</v>
      </c>
      <c r="H2735" s="16" t="s">
        <v>35</v>
      </c>
      <c r="I2735" s="16" t="s">
        <v>947</v>
      </c>
      <c r="J2735" s="16" t="s">
        <v>71</v>
      </c>
      <c r="K2735" s="16" t="s">
        <v>9</v>
      </c>
      <c r="L2735" s="16" t="s">
        <v>24</v>
      </c>
      <c r="M2735" s="16"/>
      <c r="N2735" s="16" t="s">
        <v>69</v>
      </c>
      <c r="O2735" s="101"/>
      <c r="P2735" s="101"/>
      <c r="Q2735" s="102"/>
    </row>
    <row r="2736">
      <c r="A2736" s="204"/>
      <c r="B2736" s="134" t="s">
        <v>433</v>
      </c>
      <c r="C2736" s="134" t="s">
        <v>74</v>
      </c>
      <c r="D2736" s="277" t="s">
        <v>1008</v>
      </c>
      <c r="E2736" s="170">
        <v>43375.0</v>
      </c>
      <c r="F2736" s="51" t="str">
        <f t="shared" si="219"/>
        <v>Oct-2018</v>
      </c>
      <c r="G2736" s="39" t="s">
        <v>222</v>
      </c>
      <c r="H2736" s="38" t="s">
        <v>35</v>
      </c>
      <c r="I2736" s="38" t="s">
        <v>947</v>
      </c>
      <c r="J2736" s="38" t="s">
        <v>71</v>
      </c>
      <c r="K2736" s="38" t="s">
        <v>9</v>
      </c>
      <c r="L2736" s="38" t="s">
        <v>24</v>
      </c>
      <c r="M2736" s="38"/>
      <c r="N2736" s="38" t="s">
        <v>69</v>
      </c>
      <c r="O2736" s="105"/>
      <c r="P2736" s="105"/>
      <c r="Q2736" s="106"/>
    </row>
    <row r="2737">
      <c r="A2737" s="94"/>
    </row>
    <row r="2738">
      <c r="A2738" s="289" t="s">
        <v>1011</v>
      </c>
      <c r="B2738" s="183" t="s">
        <v>34</v>
      </c>
      <c r="C2738" s="183" t="s">
        <v>308</v>
      </c>
      <c r="D2738" s="289" t="s">
        <v>1011</v>
      </c>
      <c r="E2738" s="290">
        <v>43378.0</v>
      </c>
      <c r="F2738" s="70" t="str">
        <f t="shared" ref="F2738:F2748" si="220">TEXT(E2730:E2738, "mmm") &amp; "-" &amp; TEXT(E2730:E2738, "yyyy") </f>
        <v>Oct-2018</v>
      </c>
      <c r="G2738" s="165" t="s">
        <v>20</v>
      </c>
      <c r="H2738" s="73" t="s">
        <v>1012</v>
      </c>
      <c r="I2738" s="73" t="s">
        <v>1013</v>
      </c>
      <c r="J2738" s="73" t="s">
        <v>71</v>
      </c>
      <c r="K2738" s="73" t="s">
        <v>9</v>
      </c>
      <c r="L2738" s="73" t="s">
        <v>30</v>
      </c>
      <c r="M2738" s="73" t="s">
        <v>30</v>
      </c>
      <c r="N2738" s="73" t="s">
        <v>98</v>
      </c>
      <c r="O2738" s="165"/>
      <c r="P2738" s="165"/>
      <c r="Q2738" s="193" t="s">
        <v>1014</v>
      </c>
    </row>
    <row r="2739">
      <c r="A2739" s="183" t="s">
        <v>34</v>
      </c>
      <c r="B2739" s="183" t="s">
        <v>34</v>
      </c>
      <c r="C2739" s="183" t="s">
        <v>308</v>
      </c>
      <c r="D2739" s="291" t="s">
        <v>1011</v>
      </c>
      <c r="E2739" s="292">
        <v>43378.0</v>
      </c>
      <c r="F2739" s="21" t="str">
        <f t="shared" si="220"/>
        <v>Oct-2018</v>
      </c>
      <c r="G2739" t="s">
        <v>25</v>
      </c>
      <c r="H2739" s="25" t="s">
        <v>1012</v>
      </c>
      <c r="I2739" s="25" t="s">
        <v>1013</v>
      </c>
      <c r="J2739" s="25" t="s">
        <v>71</v>
      </c>
      <c r="K2739" s="25" t="s">
        <v>9</v>
      </c>
      <c r="L2739" s="25" t="s">
        <v>30</v>
      </c>
      <c r="M2739" s="25"/>
      <c r="N2739" s="25" t="s">
        <v>37</v>
      </c>
      <c r="Q2739" s="184" t="s">
        <v>1014</v>
      </c>
    </row>
    <row r="2740">
      <c r="A2740" s="183" t="s">
        <v>1015</v>
      </c>
      <c r="B2740" s="183" t="s">
        <v>34</v>
      </c>
      <c r="C2740" s="183" t="s">
        <v>308</v>
      </c>
      <c r="D2740" s="291" t="s">
        <v>1011</v>
      </c>
      <c r="E2740" s="292">
        <v>43378.0</v>
      </c>
      <c r="F2740" s="21" t="str">
        <f t="shared" si="220"/>
        <v>Oct-2018</v>
      </c>
      <c r="G2740" s="101" t="s">
        <v>20</v>
      </c>
      <c r="H2740" s="16" t="s">
        <v>1012</v>
      </c>
      <c r="I2740" s="16" t="s">
        <v>1016</v>
      </c>
      <c r="J2740" s="16" t="s">
        <v>27</v>
      </c>
      <c r="K2740" s="16" t="s">
        <v>9</v>
      </c>
      <c r="L2740" s="16" t="s">
        <v>30</v>
      </c>
      <c r="M2740" s="16" t="s">
        <v>30</v>
      </c>
      <c r="N2740" s="16" t="s">
        <v>69</v>
      </c>
      <c r="O2740" s="101"/>
      <c r="P2740" s="101"/>
      <c r="Q2740" s="138" t="s">
        <v>56</v>
      </c>
    </row>
    <row r="2741">
      <c r="A2741" s="292">
        <v>43378.0</v>
      </c>
      <c r="B2741" s="183" t="s">
        <v>34</v>
      </c>
      <c r="C2741" s="183" t="s">
        <v>308</v>
      </c>
      <c r="D2741" s="291" t="s">
        <v>1011</v>
      </c>
      <c r="E2741" s="292">
        <v>43378.0</v>
      </c>
      <c r="F2741" s="21" t="str">
        <f t="shared" si="220"/>
        <v>Oct-2018</v>
      </c>
      <c r="G2741" s="101" t="s">
        <v>25</v>
      </c>
      <c r="H2741" s="16" t="s">
        <v>1012</v>
      </c>
      <c r="I2741" s="16" t="s">
        <v>1016</v>
      </c>
      <c r="J2741" s="16" t="s">
        <v>27</v>
      </c>
      <c r="K2741" s="16" t="s">
        <v>9</v>
      </c>
      <c r="L2741" s="16" t="s">
        <v>30</v>
      </c>
      <c r="M2741" s="16"/>
      <c r="N2741" s="16" t="s">
        <v>98</v>
      </c>
      <c r="O2741" s="101"/>
      <c r="P2741" s="101"/>
      <c r="Q2741" s="138" t="s">
        <v>56</v>
      </c>
    </row>
    <row r="2742">
      <c r="A2742" s="183" t="s">
        <v>308</v>
      </c>
      <c r="B2742" s="183" t="s">
        <v>34</v>
      </c>
      <c r="C2742" s="183" t="s">
        <v>308</v>
      </c>
      <c r="D2742" s="291" t="s">
        <v>1011</v>
      </c>
      <c r="E2742" s="292">
        <v>43378.0</v>
      </c>
      <c r="F2742" s="21" t="str">
        <f t="shared" si="220"/>
        <v>Oct-2018</v>
      </c>
      <c r="G2742" s="32" t="s">
        <v>20</v>
      </c>
      <c r="H2742" s="25" t="s">
        <v>1012</v>
      </c>
      <c r="I2742" s="25" t="s">
        <v>1017</v>
      </c>
      <c r="J2742" s="25" t="s">
        <v>27</v>
      </c>
      <c r="K2742" s="25" t="s">
        <v>9</v>
      </c>
      <c r="L2742" s="25" t="s">
        <v>24</v>
      </c>
      <c r="M2742" s="25" t="s">
        <v>24</v>
      </c>
      <c r="N2742" s="25" t="s">
        <v>98</v>
      </c>
      <c r="Q2742" s="184" t="s">
        <v>1018</v>
      </c>
    </row>
    <row r="2743">
      <c r="A2743" s="242" t="s">
        <v>1019</v>
      </c>
      <c r="B2743" s="183" t="s">
        <v>34</v>
      </c>
      <c r="C2743" s="183" t="s">
        <v>308</v>
      </c>
      <c r="D2743" s="291" t="s">
        <v>1011</v>
      </c>
      <c r="E2743" s="292">
        <v>43378.0</v>
      </c>
      <c r="F2743" s="21" t="str">
        <f t="shared" si="220"/>
        <v>Oct-2018</v>
      </c>
      <c r="G2743" s="32" t="s">
        <v>25</v>
      </c>
      <c r="H2743" s="25" t="s">
        <v>1012</v>
      </c>
      <c r="I2743" s="25" t="s">
        <v>1017</v>
      </c>
      <c r="J2743" s="25" t="s">
        <v>27</v>
      </c>
      <c r="K2743" s="25" t="s">
        <v>9</v>
      </c>
      <c r="L2743" s="25" t="s">
        <v>24</v>
      </c>
      <c r="M2743" s="25"/>
      <c r="N2743" s="25" t="s">
        <v>106</v>
      </c>
      <c r="Q2743" s="184" t="s">
        <v>1018</v>
      </c>
    </row>
    <row r="2744">
      <c r="A2744" s="183" t="s">
        <v>1020</v>
      </c>
      <c r="B2744" s="183" t="s">
        <v>34</v>
      </c>
      <c r="C2744" s="183" t="s">
        <v>308</v>
      </c>
      <c r="D2744" s="291" t="s">
        <v>1011</v>
      </c>
      <c r="E2744" s="292">
        <v>43378.0</v>
      </c>
      <c r="F2744" s="21" t="str">
        <f t="shared" si="220"/>
        <v>Oct-2018</v>
      </c>
      <c r="G2744" s="19" t="s">
        <v>20</v>
      </c>
      <c r="H2744" s="16" t="s">
        <v>1012</v>
      </c>
      <c r="I2744" s="16" t="s">
        <v>1021</v>
      </c>
      <c r="J2744" s="16" t="s">
        <v>9</v>
      </c>
      <c r="K2744" s="16" t="s">
        <v>9</v>
      </c>
      <c r="L2744" s="16" t="s">
        <v>30</v>
      </c>
      <c r="M2744" s="16" t="s">
        <v>30</v>
      </c>
      <c r="N2744" s="16" t="s">
        <v>69</v>
      </c>
      <c r="O2744" s="101"/>
      <c r="P2744" s="101"/>
      <c r="Q2744" s="138" t="s">
        <v>319</v>
      </c>
    </row>
    <row r="2745">
      <c r="A2745" s="242" t="s">
        <v>1022</v>
      </c>
      <c r="B2745" s="183" t="s">
        <v>34</v>
      </c>
      <c r="C2745" s="183" t="s">
        <v>308</v>
      </c>
      <c r="D2745" s="291" t="s">
        <v>1011</v>
      </c>
      <c r="E2745" s="292">
        <v>43378.0</v>
      </c>
      <c r="F2745" s="21" t="str">
        <f t="shared" si="220"/>
        <v>Oct-2018</v>
      </c>
      <c r="G2745" s="19" t="s">
        <v>25</v>
      </c>
      <c r="H2745" s="16" t="s">
        <v>1012</v>
      </c>
      <c r="I2745" s="16" t="s">
        <v>1021</v>
      </c>
      <c r="J2745" s="16" t="s">
        <v>9</v>
      </c>
      <c r="K2745" s="16" t="s">
        <v>9</v>
      </c>
      <c r="L2745" s="16" t="s">
        <v>24</v>
      </c>
      <c r="M2745" s="16"/>
      <c r="N2745" s="16" t="s">
        <v>106</v>
      </c>
      <c r="O2745" s="101"/>
      <c r="P2745" s="101"/>
      <c r="Q2745" s="138" t="s">
        <v>319</v>
      </c>
    </row>
    <row r="2746">
      <c r="A2746" s="185"/>
      <c r="B2746" s="183" t="s">
        <v>34</v>
      </c>
      <c r="C2746" s="183" t="s">
        <v>308</v>
      </c>
      <c r="D2746" s="291" t="s">
        <v>1011</v>
      </c>
      <c r="E2746" s="292">
        <v>43378.0</v>
      </c>
      <c r="F2746" s="21" t="str">
        <f t="shared" si="220"/>
        <v>Oct-2018</v>
      </c>
      <c r="G2746" s="19" t="s">
        <v>32</v>
      </c>
      <c r="H2746" s="16" t="s">
        <v>1012</v>
      </c>
      <c r="I2746" s="16" t="s">
        <v>1021</v>
      </c>
      <c r="J2746" s="16" t="s">
        <v>9</v>
      </c>
      <c r="K2746" s="16" t="s">
        <v>9</v>
      </c>
      <c r="L2746" s="16" t="s">
        <v>30</v>
      </c>
      <c r="M2746" s="16"/>
      <c r="N2746" s="16" t="s">
        <v>99</v>
      </c>
      <c r="O2746" s="101"/>
      <c r="P2746" s="101"/>
      <c r="Q2746" s="138" t="s">
        <v>319</v>
      </c>
    </row>
    <row r="2747">
      <c r="A2747" s="185"/>
      <c r="B2747" s="183" t="s">
        <v>34</v>
      </c>
      <c r="C2747" s="183" t="s">
        <v>308</v>
      </c>
      <c r="D2747" s="291" t="s">
        <v>1011</v>
      </c>
      <c r="E2747" s="292">
        <v>43378.0</v>
      </c>
      <c r="F2747" s="21" t="str">
        <f t="shared" si="220"/>
        <v>Oct-2018</v>
      </c>
      <c r="G2747" s="32" t="s">
        <v>20</v>
      </c>
      <c r="H2747" s="25" t="s">
        <v>1023</v>
      </c>
      <c r="I2747" s="25" t="s">
        <v>1024</v>
      </c>
      <c r="J2747" s="25" t="s">
        <v>9</v>
      </c>
      <c r="K2747" s="25" t="s">
        <v>9</v>
      </c>
      <c r="L2747" s="25" t="s">
        <v>24</v>
      </c>
      <c r="M2747" s="25" t="s">
        <v>24</v>
      </c>
      <c r="N2747" s="25" t="s">
        <v>69</v>
      </c>
      <c r="Q2747" s="184" t="s">
        <v>1025</v>
      </c>
    </row>
    <row r="2748">
      <c r="A2748" s="186"/>
      <c r="B2748" s="183" t="s">
        <v>34</v>
      </c>
      <c r="C2748" s="183" t="s">
        <v>308</v>
      </c>
      <c r="D2748" s="293" t="s">
        <v>1011</v>
      </c>
      <c r="E2748" s="294">
        <v>43378.0</v>
      </c>
      <c r="F2748" s="51" t="str">
        <f t="shared" si="220"/>
        <v>Oct-2018</v>
      </c>
      <c r="G2748" s="43" t="s">
        <v>25</v>
      </c>
      <c r="H2748" s="55" t="s">
        <v>1023</v>
      </c>
      <c r="I2748" s="55" t="s">
        <v>1024</v>
      </c>
      <c r="J2748" s="55" t="s">
        <v>9</v>
      </c>
      <c r="K2748" s="55" t="s">
        <v>9</v>
      </c>
      <c r="L2748" s="55" t="s">
        <v>24</v>
      </c>
      <c r="M2748" s="55"/>
      <c r="N2748" s="55" t="s">
        <v>69</v>
      </c>
      <c r="O2748" s="143"/>
      <c r="P2748" s="143"/>
      <c r="Q2748" s="244" t="s">
        <v>1025</v>
      </c>
    </row>
    <row r="2749">
      <c r="A2749" s="94"/>
    </row>
    <row r="2750">
      <c r="A2750" s="133" t="s">
        <v>1026</v>
      </c>
      <c r="B2750" s="134" t="s">
        <v>433</v>
      </c>
      <c r="C2750" s="134" t="s">
        <v>74</v>
      </c>
      <c r="D2750" s="278" t="s">
        <v>1026</v>
      </c>
      <c r="E2750" s="295">
        <v>43389.0</v>
      </c>
      <c r="F2750" s="70" t="str">
        <f t="shared" ref="F2750:F2758" si="221">TEXT(E2742:E2750, "mmm") &amp; "-" &amp; TEXT(E2742:E2750, "yyyy") </f>
        <v>Oct-2018</v>
      </c>
      <c r="G2750" s="276" t="s">
        <v>20</v>
      </c>
      <c r="H2750" s="47" t="s">
        <v>35</v>
      </c>
      <c r="I2750" s="47" t="s">
        <v>726</v>
      </c>
      <c r="J2750" s="47" t="s">
        <v>216</v>
      </c>
      <c r="K2750" s="47" t="s">
        <v>9</v>
      </c>
      <c r="L2750" s="47" t="s">
        <v>30</v>
      </c>
      <c r="M2750" s="47" t="s">
        <v>30</v>
      </c>
      <c r="N2750" s="47" t="s">
        <v>37</v>
      </c>
      <c r="O2750" s="152"/>
      <c r="P2750" s="152"/>
      <c r="Q2750" s="153"/>
    </row>
    <row r="2751">
      <c r="A2751" s="134" t="s">
        <v>433</v>
      </c>
      <c r="B2751" s="134" t="s">
        <v>433</v>
      </c>
      <c r="C2751" s="134" t="s">
        <v>74</v>
      </c>
      <c r="D2751" s="279" t="s">
        <v>1026</v>
      </c>
      <c r="E2751" s="296">
        <v>43389.0</v>
      </c>
      <c r="F2751" s="21" t="str">
        <f t="shared" si="221"/>
        <v>Oct-2018</v>
      </c>
      <c r="G2751" s="19" t="s">
        <v>25</v>
      </c>
      <c r="H2751" s="16" t="s">
        <v>35</v>
      </c>
      <c r="I2751" s="16" t="s">
        <v>726</v>
      </c>
      <c r="J2751" s="16" t="s">
        <v>216</v>
      </c>
      <c r="K2751" s="16" t="s">
        <v>9</v>
      </c>
      <c r="L2751" s="16" t="s">
        <v>24</v>
      </c>
      <c r="M2751" s="16"/>
      <c r="N2751" s="16" t="s">
        <v>99</v>
      </c>
      <c r="O2751" s="101"/>
      <c r="P2751" s="101"/>
      <c r="Q2751" s="102"/>
    </row>
    <row r="2752">
      <c r="A2752" s="134" t="s">
        <v>901</v>
      </c>
      <c r="B2752" s="134" t="s">
        <v>433</v>
      </c>
      <c r="C2752" s="134" t="s">
        <v>74</v>
      </c>
      <c r="D2752" s="279" t="s">
        <v>1026</v>
      </c>
      <c r="E2752" s="296">
        <v>43389.0</v>
      </c>
      <c r="F2752" s="21" t="str">
        <f t="shared" si="221"/>
        <v>Oct-2018</v>
      </c>
      <c r="G2752" s="19" t="s">
        <v>32</v>
      </c>
      <c r="H2752" s="16" t="s">
        <v>35</v>
      </c>
      <c r="I2752" s="16" t="s">
        <v>726</v>
      </c>
      <c r="J2752" s="16" t="s">
        <v>216</v>
      </c>
      <c r="K2752" s="16" t="s">
        <v>9</v>
      </c>
      <c r="L2752" s="16" t="s">
        <v>30</v>
      </c>
      <c r="M2752" s="16"/>
      <c r="N2752" s="16" t="s">
        <v>69</v>
      </c>
      <c r="O2752" s="101"/>
      <c r="P2752" s="101"/>
      <c r="Q2752" s="102"/>
    </row>
    <row r="2753">
      <c r="A2753" s="189">
        <v>43389.0</v>
      </c>
      <c r="B2753" s="134" t="s">
        <v>433</v>
      </c>
      <c r="C2753" s="134" t="s">
        <v>74</v>
      </c>
      <c r="D2753" s="279" t="s">
        <v>1026</v>
      </c>
      <c r="E2753" s="296">
        <v>43389.0</v>
      </c>
      <c r="F2753" s="21" t="str">
        <f t="shared" si="221"/>
        <v>Oct-2018</v>
      </c>
      <c r="G2753" s="32" t="s">
        <v>20</v>
      </c>
      <c r="H2753" s="25" t="s">
        <v>35</v>
      </c>
      <c r="I2753" s="25" t="s">
        <v>452</v>
      </c>
      <c r="J2753" s="25" t="s">
        <v>27</v>
      </c>
      <c r="K2753" s="25" t="s">
        <v>9</v>
      </c>
      <c r="L2753" s="25" t="s">
        <v>24</v>
      </c>
      <c r="M2753" s="25" t="s">
        <v>24</v>
      </c>
      <c r="N2753" s="25" t="s">
        <v>98</v>
      </c>
      <c r="Q2753" s="99"/>
    </row>
    <row r="2754">
      <c r="A2754" s="176" t="s">
        <v>1027</v>
      </c>
      <c r="B2754" s="134" t="s">
        <v>433</v>
      </c>
      <c r="C2754" s="134" t="s">
        <v>74</v>
      </c>
      <c r="D2754" s="279" t="s">
        <v>1026</v>
      </c>
      <c r="E2754" s="296">
        <v>43389.0</v>
      </c>
      <c r="F2754" s="21" t="str">
        <f t="shared" si="221"/>
        <v>Oct-2018</v>
      </c>
      <c r="G2754" s="32" t="s">
        <v>25</v>
      </c>
      <c r="H2754" s="25" t="s">
        <v>35</v>
      </c>
      <c r="I2754" s="25" t="s">
        <v>452</v>
      </c>
      <c r="J2754" s="25" t="s">
        <v>27</v>
      </c>
      <c r="K2754" s="25" t="s">
        <v>9</v>
      </c>
      <c r="L2754" s="25" t="s">
        <v>24</v>
      </c>
      <c r="M2754" s="25"/>
      <c r="N2754" s="25" t="s">
        <v>106</v>
      </c>
      <c r="Q2754" s="99"/>
    </row>
    <row r="2755">
      <c r="A2755" s="134" t="s">
        <v>1028</v>
      </c>
      <c r="B2755" s="134" t="s">
        <v>433</v>
      </c>
      <c r="C2755" s="134" t="s">
        <v>74</v>
      </c>
      <c r="D2755" s="279" t="s">
        <v>1026</v>
      </c>
      <c r="E2755" s="296">
        <v>43389.0</v>
      </c>
      <c r="F2755" s="21" t="str">
        <f t="shared" si="221"/>
        <v>Oct-2018</v>
      </c>
      <c r="G2755" s="19" t="s">
        <v>20</v>
      </c>
      <c r="H2755" s="16" t="s">
        <v>35</v>
      </c>
      <c r="I2755" s="16" t="s">
        <v>976</v>
      </c>
      <c r="J2755" s="16" t="s">
        <v>48</v>
      </c>
      <c r="K2755" s="16" t="s">
        <v>9</v>
      </c>
      <c r="L2755" s="16" t="s">
        <v>30</v>
      </c>
      <c r="M2755" s="16" t="s">
        <v>30</v>
      </c>
      <c r="N2755" s="16" t="s">
        <v>98</v>
      </c>
      <c r="O2755" s="101"/>
      <c r="P2755" s="101"/>
      <c r="Q2755" s="102"/>
    </row>
    <row r="2756">
      <c r="A2756" s="176" t="s">
        <v>1029</v>
      </c>
      <c r="B2756" s="134" t="s">
        <v>433</v>
      </c>
      <c r="C2756" s="134" t="s">
        <v>74</v>
      </c>
      <c r="D2756" s="279" t="s">
        <v>1026</v>
      </c>
      <c r="E2756" s="296">
        <v>43389.0</v>
      </c>
      <c r="F2756" s="21" t="str">
        <f t="shared" si="221"/>
        <v>Oct-2018</v>
      </c>
      <c r="G2756" s="19" t="s">
        <v>25</v>
      </c>
      <c r="H2756" s="16" t="s">
        <v>35</v>
      </c>
      <c r="I2756" s="16" t="s">
        <v>976</v>
      </c>
      <c r="J2756" s="16" t="s">
        <v>48</v>
      </c>
      <c r="K2756" s="16" t="s">
        <v>9</v>
      </c>
      <c r="L2756" s="16" t="s">
        <v>30</v>
      </c>
      <c r="M2756" s="16"/>
      <c r="N2756" s="16" t="s">
        <v>99</v>
      </c>
      <c r="O2756" s="101"/>
      <c r="P2756" s="101"/>
      <c r="Q2756" s="102"/>
    </row>
    <row r="2757">
      <c r="A2757" s="134" t="s">
        <v>74</v>
      </c>
      <c r="B2757" s="134" t="s">
        <v>433</v>
      </c>
      <c r="C2757" s="134" t="s">
        <v>74</v>
      </c>
      <c r="D2757" s="279" t="s">
        <v>1026</v>
      </c>
      <c r="E2757" s="296">
        <v>43389.0</v>
      </c>
      <c r="F2757" s="21" t="str">
        <f t="shared" si="221"/>
        <v>Oct-2018</v>
      </c>
      <c r="G2757" s="32" t="s">
        <v>20</v>
      </c>
      <c r="H2757" s="25" t="s">
        <v>35</v>
      </c>
      <c r="I2757" s="25" t="s">
        <v>1030</v>
      </c>
      <c r="J2757" s="25" t="s">
        <v>27</v>
      </c>
      <c r="K2757" s="25" t="s">
        <v>9</v>
      </c>
      <c r="L2757" s="25" t="s">
        <v>24</v>
      </c>
      <c r="M2757" s="25" t="s">
        <v>24</v>
      </c>
      <c r="N2757" s="25" t="s">
        <v>69</v>
      </c>
      <c r="Q2757" s="99"/>
    </row>
    <row r="2758">
      <c r="A2758" s="141"/>
      <c r="B2758" s="134" t="s">
        <v>433</v>
      </c>
      <c r="C2758" s="134" t="s">
        <v>74</v>
      </c>
      <c r="D2758" s="280" t="s">
        <v>1026</v>
      </c>
      <c r="E2758" s="297">
        <v>43389.0</v>
      </c>
      <c r="F2758" s="51" t="str">
        <f t="shared" si="221"/>
        <v>Oct-2018</v>
      </c>
      <c r="G2758" s="43" t="s">
        <v>25</v>
      </c>
      <c r="H2758" s="55" t="s">
        <v>35</v>
      </c>
      <c r="I2758" s="55" t="s">
        <v>1030</v>
      </c>
      <c r="J2758" s="55" t="s">
        <v>27</v>
      </c>
      <c r="K2758" s="55" t="s">
        <v>9</v>
      </c>
      <c r="L2758" s="55" t="s">
        <v>24</v>
      </c>
      <c r="M2758" s="55"/>
      <c r="N2758" s="55" t="s">
        <v>106</v>
      </c>
      <c r="O2758" s="143"/>
      <c r="P2758" s="143"/>
      <c r="Q2758" s="144"/>
    </row>
    <row r="2759">
      <c r="A2759" s="94"/>
      <c r="G2759" s="32"/>
    </row>
    <row r="2760">
      <c r="A2760" s="279" t="s">
        <v>1031</v>
      </c>
      <c r="B2760" s="171" t="s">
        <v>1032</v>
      </c>
      <c r="C2760" s="171" t="s">
        <v>84</v>
      </c>
      <c r="D2760" s="279" t="s">
        <v>1031</v>
      </c>
      <c r="E2760" s="261">
        <v>43394.0</v>
      </c>
      <c r="F2760" s="21" t="str">
        <f t="shared" ref="F2760:F2784" si="222">TEXT(E2752:E2760, "mmm") &amp; "-" &amp; TEXT(E2752:E2760, "yyyy") </f>
        <v>Oct-2018</v>
      </c>
      <c r="G2760" s="298" t="s">
        <v>20</v>
      </c>
      <c r="H2760" s="47" t="s">
        <v>287</v>
      </c>
      <c r="I2760" s="47" t="s">
        <v>1033</v>
      </c>
      <c r="J2760" s="47" t="s">
        <v>140</v>
      </c>
      <c r="K2760" s="47" t="s">
        <v>9</v>
      </c>
      <c r="L2760" s="47" t="s">
        <v>30</v>
      </c>
      <c r="M2760" s="47" t="s">
        <v>30</v>
      </c>
      <c r="N2760" s="47" t="s">
        <v>99</v>
      </c>
      <c r="O2760" s="152"/>
      <c r="P2760" s="152"/>
      <c r="Q2760" s="153"/>
    </row>
    <row r="2761">
      <c r="A2761" s="171" t="s">
        <v>1032</v>
      </c>
      <c r="B2761" s="171" t="s">
        <v>1032</v>
      </c>
      <c r="C2761" s="171" t="s">
        <v>84</v>
      </c>
      <c r="D2761" s="279" t="s">
        <v>1031</v>
      </c>
      <c r="E2761" s="261">
        <v>43394.0</v>
      </c>
      <c r="F2761" s="21" t="str">
        <f t="shared" si="222"/>
        <v>Oct-2018</v>
      </c>
      <c r="G2761" s="299" t="s">
        <v>25</v>
      </c>
      <c r="H2761" s="16" t="s">
        <v>287</v>
      </c>
      <c r="I2761" s="16" t="s">
        <v>1033</v>
      </c>
      <c r="J2761" s="16" t="s">
        <v>140</v>
      </c>
      <c r="K2761" s="16" t="s">
        <v>9</v>
      </c>
      <c r="L2761" s="16" t="s">
        <v>30</v>
      </c>
      <c r="M2761" s="16"/>
      <c r="N2761" s="16" t="s">
        <v>98</v>
      </c>
      <c r="O2761" s="101"/>
      <c r="P2761" s="101"/>
      <c r="Q2761" s="102"/>
    </row>
    <row r="2762">
      <c r="A2762" s="171" t="s">
        <v>1034</v>
      </c>
      <c r="B2762" s="171" t="s">
        <v>1032</v>
      </c>
      <c r="C2762" s="171" t="s">
        <v>84</v>
      </c>
      <c r="D2762" s="279" t="s">
        <v>1031</v>
      </c>
      <c r="E2762" s="261">
        <v>43394.0</v>
      </c>
      <c r="F2762" s="21" t="str">
        <f t="shared" si="222"/>
        <v>Oct-2018</v>
      </c>
      <c r="G2762" s="300" t="s">
        <v>20</v>
      </c>
      <c r="H2762" s="25" t="s">
        <v>287</v>
      </c>
      <c r="I2762" s="25" t="s">
        <v>633</v>
      </c>
      <c r="J2762" s="25" t="s">
        <v>27</v>
      </c>
      <c r="K2762" s="25" t="s">
        <v>9</v>
      </c>
      <c r="L2762" s="25" t="s">
        <v>30</v>
      </c>
      <c r="M2762" s="25" t="s">
        <v>30</v>
      </c>
      <c r="N2762" s="25" t="s">
        <v>69</v>
      </c>
      <c r="Q2762" s="99"/>
    </row>
    <row r="2763">
      <c r="A2763" s="261">
        <v>43394.0</v>
      </c>
      <c r="B2763" s="171" t="s">
        <v>1032</v>
      </c>
      <c r="C2763" s="171" t="s">
        <v>84</v>
      </c>
      <c r="D2763" s="279" t="s">
        <v>1031</v>
      </c>
      <c r="E2763" s="261">
        <v>43394.0</v>
      </c>
      <c r="F2763" s="21" t="str">
        <f t="shared" si="222"/>
        <v>Oct-2018</v>
      </c>
      <c r="G2763" s="300" t="s">
        <v>25</v>
      </c>
      <c r="H2763" s="25" t="s">
        <v>287</v>
      </c>
      <c r="I2763" s="25" t="s">
        <v>633</v>
      </c>
      <c r="J2763" s="25" t="s">
        <v>27</v>
      </c>
      <c r="K2763" s="25" t="s">
        <v>9</v>
      </c>
      <c r="L2763" s="25" t="s">
        <v>24</v>
      </c>
      <c r="M2763" s="25"/>
      <c r="N2763" s="25" t="s">
        <v>99</v>
      </c>
      <c r="Q2763" s="99"/>
    </row>
    <row r="2764">
      <c r="A2764" s="301" t="s">
        <v>1035</v>
      </c>
      <c r="B2764" s="171" t="s">
        <v>1032</v>
      </c>
      <c r="C2764" s="171" t="s">
        <v>84</v>
      </c>
      <c r="D2764" s="279" t="s">
        <v>1031</v>
      </c>
      <c r="E2764" s="261">
        <v>43394.0</v>
      </c>
      <c r="F2764" s="21" t="str">
        <f t="shared" si="222"/>
        <v>Oct-2018</v>
      </c>
      <c r="G2764" s="300" t="s">
        <v>32</v>
      </c>
      <c r="H2764" s="25" t="s">
        <v>287</v>
      </c>
      <c r="I2764" s="25" t="s">
        <v>633</v>
      </c>
      <c r="J2764" s="25" t="s">
        <v>27</v>
      </c>
      <c r="K2764" s="25" t="s">
        <v>9</v>
      </c>
      <c r="L2764" s="25" t="s">
        <v>30</v>
      </c>
      <c r="M2764" s="25"/>
      <c r="N2764" s="25" t="s">
        <v>106</v>
      </c>
      <c r="Q2764" s="99"/>
    </row>
    <row r="2765">
      <c r="A2765" s="171" t="s">
        <v>84</v>
      </c>
      <c r="B2765" s="171" t="s">
        <v>1032</v>
      </c>
      <c r="C2765" s="171" t="s">
        <v>84</v>
      </c>
      <c r="D2765" s="279" t="s">
        <v>1031</v>
      </c>
      <c r="E2765" s="261">
        <v>43394.0</v>
      </c>
      <c r="F2765" s="21" t="str">
        <f t="shared" si="222"/>
        <v>Oct-2018</v>
      </c>
      <c r="G2765" s="299" t="s">
        <v>20</v>
      </c>
      <c r="H2765" s="16" t="s">
        <v>287</v>
      </c>
      <c r="I2765" s="16" t="s">
        <v>1036</v>
      </c>
      <c r="J2765" s="16" t="s">
        <v>9</v>
      </c>
      <c r="K2765" s="16" t="s">
        <v>9</v>
      </c>
      <c r="L2765" s="16" t="s">
        <v>30</v>
      </c>
      <c r="M2765" s="16" t="s">
        <v>30</v>
      </c>
      <c r="N2765" s="16" t="s">
        <v>98</v>
      </c>
      <c r="O2765" s="101"/>
      <c r="P2765" s="101"/>
      <c r="Q2765" s="102"/>
    </row>
    <row r="2766">
      <c r="A2766" s="172"/>
      <c r="B2766" s="171" t="s">
        <v>1032</v>
      </c>
      <c r="C2766" s="171" t="s">
        <v>84</v>
      </c>
      <c r="D2766" s="279" t="s">
        <v>1031</v>
      </c>
      <c r="E2766" s="261">
        <v>43394.0</v>
      </c>
      <c r="F2766" s="21" t="str">
        <f t="shared" si="222"/>
        <v>Oct-2018</v>
      </c>
      <c r="G2766" s="299" t="s">
        <v>25</v>
      </c>
      <c r="H2766" s="16" t="s">
        <v>287</v>
      </c>
      <c r="I2766" s="16" t="s">
        <v>1036</v>
      </c>
      <c r="J2766" s="16" t="s">
        <v>9</v>
      </c>
      <c r="K2766" s="16" t="s">
        <v>9</v>
      </c>
      <c r="L2766" s="16" t="s">
        <v>30</v>
      </c>
      <c r="M2766" s="16"/>
      <c r="N2766" s="16" t="s">
        <v>106</v>
      </c>
      <c r="O2766" s="101"/>
      <c r="P2766" s="101"/>
      <c r="Q2766" s="102"/>
    </row>
    <row r="2767">
      <c r="A2767" s="171" t="s">
        <v>1037</v>
      </c>
      <c r="B2767" s="171" t="s">
        <v>1032</v>
      </c>
      <c r="C2767" s="171" t="s">
        <v>84</v>
      </c>
      <c r="D2767" s="279" t="s">
        <v>1031</v>
      </c>
      <c r="E2767" s="261">
        <v>43394.0</v>
      </c>
      <c r="F2767" s="21" t="str">
        <f t="shared" si="222"/>
        <v>Oct-2018</v>
      </c>
      <c r="G2767" s="300" t="s">
        <v>20</v>
      </c>
      <c r="H2767" s="25" t="s">
        <v>287</v>
      </c>
      <c r="I2767" s="25" t="s">
        <v>1038</v>
      </c>
      <c r="J2767" s="25" t="s">
        <v>27</v>
      </c>
      <c r="K2767" s="25" t="s">
        <v>9</v>
      </c>
      <c r="L2767" s="25" t="s">
        <v>30</v>
      </c>
      <c r="M2767" s="25" t="s">
        <v>30</v>
      </c>
      <c r="N2767" s="25" t="s">
        <v>98</v>
      </c>
      <c r="Q2767" s="99"/>
    </row>
    <row r="2768">
      <c r="A2768" s="172"/>
      <c r="B2768" s="171" t="s">
        <v>1032</v>
      </c>
      <c r="C2768" s="171" t="s">
        <v>84</v>
      </c>
      <c r="D2768" s="279" t="s">
        <v>1031</v>
      </c>
      <c r="E2768" s="261">
        <v>43394.0</v>
      </c>
      <c r="F2768" s="21" t="str">
        <f t="shared" si="222"/>
        <v>Oct-2018</v>
      </c>
      <c r="G2768" s="300" t="s">
        <v>25</v>
      </c>
      <c r="H2768" s="25" t="s">
        <v>287</v>
      </c>
      <c r="I2768" s="25" t="s">
        <v>1038</v>
      </c>
      <c r="J2768" s="25" t="s">
        <v>27</v>
      </c>
      <c r="K2768" s="25" t="s">
        <v>9</v>
      </c>
      <c r="L2768" s="25" t="s">
        <v>30</v>
      </c>
      <c r="M2768" s="25"/>
      <c r="N2768" s="25" t="s">
        <v>99</v>
      </c>
      <c r="Q2768" s="99"/>
    </row>
    <row r="2769">
      <c r="A2769" s="172"/>
      <c r="B2769" s="171" t="s">
        <v>1032</v>
      </c>
      <c r="C2769" s="171" t="s">
        <v>84</v>
      </c>
      <c r="D2769" s="279" t="s">
        <v>1031</v>
      </c>
      <c r="E2769" s="261">
        <v>43394.0</v>
      </c>
      <c r="F2769" s="21" t="str">
        <f t="shared" si="222"/>
        <v>Oct-2018</v>
      </c>
      <c r="G2769" s="299" t="s">
        <v>20</v>
      </c>
      <c r="H2769" s="16" t="s">
        <v>287</v>
      </c>
      <c r="I2769" s="16" t="s">
        <v>1039</v>
      </c>
      <c r="J2769" s="16" t="s">
        <v>97</v>
      </c>
      <c r="K2769" s="16" t="s">
        <v>9</v>
      </c>
      <c r="L2769" s="16" t="s">
        <v>30</v>
      </c>
      <c r="M2769" s="16" t="s">
        <v>30</v>
      </c>
      <c r="N2769" s="16" t="s">
        <v>69</v>
      </c>
      <c r="O2769" s="101"/>
      <c r="P2769" s="101"/>
      <c r="Q2769" s="102"/>
    </row>
    <row r="2770">
      <c r="A2770" s="172"/>
      <c r="B2770" s="171" t="s">
        <v>1032</v>
      </c>
      <c r="C2770" s="171" t="s">
        <v>84</v>
      </c>
      <c r="D2770" s="279" t="s">
        <v>1031</v>
      </c>
      <c r="E2770" s="261">
        <v>43394.0</v>
      </c>
      <c r="F2770" s="21" t="str">
        <f t="shared" si="222"/>
        <v>Oct-2018</v>
      </c>
      <c r="G2770" s="299" t="s">
        <v>25</v>
      </c>
      <c r="H2770" s="16" t="s">
        <v>287</v>
      </c>
      <c r="I2770" s="16" t="s">
        <v>1039</v>
      </c>
      <c r="J2770" s="16" t="s">
        <v>97</v>
      </c>
      <c r="K2770" s="16" t="s">
        <v>9</v>
      </c>
      <c r="L2770" s="16" t="s">
        <v>30</v>
      </c>
      <c r="M2770" s="16"/>
      <c r="N2770" s="16" t="s">
        <v>98</v>
      </c>
      <c r="O2770" s="101"/>
      <c r="P2770" s="101"/>
      <c r="Q2770" s="102"/>
    </row>
    <row r="2771">
      <c r="A2771" s="172"/>
      <c r="B2771" s="171" t="s">
        <v>1032</v>
      </c>
      <c r="C2771" s="171" t="s">
        <v>84</v>
      </c>
      <c r="D2771" s="279" t="s">
        <v>1031</v>
      </c>
      <c r="E2771" s="261">
        <v>43394.0</v>
      </c>
      <c r="F2771" s="21" t="str">
        <f t="shared" si="222"/>
        <v>Oct-2018</v>
      </c>
      <c r="G2771" s="300" t="s">
        <v>20</v>
      </c>
      <c r="H2771" s="25" t="s">
        <v>287</v>
      </c>
      <c r="I2771" s="25" t="s">
        <v>361</v>
      </c>
      <c r="J2771" s="25" t="s">
        <v>44</v>
      </c>
      <c r="K2771" s="25" t="s">
        <v>9</v>
      </c>
      <c r="L2771" s="25" t="s">
        <v>24</v>
      </c>
      <c r="M2771" s="25" t="s">
        <v>24</v>
      </c>
      <c r="N2771" s="25" t="s">
        <v>69</v>
      </c>
      <c r="Q2771" s="99"/>
    </row>
    <row r="2772">
      <c r="A2772" s="172"/>
      <c r="B2772" s="171" t="s">
        <v>1032</v>
      </c>
      <c r="C2772" s="171" t="s">
        <v>84</v>
      </c>
      <c r="D2772" s="279" t="s">
        <v>1031</v>
      </c>
      <c r="E2772" s="261">
        <v>43394.0</v>
      </c>
      <c r="F2772" s="21" t="str">
        <f t="shared" si="222"/>
        <v>Oct-2018</v>
      </c>
      <c r="G2772" s="300" t="s">
        <v>25</v>
      </c>
      <c r="H2772" s="25" t="s">
        <v>287</v>
      </c>
      <c r="I2772" s="25" t="s">
        <v>361</v>
      </c>
      <c r="J2772" s="25" t="s">
        <v>44</v>
      </c>
      <c r="K2772" s="25" t="s">
        <v>9</v>
      </c>
      <c r="L2772" s="25" t="s">
        <v>24</v>
      </c>
      <c r="M2772" s="25"/>
      <c r="N2772" s="25" t="s">
        <v>69</v>
      </c>
      <c r="Q2772" s="99"/>
    </row>
    <row r="2773">
      <c r="A2773" s="172"/>
      <c r="B2773" s="171" t="s">
        <v>1032</v>
      </c>
      <c r="C2773" s="171" t="s">
        <v>84</v>
      </c>
      <c r="D2773" s="279" t="s">
        <v>1031</v>
      </c>
      <c r="E2773" s="261">
        <v>43394.0</v>
      </c>
      <c r="F2773" s="21" t="str">
        <f t="shared" si="222"/>
        <v>Oct-2018</v>
      </c>
      <c r="G2773" s="302" t="s">
        <v>146</v>
      </c>
      <c r="H2773" s="16" t="s">
        <v>35</v>
      </c>
      <c r="I2773" s="16" t="s">
        <v>393</v>
      </c>
      <c r="J2773" s="16" t="s">
        <v>102</v>
      </c>
      <c r="K2773" s="16" t="s">
        <v>9</v>
      </c>
      <c r="L2773" s="16" t="s">
        <v>24</v>
      </c>
      <c r="M2773" s="16" t="s">
        <v>30</v>
      </c>
      <c r="N2773" s="16" t="s">
        <v>99</v>
      </c>
      <c r="O2773" s="101"/>
      <c r="P2773" s="101"/>
      <c r="Q2773" s="102"/>
    </row>
    <row r="2774">
      <c r="A2774" s="172"/>
      <c r="B2774" s="171" t="s">
        <v>1032</v>
      </c>
      <c r="C2774" s="171" t="s">
        <v>84</v>
      </c>
      <c r="D2774" s="279" t="s">
        <v>1031</v>
      </c>
      <c r="E2774" s="261">
        <v>43394.0</v>
      </c>
      <c r="F2774" s="21" t="str">
        <f t="shared" si="222"/>
        <v>Oct-2018</v>
      </c>
      <c r="G2774" s="302" t="s">
        <v>149</v>
      </c>
      <c r="H2774" s="16" t="s">
        <v>35</v>
      </c>
      <c r="I2774" s="16" t="s">
        <v>393</v>
      </c>
      <c r="J2774" s="16" t="s">
        <v>102</v>
      </c>
      <c r="K2774" s="16" t="s">
        <v>9</v>
      </c>
      <c r="L2774" s="16" t="s">
        <v>30</v>
      </c>
      <c r="M2774" s="16"/>
      <c r="N2774" s="16" t="s">
        <v>69</v>
      </c>
      <c r="O2774" s="101"/>
      <c r="P2774" s="101"/>
      <c r="Q2774" s="102"/>
    </row>
    <row r="2775">
      <c r="A2775" s="172"/>
      <c r="B2775" s="171" t="s">
        <v>1032</v>
      </c>
      <c r="C2775" s="171" t="s">
        <v>84</v>
      </c>
      <c r="D2775" s="279" t="s">
        <v>1031</v>
      </c>
      <c r="E2775" s="261">
        <v>43394.0</v>
      </c>
      <c r="F2775" s="21" t="str">
        <f t="shared" si="222"/>
        <v>Oct-2018</v>
      </c>
      <c r="G2775" s="302" t="s">
        <v>222</v>
      </c>
      <c r="H2775" s="16" t="s">
        <v>35</v>
      </c>
      <c r="I2775" s="16" t="s">
        <v>393</v>
      </c>
      <c r="J2775" s="16" t="s">
        <v>102</v>
      </c>
      <c r="K2775" s="16" t="s">
        <v>9</v>
      </c>
      <c r="L2775" s="16" t="s">
        <v>30</v>
      </c>
      <c r="M2775" s="16"/>
      <c r="N2775" s="16" t="s">
        <v>37</v>
      </c>
      <c r="O2775" s="101"/>
      <c r="P2775" s="101"/>
      <c r="Q2775" s="102"/>
    </row>
    <row r="2776">
      <c r="A2776" s="172"/>
      <c r="B2776" s="171" t="s">
        <v>1032</v>
      </c>
      <c r="C2776" s="171" t="s">
        <v>84</v>
      </c>
      <c r="D2776" s="279" t="s">
        <v>1031</v>
      </c>
      <c r="E2776" s="261">
        <v>43394.0</v>
      </c>
      <c r="F2776" s="21" t="str">
        <f t="shared" si="222"/>
        <v>Oct-2018</v>
      </c>
      <c r="G2776" s="302" t="s">
        <v>467</v>
      </c>
      <c r="H2776" s="16" t="s">
        <v>35</v>
      </c>
      <c r="I2776" s="16" t="s">
        <v>393</v>
      </c>
      <c r="J2776" s="16" t="s">
        <v>102</v>
      </c>
      <c r="K2776" s="16" t="s">
        <v>9</v>
      </c>
      <c r="L2776" s="16" t="s">
        <v>30</v>
      </c>
      <c r="M2776" s="16"/>
      <c r="N2776" s="16" t="s">
        <v>29</v>
      </c>
      <c r="O2776" s="101"/>
      <c r="P2776" s="101"/>
      <c r="Q2776" s="102"/>
    </row>
    <row r="2777">
      <c r="A2777" s="172"/>
      <c r="B2777" s="171" t="s">
        <v>1032</v>
      </c>
      <c r="C2777" s="171" t="s">
        <v>84</v>
      </c>
      <c r="D2777" s="279" t="s">
        <v>1031</v>
      </c>
      <c r="E2777" s="261">
        <v>43394.0</v>
      </c>
      <c r="F2777" s="21" t="str">
        <f t="shared" si="222"/>
        <v>Oct-2018</v>
      </c>
      <c r="G2777" s="303" t="s">
        <v>146</v>
      </c>
      <c r="H2777" s="25" t="s">
        <v>35</v>
      </c>
      <c r="I2777" s="25" t="s">
        <v>93</v>
      </c>
      <c r="J2777" s="25" t="s">
        <v>23</v>
      </c>
      <c r="K2777" s="25" t="s">
        <v>9</v>
      </c>
      <c r="L2777" s="25" t="s">
        <v>30</v>
      </c>
      <c r="M2777" s="25" t="s">
        <v>30</v>
      </c>
      <c r="N2777" s="25" t="s">
        <v>37</v>
      </c>
      <c r="Q2777" s="99"/>
    </row>
    <row r="2778">
      <c r="A2778" s="172"/>
      <c r="B2778" s="171" t="s">
        <v>1032</v>
      </c>
      <c r="C2778" s="171" t="s">
        <v>84</v>
      </c>
      <c r="D2778" s="279" t="s">
        <v>1031</v>
      </c>
      <c r="E2778" s="261">
        <v>43394.0</v>
      </c>
      <c r="F2778" s="21" t="str">
        <f t="shared" si="222"/>
        <v>Oct-2018</v>
      </c>
      <c r="G2778" s="303" t="s">
        <v>149</v>
      </c>
      <c r="H2778" s="25" t="s">
        <v>35</v>
      </c>
      <c r="I2778" s="25" t="s">
        <v>93</v>
      </c>
      <c r="J2778" s="25" t="s">
        <v>23</v>
      </c>
      <c r="K2778" s="25" t="s">
        <v>9</v>
      </c>
      <c r="L2778" s="25" t="s">
        <v>24</v>
      </c>
      <c r="M2778" s="25"/>
      <c r="N2778" s="25" t="s">
        <v>98</v>
      </c>
      <c r="Q2778" s="99"/>
    </row>
    <row r="2779">
      <c r="A2779" s="172"/>
      <c r="B2779" s="171" t="s">
        <v>1032</v>
      </c>
      <c r="C2779" s="171" t="s">
        <v>84</v>
      </c>
      <c r="D2779" s="279" t="s">
        <v>1031</v>
      </c>
      <c r="E2779" s="261">
        <v>43394.0</v>
      </c>
      <c r="F2779" s="21" t="str">
        <f t="shared" si="222"/>
        <v>Oct-2018</v>
      </c>
      <c r="G2779" s="303" t="s">
        <v>222</v>
      </c>
      <c r="H2779" s="25" t="s">
        <v>35</v>
      </c>
      <c r="I2779" s="25" t="s">
        <v>93</v>
      </c>
      <c r="J2779" s="25" t="s">
        <v>23</v>
      </c>
      <c r="K2779" s="25" t="s">
        <v>9</v>
      </c>
      <c r="L2779" s="25" t="s">
        <v>30</v>
      </c>
      <c r="M2779" s="25"/>
      <c r="N2779" s="25" t="s">
        <v>106</v>
      </c>
      <c r="Q2779" s="99"/>
    </row>
    <row r="2780">
      <c r="A2780" s="172"/>
      <c r="B2780" s="171" t="s">
        <v>1032</v>
      </c>
      <c r="C2780" s="171" t="s">
        <v>84</v>
      </c>
      <c r="D2780" s="279" t="s">
        <v>1031</v>
      </c>
      <c r="E2780" s="261">
        <v>43394.0</v>
      </c>
      <c r="F2780" s="21" t="str">
        <f t="shared" si="222"/>
        <v>Oct-2018</v>
      </c>
      <c r="G2780" s="303" t="s">
        <v>467</v>
      </c>
      <c r="H2780" s="25" t="s">
        <v>35</v>
      </c>
      <c r="I2780" s="25" t="s">
        <v>93</v>
      </c>
      <c r="J2780" s="25" t="s">
        <v>23</v>
      </c>
      <c r="K2780" s="25" t="s">
        <v>9</v>
      </c>
      <c r="L2780" s="25" t="s">
        <v>30</v>
      </c>
      <c r="M2780" s="25"/>
      <c r="N2780" s="25" t="s">
        <v>99</v>
      </c>
      <c r="Q2780" s="99"/>
    </row>
    <row r="2781">
      <c r="A2781" s="172"/>
      <c r="B2781" s="171" t="s">
        <v>1032</v>
      </c>
      <c r="C2781" s="171" t="s">
        <v>84</v>
      </c>
      <c r="D2781" s="279" t="s">
        <v>1031</v>
      </c>
      <c r="E2781" s="261">
        <v>43394.0</v>
      </c>
      <c r="F2781" s="21" t="str">
        <f t="shared" si="222"/>
        <v>Oct-2018</v>
      </c>
      <c r="G2781" s="299" t="s">
        <v>146</v>
      </c>
      <c r="H2781" s="16" t="s">
        <v>35</v>
      </c>
      <c r="I2781" s="16" t="s">
        <v>361</v>
      </c>
      <c r="J2781" s="16" t="s">
        <v>44</v>
      </c>
      <c r="K2781" s="16" t="s">
        <v>9</v>
      </c>
      <c r="L2781" s="16" t="s">
        <v>24</v>
      </c>
      <c r="M2781" s="16" t="s">
        <v>24</v>
      </c>
      <c r="N2781" s="16" t="s">
        <v>69</v>
      </c>
      <c r="O2781" s="101"/>
      <c r="P2781" s="101"/>
      <c r="Q2781" s="102"/>
    </row>
    <row r="2782">
      <c r="A2782" s="172"/>
      <c r="B2782" s="171" t="s">
        <v>1032</v>
      </c>
      <c r="C2782" s="171" t="s">
        <v>84</v>
      </c>
      <c r="D2782" s="279" t="s">
        <v>1031</v>
      </c>
      <c r="E2782" s="261">
        <v>43394.0</v>
      </c>
      <c r="F2782" s="21" t="str">
        <f t="shared" si="222"/>
        <v>Oct-2018</v>
      </c>
      <c r="G2782" s="299" t="s">
        <v>149</v>
      </c>
      <c r="H2782" s="16" t="s">
        <v>35</v>
      </c>
      <c r="I2782" s="16" t="s">
        <v>361</v>
      </c>
      <c r="J2782" s="16" t="s">
        <v>44</v>
      </c>
      <c r="K2782" s="16" t="s">
        <v>9</v>
      </c>
      <c r="L2782" s="16" t="s">
        <v>24</v>
      </c>
      <c r="M2782" s="16"/>
      <c r="N2782" s="16" t="s">
        <v>37</v>
      </c>
      <c r="O2782" s="101"/>
      <c r="P2782" s="101"/>
      <c r="Q2782" s="102"/>
    </row>
    <row r="2783">
      <c r="A2783" s="172"/>
      <c r="B2783" s="171" t="s">
        <v>1032</v>
      </c>
      <c r="C2783" s="171" t="s">
        <v>84</v>
      </c>
      <c r="D2783" s="279" t="s">
        <v>1031</v>
      </c>
      <c r="E2783" s="261">
        <v>43394.0</v>
      </c>
      <c r="F2783" s="21" t="str">
        <f t="shared" si="222"/>
        <v>Oct-2018</v>
      </c>
      <c r="G2783" s="299" t="s">
        <v>222</v>
      </c>
      <c r="H2783" s="16" t="s">
        <v>35</v>
      </c>
      <c r="I2783" s="16" t="s">
        <v>361</v>
      </c>
      <c r="J2783" s="16" t="s">
        <v>44</v>
      </c>
      <c r="K2783" s="16" t="s">
        <v>9</v>
      </c>
      <c r="L2783" s="16" t="s">
        <v>30</v>
      </c>
      <c r="M2783" s="16"/>
      <c r="N2783" s="16" t="s">
        <v>37</v>
      </c>
      <c r="O2783" s="101"/>
      <c r="P2783" s="101"/>
      <c r="Q2783" s="102"/>
    </row>
    <row r="2784">
      <c r="A2784" s="172"/>
      <c r="B2784" s="171" t="s">
        <v>1032</v>
      </c>
      <c r="C2784" s="171" t="s">
        <v>84</v>
      </c>
      <c r="D2784" s="279" t="s">
        <v>1031</v>
      </c>
      <c r="E2784" s="261">
        <v>43394.0</v>
      </c>
      <c r="F2784" s="21" t="str">
        <f t="shared" si="222"/>
        <v>Oct-2018</v>
      </c>
      <c r="G2784" s="304" t="s">
        <v>467</v>
      </c>
      <c r="H2784" s="38" t="s">
        <v>35</v>
      </c>
      <c r="I2784" s="38" t="s">
        <v>361</v>
      </c>
      <c r="J2784" s="38" t="s">
        <v>44</v>
      </c>
      <c r="K2784" s="38" t="s">
        <v>9</v>
      </c>
      <c r="L2784" s="38" t="s">
        <v>24</v>
      </c>
      <c r="M2784" s="38"/>
      <c r="N2784" s="38" t="s">
        <v>29</v>
      </c>
      <c r="O2784" s="105"/>
      <c r="P2784" s="105"/>
      <c r="Q2784" s="106"/>
    </row>
    <row r="2785">
      <c r="A2785" s="94"/>
    </row>
    <row r="2786">
      <c r="A2786" s="279" t="s">
        <v>1040</v>
      </c>
      <c r="B2786" s="171" t="s">
        <v>34</v>
      </c>
      <c r="C2786" s="171" t="s">
        <v>74</v>
      </c>
      <c r="D2786" s="279" t="s">
        <v>1041</v>
      </c>
      <c r="E2786" s="240">
        <v>43405.0</v>
      </c>
      <c r="F2786" s="21" t="str">
        <f t="shared" ref="F2786:F2802" si="223">TEXT(E2778:E2786, "mmm") &amp; "-" &amp; TEXT(E2778:E2786, "yyyy") </f>
        <v>Nov-2018</v>
      </c>
      <c r="G2786" s="305" t="s">
        <v>20</v>
      </c>
      <c r="H2786" s="73" t="s">
        <v>35</v>
      </c>
      <c r="I2786" s="73" t="s">
        <v>813</v>
      </c>
      <c r="J2786" s="73" t="s">
        <v>102</v>
      </c>
      <c r="K2786" s="73" t="s">
        <v>9</v>
      </c>
      <c r="L2786" s="73" t="s">
        <v>30</v>
      </c>
      <c r="M2786" s="73" t="s">
        <v>30</v>
      </c>
      <c r="N2786" s="73" t="s">
        <v>99</v>
      </c>
      <c r="O2786" s="165"/>
      <c r="P2786" s="165"/>
      <c r="Q2786" s="166"/>
    </row>
    <row r="2787">
      <c r="A2787" s="171" t="s">
        <v>34</v>
      </c>
      <c r="B2787" s="171" t="s">
        <v>34</v>
      </c>
      <c r="C2787" s="171" t="s">
        <v>74</v>
      </c>
      <c r="D2787" s="279" t="s">
        <v>1041</v>
      </c>
      <c r="E2787" s="240">
        <v>43405.0</v>
      </c>
      <c r="F2787" s="21" t="str">
        <f t="shared" si="223"/>
        <v>Nov-2018</v>
      </c>
      <c r="G2787" s="300" t="s">
        <v>25</v>
      </c>
      <c r="H2787" s="25" t="s">
        <v>35</v>
      </c>
      <c r="I2787" s="25" t="s">
        <v>813</v>
      </c>
      <c r="J2787" s="25" t="s">
        <v>102</v>
      </c>
      <c r="K2787" s="25" t="s">
        <v>9</v>
      </c>
      <c r="L2787" s="25" t="s">
        <v>30</v>
      </c>
      <c r="M2787" s="25"/>
      <c r="N2787" s="25" t="s">
        <v>37</v>
      </c>
      <c r="Q2787" s="99"/>
    </row>
    <row r="2788">
      <c r="A2788" s="171" t="s">
        <v>1042</v>
      </c>
      <c r="B2788" s="171" t="s">
        <v>34</v>
      </c>
      <c r="C2788" s="171" t="s">
        <v>74</v>
      </c>
      <c r="D2788" s="279" t="s">
        <v>1041</v>
      </c>
      <c r="E2788" s="240">
        <v>43405.0</v>
      </c>
      <c r="F2788" s="21" t="str">
        <f t="shared" si="223"/>
        <v>Nov-2018</v>
      </c>
      <c r="G2788" s="299" t="s">
        <v>20</v>
      </c>
      <c r="H2788" s="16" t="s">
        <v>35</v>
      </c>
      <c r="I2788" s="16" t="s">
        <v>633</v>
      </c>
      <c r="J2788" s="16" t="s">
        <v>27</v>
      </c>
      <c r="K2788" s="16" t="s">
        <v>9</v>
      </c>
      <c r="L2788" s="16" t="s">
        <v>30</v>
      </c>
      <c r="M2788" s="16" t="s">
        <v>30</v>
      </c>
      <c r="N2788" s="16" t="s">
        <v>69</v>
      </c>
      <c r="O2788" s="101"/>
      <c r="P2788" s="101"/>
      <c r="Q2788" s="102"/>
    </row>
    <row r="2789">
      <c r="A2789" s="240">
        <v>43405.0</v>
      </c>
      <c r="B2789" s="171" t="s">
        <v>34</v>
      </c>
      <c r="C2789" s="171" t="s">
        <v>74</v>
      </c>
      <c r="D2789" s="279" t="s">
        <v>1041</v>
      </c>
      <c r="E2789" s="240">
        <v>43405.0</v>
      </c>
      <c r="F2789" s="21" t="str">
        <f t="shared" si="223"/>
        <v>Nov-2018</v>
      </c>
      <c r="G2789" s="299" t="s">
        <v>25</v>
      </c>
      <c r="H2789" s="16" t="s">
        <v>35</v>
      </c>
      <c r="I2789" s="16" t="s">
        <v>633</v>
      </c>
      <c r="J2789" s="16" t="s">
        <v>27</v>
      </c>
      <c r="K2789" s="16" t="s">
        <v>9</v>
      </c>
      <c r="L2789" s="16" t="s">
        <v>30</v>
      </c>
      <c r="M2789" s="16"/>
      <c r="N2789" s="16" t="s">
        <v>69</v>
      </c>
      <c r="O2789" s="101"/>
      <c r="P2789" s="101"/>
      <c r="Q2789" s="102"/>
    </row>
    <row r="2790">
      <c r="A2790" s="301" t="s">
        <v>1043</v>
      </c>
      <c r="B2790" s="171" t="s">
        <v>34</v>
      </c>
      <c r="C2790" s="171" t="s">
        <v>74</v>
      </c>
      <c r="D2790" s="279" t="s">
        <v>1041</v>
      </c>
      <c r="E2790" s="240">
        <v>43405.0</v>
      </c>
      <c r="F2790" s="21" t="str">
        <f t="shared" si="223"/>
        <v>Nov-2018</v>
      </c>
      <c r="G2790" s="300" t="s">
        <v>20</v>
      </c>
      <c r="H2790" s="25" t="s">
        <v>35</v>
      </c>
      <c r="I2790" s="25" t="s">
        <v>239</v>
      </c>
      <c r="J2790" s="25" t="s">
        <v>27</v>
      </c>
      <c r="K2790" s="25" t="s">
        <v>9</v>
      </c>
      <c r="L2790" s="25" t="s">
        <v>24</v>
      </c>
      <c r="M2790" s="25" t="s">
        <v>24</v>
      </c>
      <c r="N2790" s="25" t="s">
        <v>69</v>
      </c>
      <c r="Q2790" s="99"/>
    </row>
    <row r="2791">
      <c r="A2791" s="171" t="s">
        <v>74</v>
      </c>
      <c r="B2791" s="171" t="s">
        <v>34</v>
      </c>
      <c r="C2791" s="171" t="s">
        <v>74</v>
      </c>
      <c r="D2791" s="279" t="s">
        <v>1041</v>
      </c>
      <c r="E2791" s="240">
        <v>43405.0</v>
      </c>
      <c r="F2791" s="21" t="str">
        <f t="shared" si="223"/>
        <v>Nov-2018</v>
      </c>
      <c r="G2791" s="300" t="s">
        <v>25</v>
      </c>
      <c r="H2791" s="25" t="s">
        <v>35</v>
      </c>
      <c r="I2791" s="25" t="s">
        <v>239</v>
      </c>
      <c r="J2791" s="25" t="s">
        <v>27</v>
      </c>
      <c r="K2791" s="25" t="s">
        <v>9</v>
      </c>
      <c r="L2791" s="25" t="s">
        <v>24</v>
      </c>
      <c r="M2791" s="25"/>
      <c r="N2791" s="25" t="s">
        <v>106</v>
      </c>
      <c r="Q2791" s="99"/>
    </row>
    <row r="2792">
      <c r="A2792" s="301" t="s">
        <v>1044</v>
      </c>
      <c r="B2792" s="171" t="s">
        <v>34</v>
      </c>
      <c r="C2792" s="171" t="s">
        <v>74</v>
      </c>
      <c r="D2792" s="279" t="s">
        <v>1041</v>
      </c>
      <c r="E2792" s="240">
        <v>43405.0</v>
      </c>
      <c r="F2792" s="21" t="str">
        <f t="shared" si="223"/>
        <v>Nov-2018</v>
      </c>
      <c r="G2792" s="299" t="s">
        <v>20</v>
      </c>
      <c r="H2792" s="16" t="s">
        <v>35</v>
      </c>
      <c r="I2792" s="16" t="s">
        <v>93</v>
      </c>
      <c r="J2792" s="16" t="s">
        <v>23</v>
      </c>
      <c r="K2792" s="16" t="s">
        <v>9</v>
      </c>
      <c r="L2792" s="16" t="s">
        <v>24</v>
      </c>
      <c r="M2792" s="16" t="s">
        <v>24</v>
      </c>
      <c r="N2792" s="16" t="s">
        <v>37</v>
      </c>
      <c r="O2792" s="101"/>
      <c r="P2792" s="101"/>
      <c r="Q2792" s="102"/>
    </row>
    <row r="2793">
      <c r="A2793" s="172"/>
      <c r="B2793" s="171" t="s">
        <v>34</v>
      </c>
      <c r="C2793" s="171" t="s">
        <v>74</v>
      </c>
      <c r="D2793" s="279" t="s">
        <v>1041</v>
      </c>
      <c r="E2793" s="240">
        <v>43405.0</v>
      </c>
      <c r="F2793" s="21" t="str">
        <f t="shared" si="223"/>
        <v>Nov-2018</v>
      </c>
      <c r="G2793" s="299" t="s">
        <v>25</v>
      </c>
      <c r="H2793" s="16" t="s">
        <v>35</v>
      </c>
      <c r="I2793" s="16" t="s">
        <v>93</v>
      </c>
      <c r="J2793" s="16" t="s">
        <v>23</v>
      </c>
      <c r="K2793" s="16" t="s">
        <v>9</v>
      </c>
      <c r="L2793" s="16" t="s">
        <v>24</v>
      </c>
      <c r="M2793" s="16"/>
      <c r="N2793" s="16" t="s">
        <v>106</v>
      </c>
      <c r="O2793" s="101"/>
      <c r="P2793" s="101"/>
      <c r="Q2793" s="102"/>
    </row>
    <row r="2794">
      <c r="A2794" s="172"/>
      <c r="B2794" s="171" t="s">
        <v>34</v>
      </c>
      <c r="C2794" s="171" t="s">
        <v>74</v>
      </c>
      <c r="D2794" s="279" t="s">
        <v>1041</v>
      </c>
      <c r="E2794" s="240">
        <v>43405.0</v>
      </c>
      <c r="F2794" s="21" t="str">
        <f t="shared" si="223"/>
        <v>Nov-2018</v>
      </c>
      <c r="G2794" s="300" t="s">
        <v>20</v>
      </c>
      <c r="H2794" s="25" t="s">
        <v>278</v>
      </c>
      <c r="I2794" s="25" t="s">
        <v>291</v>
      </c>
      <c r="J2794" s="25" t="s">
        <v>44</v>
      </c>
      <c r="K2794" s="25" t="s">
        <v>64</v>
      </c>
      <c r="L2794" s="25" t="s">
        <v>30</v>
      </c>
      <c r="M2794" s="25" t="s">
        <v>30</v>
      </c>
      <c r="N2794" s="25" t="s">
        <v>99</v>
      </c>
      <c r="Q2794" s="99"/>
    </row>
    <row r="2795">
      <c r="A2795" s="172"/>
      <c r="B2795" s="171" t="s">
        <v>34</v>
      </c>
      <c r="C2795" s="171" t="s">
        <v>74</v>
      </c>
      <c r="D2795" s="279" t="s">
        <v>1041</v>
      </c>
      <c r="E2795" s="240">
        <v>43405.0</v>
      </c>
      <c r="F2795" s="21" t="str">
        <f t="shared" si="223"/>
        <v>Nov-2018</v>
      </c>
      <c r="G2795" s="300" t="s">
        <v>25</v>
      </c>
      <c r="H2795" s="25" t="s">
        <v>278</v>
      </c>
      <c r="I2795" s="25" t="s">
        <v>291</v>
      </c>
      <c r="J2795" s="25" t="s">
        <v>44</v>
      </c>
      <c r="K2795" s="25" t="s">
        <v>64</v>
      </c>
      <c r="L2795" s="25" t="s">
        <v>30</v>
      </c>
      <c r="M2795" s="25"/>
      <c r="N2795" s="25" t="s">
        <v>98</v>
      </c>
      <c r="Q2795" s="99"/>
    </row>
    <row r="2796">
      <c r="A2796" s="172"/>
      <c r="B2796" s="171" t="s">
        <v>34</v>
      </c>
      <c r="C2796" s="171" t="s">
        <v>74</v>
      </c>
      <c r="D2796" s="279" t="s">
        <v>1041</v>
      </c>
      <c r="E2796" s="240">
        <v>43405.0</v>
      </c>
      <c r="F2796" s="21" t="str">
        <f t="shared" si="223"/>
        <v>Nov-2018</v>
      </c>
      <c r="G2796" s="299" t="s">
        <v>20</v>
      </c>
      <c r="H2796" s="16" t="s">
        <v>278</v>
      </c>
      <c r="I2796" s="16" t="s">
        <v>842</v>
      </c>
      <c r="J2796" s="16" t="s">
        <v>71</v>
      </c>
      <c r="K2796" s="16" t="s">
        <v>64</v>
      </c>
      <c r="L2796" s="16" t="s">
        <v>30</v>
      </c>
      <c r="M2796" s="16" t="s">
        <v>30</v>
      </c>
      <c r="N2796" s="16" t="s">
        <v>99</v>
      </c>
      <c r="O2796" s="101"/>
      <c r="P2796" s="101"/>
      <c r="Q2796" s="102"/>
    </row>
    <row r="2797">
      <c r="A2797" s="172"/>
      <c r="B2797" s="171" t="s">
        <v>34</v>
      </c>
      <c r="C2797" s="171" t="s">
        <v>74</v>
      </c>
      <c r="D2797" s="279" t="s">
        <v>1041</v>
      </c>
      <c r="E2797" s="240">
        <v>43405.0</v>
      </c>
      <c r="F2797" s="21" t="str">
        <f t="shared" si="223"/>
        <v>Nov-2018</v>
      </c>
      <c r="G2797" s="299" t="s">
        <v>25</v>
      </c>
      <c r="H2797" s="16" t="s">
        <v>278</v>
      </c>
      <c r="I2797" s="16" t="s">
        <v>842</v>
      </c>
      <c r="J2797" s="16" t="s">
        <v>71</v>
      </c>
      <c r="K2797" s="16" t="s">
        <v>64</v>
      </c>
      <c r="L2797" s="16" t="s">
        <v>24</v>
      </c>
      <c r="M2797" s="16"/>
      <c r="N2797" s="16" t="s">
        <v>37</v>
      </c>
      <c r="O2797" s="101"/>
      <c r="P2797" s="101"/>
      <c r="Q2797" s="102"/>
    </row>
    <row r="2798">
      <c r="A2798" s="172"/>
      <c r="B2798" s="171" t="s">
        <v>34</v>
      </c>
      <c r="C2798" s="171" t="s">
        <v>74</v>
      </c>
      <c r="D2798" s="279" t="s">
        <v>1041</v>
      </c>
      <c r="E2798" s="240">
        <v>43405.0</v>
      </c>
      <c r="F2798" s="21" t="str">
        <f t="shared" si="223"/>
        <v>Nov-2018</v>
      </c>
      <c r="G2798" s="299" t="s">
        <v>32</v>
      </c>
      <c r="H2798" s="16" t="s">
        <v>278</v>
      </c>
      <c r="I2798" s="16" t="s">
        <v>842</v>
      </c>
      <c r="J2798" s="16" t="s">
        <v>71</v>
      </c>
      <c r="K2798" s="16" t="s">
        <v>64</v>
      </c>
      <c r="L2798" s="16" t="s">
        <v>30</v>
      </c>
      <c r="M2798" s="16"/>
      <c r="N2798" s="16" t="s">
        <v>98</v>
      </c>
      <c r="O2798" s="101"/>
      <c r="P2798" s="101"/>
      <c r="Q2798" s="102"/>
    </row>
    <row r="2799">
      <c r="A2799" s="172"/>
      <c r="B2799" s="171" t="s">
        <v>34</v>
      </c>
      <c r="C2799" s="171" t="s">
        <v>74</v>
      </c>
      <c r="D2799" s="279" t="s">
        <v>1041</v>
      </c>
      <c r="E2799" s="240">
        <v>43405.0</v>
      </c>
      <c r="F2799" s="21" t="str">
        <f t="shared" si="223"/>
        <v>Nov-2018</v>
      </c>
      <c r="G2799" s="300" t="s">
        <v>20</v>
      </c>
      <c r="H2799" s="25" t="s">
        <v>278</v>
      </c>
      <c r="I2799" s="25" t="s">
        <v>493</v>
      </c>
      <c r="J2799" s="25" t="s">
        <v>44</v>
      </c>
      <c r="K2799" s="25" t="s">
        <v>64</v>
      </c>
      <c r="L2799" s="25" t="s">
        <v>24</v>
      </c>
      <c r="M2799" s="25" t="s">
        <v>24</v>
      </c>
      <c r="N2799" s="25" t="s">
        <v>99</v>
      </c>
      <c r="Q2799" s="99"/>
    </row>
    <row r="2800">
      <c r="A2800" s="172"/>
      <c r="B2800" s="171" t="s">
        <v>34</v>
      </c>
      <c r="C2800" s="171" t="s">
        <v>74</v>
      </c>
      <c r="D2800" s="279" t="s">
        <v>1041</v>
      </c>
      <c r="E2800" s="240">
        <v>43405.0</v>
      </c>
      <c r="F2800" s="21" t="str">
        <f t="shared" si="223"/>
        <v>Nov-2018</v>
      </c>
      <c r="G2800" s="300" t="s">
        <v>25</v>
      </c>
      <c r="H2800" s="25" t="s">
        <v>278</v>
      </c>
      <c r="I2800" s="25" t="s">
        <v>493</v>
      </c>
      <c r="J2800" s="25" t="s">
        <v>44</v>
      </c>
      <c r="K2800" s="25" t="s">
        <v>64</v>
      </c>
      <c r="L2800" s="25" t="s">
        <v>24</v>
      </c>
      <c r="M2800" s="25"/>
      <c r="N2800" s="25" t="s">
        <v>98</v>
      </c>
      <c r="Q2800" s="99"/>
    </row>
    <row r="2801">
      <c r="A2801" s="172"/>
      <c r="B2801" s="171" t="s">
        <v>34</v>
      </c>
      <c r="C2801" s="171" t="s">
        <v>74</v>
      </c>
      <c r="D2801" s="279" t="s">
        <v>1041</v>
      </c>
      <c r="E2801" s="240">
        <v>43405.0</v>
      </c>
      <c r="F2801" s="21" t="str">
        <f t="shared" si="223"/>
        <v>Nov-2018</v>
      </c>
      <c r="G2801" s="299" t="s">
        <v>20</v>
      </c>
      <c r="H2801" s="16" t="s">
        <v>278</v>
      </c>
      <c r="I2801" s="16" t="s">
        <v>989</v>
      </c>
      <c r="J2801" s="16" t="s">
        <v>27</v>
      </c>
      <c r="K2801" s="16" t="s">
        <v>64</v>
      </c>
      <c r="L2801" s="16" t="s">
        <v>24</v>
      </c>
      <c r="M2801" s="16" t="s">
        <v>24</v>
      </c>
      <c r="N2801" s="16" t="s">
        <v>98</v>
      </c>
      <c r="O2801" s="101"/>
      <c r="P2801" s="101"/>
      <c r="Q2801" s="102"/>
    </row>
    <row r="2802">
      <c r="A2802" s="172"/>
      <c r="B2802" s="171" t="s">
        <v>34</v>
      </c>
      <c r="C2802" s="171" t="s">
        <v>74</v>
      </c>
      <c r="D2802" s="279" t="s">
        <v>1041</v>
      </c>
      <c r="E2802" s="240">
        <v>43405.0</v>
      </c>
      <c r="F2802" s="21" t="str">
        <f t="shared" si="223"/>
        <v>Nov-2018</v>
      </c>
      <c r="G2802" s="304" t="s">
        <v>25</v>
      </c>
      <c r="H2802" s="38" t="s">
        <v>278</v>
      </c>
      <c r="I2802" s="38" t="s">
        <v>989</v>
      </c>
      <c r="J2802" s="38" t="s">
        <v>27</v>
      </c>
      <c r="K2802" s="38" t="s">
        <v>64</v>
      </c>
      <c r="L2802" s="38" t="s">
        <v>24</v>
      </c>
      <c r="M2802" s="38"/>
      <c r="N2802" s="38" t="s">
        <v>98</v>
      </c>
      <c r="O2802" s="105"/>
      <c r="P2802" s="105"/>
      <c r="Q2802" s="106"/>
    </row>
    <row r="2803">
      <c r="A2803" s="94"/>
      <c r="G2803" s="32"/>
    </row>
    <row r="2804">
      <c r="A2804" s="279" t="s">
        <v>1045</v>
      </c>
      <c r="B2804" s="171" t="s">
        <v>34</v>
      </c>
      <c r="C2804" s="171" t="s">
        <v>84</v>
      </c>
      <c r="D2804" s="279" t="s">
        <v>1045</v>
      </c>
      <c r="E2804" s="240">
        <v>43407.0</v>
      </c>
      <c r="F2804" s="21" t="str">
        <f t="shared" ref="F2804:F2814" si="224">TEXT(E2796:E2804, "mmm") &amp; "-" &amp; TEXT(E2796:E2804, "yyyy") </f>
        <v>Nov-2018</v>
      </c>
      <c r="G2804" s="298" t="s">
        <v>20</v>
      </c>
      <c r="H2804" s="47" t="s">
        <v>35</v>
      </c>
      <c r="I2804" s="47" t="s">
        <v>1046</v>
      </c>
      <c r="J2804" s="47" t="s">
        <v>86</v>
      </c>
      <c r="K2804" s="47" t="s">
        <v>9</v>
      </c>
      <c r="L2804" s="47" t="s">
        <v>30</v>
      </c>
      <c r="M2804" s="47" t="s">
        <v>30</v>
      </c>
      <c r="N2804" s="47" t="s">
        <v>29</v>
      </c>
      <c r="O2804" s="152"/>
      <c r="P2804" s="152"/>
      <c r="Q2804" s="153"/>
    </row>
    <row r="2805">
      <c r="A2805" s="171" t="s">
        <v>34</v>
      </c>
      <c r="B2805" s="171" t="s">
        <v>34</v>
      </c>
      <c r="C2805" s="171" t="s">
        <v>84</v>
      </c>
      <c r="D2805" s="279" t="s">
        <v>1045</v>
      </c>
      <c r="E2805" s="240">
        <v>43407.0</v>
      </c>
      <c r="F2805" s="21" t="str">
        <f t="shared" si="224"/>
        <v>Nov-2018</v>
      </c>
      <c r="G2805" s="299" t="s">
        <v>25</v>
      </c>
      <c r="H2805" s="16" t="s">
        <v>35</v>
      </c>
      <c r="I2805" s="16" t="s">
        <v>1046</v>
      </c>
      <c r="J2805" s="16" t="s">
        <v>86</v>
      </c>
      <c r="K2805" s="16" t="s">
        <v>9</v>
      </c>
      <c r="L2805" s="16" t="s">
        <v>30</v>
      </c>
      <c r="M2805" s="16"/>
      <c r="N2805" s="16" t="s">
        <v>69</v>
      </c>
      <c r="O2805" s="101"/>
      <c r="P2805" s="101"/>
      <c r="Q2805" s="102"/>
    </row>
    <row r="2806">
      <c r="A2806" s="171" t="s">
        <v>1015</v>
      </c>
      <c r="B2806" s="171" t="s">
        <v>34</v>
      </c>
      <c r="C2806" s="171" t="s">
        <v>84</v>
      </c>
      <c r="D2806" s="279" t="s">
        <v>1045</v>
      </c>
      <c r="E2806" s="240">
        <v>43407.0</v>
      </c>
      <c r="F2806" s="21" t="str">
        <f t="shared" si="224"/>
        <v>Nov-2018</v>
      </c>
      <c r="G2806" s="300" t="s">
        <v>20</v>
      </c>
      <c r="H2806" s="25" t="s">
        <v>35</v>
      </c>
      <c r="I2806" s="25" t="s">
        <v>1047</v>
      </c>
      <c r="J2806" s="25" t="s">
        <v>71</v>
      </c>
      <c r="K2806" s="25" t="s">
        <v>9</v>
      </c>
      <c r="L2806" s="25" t="s">
        <v>30</v>
      </c>
      <c r="M2806" s="25" t="s">
        <v>30</v>
      </c>
      <c r="N2806" s="25" t="s">
        <v>98</v>
      </c>
      <c r="Q2806" s="99"/>
    </row>
    <row r="2807">
      <c r="A2807" s="240">
        <v>43407.0</v>
      </c>
      <c r="B2807" s="171" t="s">
        <v>34</v>
      </c>
      <c r="C2807" s="171" t="s">
        <v>84</v>
      </c>
      <c r="D2807" s="279" t="s">
        <v>1045</v>
      </c>
      <c r="E2807" s="240">
        <v>43407.0</v>
      </c>
      <c r="F2807" s="21" t="str">
        <f t="shared" si="224"/>
        <v>Nov-2018</v>
      </c>
      <c r="G2807" s="300" t="s">
        <v>25</v>
      </c>
      <c r="H2807" s="25" t="s">
        <v>35</v>
      </c>
      <c r="I2807" s="25" t="s">
        <v>1047</v>
      </c>
      <c r="J2807" s="25" t="s">
        <v>182</v>
      </c>
      <c r="K2807" s="25" t="s">
        <v>9</v>
      </c>
      <c r="L2807" s="25" t="s">
        <v>30</v>
      </c>
      <c r="M2807" s="25"/>
      <c r="N2807" s="25" t="s">
        <v>98</v>
      </c>
      <c r="Q2807" s="99"/>
    </row>
    <row r="2808">
      <c r="A2808" s="171" t="s">
        <v>84</v>
      </c>
      <c r="B2808" s="171" t="s">
        <v>34</v>
      </c>
      <c r="C2808" s="171" t="s">
        <v>84</v>
      </c>
      <c r="D2808" s="279" t="s">
        <v>1045</v>
      </c>
      <c r="E2808" s="240">
        <v>43407.0</v>
      </c>
      <c r="F2808" s="21" t="str">
        <f t="shared" si="224"/>
        <v>Nov-2018</v>
      </c>
      <c r="G2808" s="299" t="s">
        <v>20</v>
      </c>
      <c r="H2808" s="16" t="s">
        <v>35</v>
      </c>
      <c r="I2808" s="16" t="s">
        <v>1048</v>
      </c>
      <c r="J2808" s="16" t="s">
        <v>97</v>
      </c>
      <c r="K2808" s="16" t="s">
        <v>9</v>
      </c>
      <c r="L2808" s="16" t="s">
        <v>30</v>
      </c>
      <c r="M2808" s="16" t="s">
        <v>30</v>
      </c>
      <c r="N2808" s="16" t="s">
        <v>69</v>
      </c>
      <c r="O2808" s="101"/>
      <c r="P2808" s="101"/>
      <c r="Q2808" s="138" t="s">
        <v>618</v>
      </c>
    </row>
    <row r="2809">
      <c r="A2809" s="301" t="s">
        <v>1049</v>
      </c>
      <c r="B2809" s="171" t="s">
        <v>34</v>
      </c>
      <c r="C2809" s="171" t="s">
        <v>84</v>
      </c>
      <c r="D2809" s="279" t="s">
        <v>1045</v>
      </c>
      <c r="E2809" s="240">
        <v>43407.0</v>
      </c>
      <c r="F2809" s="21" t="str">
        <f t="shared" si="224"/>
        <v>Nov-2018</v>
      </c>
      <c r="G2809" s="299" t="s">
        <v>25</v>
      </c>
      <c r="H2809" s="16" t="s">
        <v>35</v>
      </c>
      <c r="I2809" s="16" t="s">
        <v>1048</v>
      </c>
      <c r="J2809" s="16" t="s">
        <v>97</v>
      </c>
      <c r="K2809" s="16" t="s">
        <v>9</v>
      </c>
      <c r="L2809" s="16" t="s">
        <v>30</v>
      </c>
      <c r="M2809" s="16"/>
      <c r="N2809" s="16" t="s">
        <v>106</v>
      </c>
      <c r="O2809" s="101"/>
      <c r="P2809" s="101"/>
      <c r="Q2809" s="138" t="s">
        <v>618</v>
      </c>
    </row>
    <row r="2810">
      <c r="A2810" s="172"/>
      <c r="B2810" s="171" t="s">
        <v>34</v>
      </c>
      <c r="C2810" s="171" t="s">
        <v>84</v>
      </c>
      <c r="D2810" s="279" t="s">
        <v>1045</v>
      </c>
      <c r="E2810" s="240">
        <v>43407.0</v>
      </c>
      <c r="F2810" s="21" t="str">
        <f t="shared" si="224"/>
        <v>Nov-2018</v>
      </c>
      <c r="G2810" s="300" t="s">
        <v>20</v>
      </c>
      <c r="H2810" s="25" t="s">
        <v>35</v>
      </c>
      <c r="I2810" s="25" t="s">
        <v>936</v>
      </c>
      <c r="J2810" s="25" t="s">
        <v>86</v>
      </c>
      <c r="K2810" s="25" t="s">
        <v>9</v>
      </c>
      <c r="L2810" s="25" t="s">
        <v>30</v>
      </c>
      <c r="M2810" s="25" t="s">
        <v>24</v>
      </c>
      <c r="N2810" s="25" t="s">
        <v>69</v>
      </c>
      <c r="Q2810" s="99"/>
    </row>
    <row r="2811">
      <c r="A2811" s="172"/>
      <c r="B2811" s="171" t="s">
        <v>34</v>
      </c>
      <c r="C2811" s="171" t="s">
        <v>84</v>
      </c>
      <c r="D2811" s="279" t="s">
        <v>1045</v>
      </c>
      <c r="E2811" s="240">
        <v>43407.0</v>
      </c>
      <c r="F2811" s="21" t="str">
        <f t="shared" si="224"/>
        <v>Nov-2018</v>
      </c>
      <c r="G2811" s="300" t="s">
        <v>25</v>
      </c>
      <c r="H2811" s="25" t="s">
        <v>35</v>
      </c>
      <c r="I2811" s="25" t="s">
        <v>936</v>
      </c>
      <c r="J2811" s="25" t="s">
        <v>86</v>
      </c>
      <c r="K2811" s="25" t="s">
        <v>9</v>
      </c>
      <c r="L2811" s="25" t="s">
        <v>24</v>
      </c>
      <c r="M2811" s="25"/>
      <c r="N2811" s="25" t="s">
        <v>98</v>
      </c>
      <c r="Q2811" s="99"/>
    </row>
    <row r="2812">
      <c r="A2812" s="172"/>
      <c r="B2812" s="171" t="s">
        <v>34</v>
      </c>
      <c r="C2812" s="171" t="s">
        <v>84</v>
      </c>
      <c r="D2812" s="279" t="s">
        <v>1045</v>
      </c>
      <c r="E2812" s="240">
        <v>43407.0</v>
      </c>
      <c r="F2812" s="21" t="str">
        <f t="shared" si="224"/>
        <v>Nov-2018</v>
      </c>
      <c r="G2812" s="300" t="s">
        <v>32</v>
      </c>
      <c r="H2812" s="25" t="s">
        <v>35</v>
      </c>
      <c r="I2812" s="25" t="s">
        <v>936</v>
      </c>
      <c r="J2812" s="25" t="s">
        <v>86</v>
      </c>
      <c r="K2812" s="25" t="s">
        <v>9</v>
      </c>
      <c r="L2812" s="25" t="s">
        <v>24</v>
      </c>
      <c r="M2812" s="25"/>
      <c r="N2812" s="25" t="s">
        <v>29</v>
      </c>
      <c r="Q2812" s="99"/>
    </row>
    <row r="2813">
      <c r="A2813" s="172"/>
      <c r="B2813" s="171" t="s">
        <v>34</v>
      </c>
      <c r="C2813" s="171" t="s">
        <v>84</v>
      </c>
      <c r="D2813" s="279" t="s">
        <v>1045</v>
      </c>
      <c r="E2813" s="240">
        <v>43407.0</v>
      </c>
      <c r="F2813" s="21" t="str">
        <f t="shared" si="224"/>
        <v>Nov-2018</v>
      </c>
      <c r="G2813" s="299" t="s">
        <v>20</v>
      </c>
      <c r="H2813" s="16" t="s">
        <v>35</v>
      </c>
      <c r="I2813" s="16" t="s">
        <v>452</v>
      </c>
      <c r="J2813" s="16" t="s">
        <v>27</v>
      </c>
      <c r="K2813" s="16" t="s">
        <v>9</v>
      </c>
      <c r="L2813" s="16" t="s">
        <v>24</v>
      </c>
      <c r="M2813" s="16" t="s">
        <v>24</v>
      </c>
      <c r="N2813" s="16" t="s">
        <v>98</v>
      </c>
      <c r="O2813" s="101"/>
      <c r="P2813" s="101"/>
      <c r="Q2813" s="102"/>
    </row>
    <row r="2814">
      <c r="A2814" s="172"/>
      <c r="B2814" s="171" t="s">
        <v>34</v>
      </c>
      <c r="C2814" s="171" t="s">
        <v>84</v>
      </c>
      <c r="D2814" s="279" t="s">
        <v>1045</v>
      </c>
      <c r="E2814" s="240">
        <v>43407.0</v>
      </c>
      <c r="F2814" s="21" t="str">
        <f t="shared" si="224"/>
        <v>Nov-2018</v>
      </c>
      <c r="G2814" s="304" t="s">
        <v>25</v>
      </c>
      <c r="H2814" s="38" t="s">
        <v>35</v>
      </c>
      <c r="I2814" s="38" t="s">
        <v>452</v>
      </c>
      <c r="J2814" s="38" t="s">
        <v>27</v>
      </c>
      <c r="K2814" s="38" t="s">
        <v>9</v>
      </c>
      <c r="L2814" s="38" t="s">
        <v>24</v>
      </c>
      <c r="M2814" s="38"/>
      <c r="N2814" s="38" t="s">
        <v>106</v>
      </c>
      <c r="O2814" s="105"/>
      <c r="P2814" s="105"/>
      <c r="Q2814" s="106"/>
    </row>
    <row r="2815">
      <c r="A2815" s="94"/>
      <c r="G2815" s="32"/>
    </row>
    <row r="2816">
      <c r="A2816" s="279" t="s">
        <v>1050</v>
      </c>
      <c r="B2816" s="171" t="s">
        <v>18</v>
      </c>
      <c r="C2816" s="171" t="s">
        <v>74</v>
      </c>
      <c r="D2816" s="279" t="s">
        <v>1050</v>
      </c>
      <c r="E2816" s="306">
        <v>43409.0</v>
      </c>
      <c r="F2816" s="21" t="str">
        <f t="shared" ref="F2816:F2835" si="225">TEXT(E2808:E2816, "mmm") &amp; "-" &amp; TEXT(E2808:E2816, "yyyy") </f>
        <v>Nov-2018</v>
      </c>
      <c r="G2816" s="305" t="s">
        <v>20</v>
      </c>
      <c r="H2816" s="73" t="s">
        <v>35</v>
      </c>
      <c r="I2816" s="73" t="s">
        <v>302</v>
      </c>
      <c r="J2816" s="73" t="s">
        <v>27</v>
      </c>
      <c r="K2816" s="73" t="s">
        <v>9</v>
      </c>
      <c r="L2816" s="73" t="s">
        <v>30</v>
      </c>
      <c r="M2816" s="73" t="s">
        <v>30</v>
      </c>
      <c r="N2816" s="73" t="s">
        <v>98</v>
      </c>
      <c r="O2816" s="165"/>
      <c r="P2816" s="165"/>
      <c r="Q2816" s="166"/>
    </row>
    <row r="2817">
      <c r="A2817" s="171" t="s">
        <v>18</v>
      </c>
      <c r="B2817" s="171" t="s">
        <v>18</v>
      </c>
      <c r="C2817" s="171" t="s">
        <v>74</v>
      </c>
      <c r="D2817" s="279" t="s">
        <v>1050</v>
      </c>
      <c r="E2817" s="306">
        <v>43409.0</v>
      </c>
      <c r="F2817" s="21" t="str">
        <f t="shared" si="225"/>
        <v>Nov-2018</v>
      </c>
      <c r="G2817" s="300" t="s">
        <v>25</v>
      </c>
      <c r="H2817" s="25" t="s">
        <v>35</v>
      </c>
      <c r="I2817" s="25" t="s">
        <v>302</v>
      </c>
      <c r="J2817" s="25" t="s">
        <v>27</v>
      </c>
      <c r="K2817" s="25" t="s">
        <v>9</v>
      </c>
      <c r="L2817" s="25" t="s">
        <v>30</v>
      </c>
      <c r="M2817" s="25"/>
      <c r="N2817" s="25" t="s">
        <v>29</v>
      </c>
      <c r="Q2817" s="99"/>
    </row>
    <row r="2818">
      <c r="A2818" s="171" t="s">
        <v>638</v>
      </c>
      <c r="B2818" s="171" t="s">
        <v>18</v>
      </c>
      <c r="C2818" s="171" t="s">
        <v>74</v>
      </c>
      <c r="D2818" s="279" t="s">
        <v>1050</v>
      </c>
      <c r="E2818" s="306">
        <v>43409.0</v>
      </c>
      <c r="F2818" s="21" t="str">
        <f t="shared" si="225"/>
        <v>Nov-2018</v>
      </c>
      <c r="G2818" s="299" t="s">
        <v>146</v>
      </c>
      <c r="H2818" s="16" t="s">
        <v>35</v>
      </c>
      <c r="I2818" s="16" t="s">
        <v>394</v>
      </c>
      <c r="J2818" s="16" t="s">
        <v>139</v>
      </c>
      <c r="K2818" s="16" t="s">
        <v>9</v>
      </c>
      <c r="L2818" s="16" t="s">
        <v>30</v>
      </c>
      <c r="M2818" s="16" t="s">
        <v>30</v>
      </c>
      <c r="N2818" s="16" t="s">
        <v>37</v>
      </c>
      <c r="O2818" s="101"/>
      <c r="P2818" s="101"/>
      <c r="Q2818" s="102"/>
    </row>
    <row r="2819">
      <c r="A2819" s="306">
        <v>43409.0</v>
      </c>
      <c r="B2819" s="171" t="s">
        <v>18</v>
      </c>
      <c r="C2819" s="171" t="s">
        <v>74</v>
      </c>
      <c r="D2819" s="279" t="s">
        <v>1050</v>
      </c>
      <c r="E2819" s="306">
        <v>43409.0</v>
      </c>
      <c r="F2819" s="21" t="str">
        <f t="shared" si="225"/>
        <v>Nov-2018</v>
      </c>
      <c r="G2819" s="299" t="s">
        <v>149</v>
      </c>
      <c r="H2819" s="16" t="s">
        <v>35</v>
      </c>
      <c r="I2819" s="16" t="s">
        <v>394</v>
      </c>
      <c r="J2819" s="16" t="s">
        <v>139</v>
      </c>
      <c r="K2819" s="16" t="s">
        <v>64</v>
      </c>
      <c r="L2819" s="16" t="s">
        <v>30</v>
      </c>
      <c r="M2819" s="16"/>
      <c r="N2819" s="16" t="s">
        <v>29</v>
      </c>
      <c r="O2819" s="101"/>
      <c r="P2819" s="101"/>
      <c r="Q2819" s="102"/>
    </row>
    <row r="2820">
      <c r="A2820" s="171" t="s">
        <v>74</v>
      </c>
      <c r="B2820" s="171" t="s">
        <v>18</v>
      </c>
      <c r="C2820" s="171" t="s">
        <v>74</v>
      </c>
      <c r="D2820" s="279" t="s">
        <v>1050</v>
      </c>
      <c r="E2820" s="306">
        <v>43409.0</v>
      </c>
      <c r="F2820" s="21" t="str">
        <f t="shared" si="225"/>
        <v>Nov-2018</v>
      </c>
      <c r="G2820" s="299" t="s">
        <v>222</v>
      </c>
      <c r="H2820" s="16" t="s">
        <v>35</v>
      </c>
      <c r="I2820" s="16" t="s">
        <v>394</v>
      </c>
      <c r="J2820" s="16" t="s">
        <v>40</v>
      </c>
      <c r="K2820" s="16" t="s">
        <v>9</v>
      </c>
      <c r="L2820" s="16" t="s">
        <v>30</v>
      </c>
      <c r="M2820" s="16"/>
      <c r="N2820" s="16" t="s">
        <v>69</v>
      </c>
      <c r="O2820" s="101"/>
      <c r="P2820" s="101"/>
      <c r="Q2820" s="102"/>
    </row>
    <row r="2821">
      <c r="A2821" s="301" t="s">
        <v>1051</v>
      </c>
      <c r="B2821" s="171" t="s">
        <v>18</v>
      </c>
      <c r="C2821" s="171" t="s">
        <v>74</v>
      </c>
      <c r="D2821" s="279" t="s">
        <v>1050</v>
      </c>
      <c r="E2821" s="306">
        <v>43409.0</v>
      </c>
      <c r="F2821" s="21" t="str">
        <f t="shared" si="225"/>
        <v>Nov-2018</v>
      </c>
      <c r="G2821" s="300" t="s">
        <v>146</v>
      </c>
      <c r="H2821" s="25" t="s">
        <v>35</v>
      </c>
      <c r="I2821" s="25" t="s">
        <v>93</v>
      </c>
      <c r="J2821" s="25" t="s">
        <v>23</v>
      </c>
      <c r="K2821" s="25" t="s">
        <v>9</v>
      </c>
      <c r="L2821" s="25" t="s">
        <v>24</v>
      </c>
      <c r="M2821" s="25" t="s">
        <v>24</v>
      </c>
      <c r="N2821" s="25" t="s">
        <v>69</v>
      </c>
      <c r="Q2821" s="99"/>
    </row>
    <row r="2822">
      <c r="A2822" s="172"/>
      <c r="B2822" s="171" t="s">
        <v>18</v>
      </c>
      <c r="C2822" s="171" t="s">
        <v>74</v>
      </c>
      <c r="D2822" s="279" t="s">
        <v>1050</v>
      </c>
      <c r="E2822" s="306">
        <v>43409.0</v>
      </c>
      <c r="F2822" s="21" t="str">
        <f t="shared" si="225"/>
        <v>Nov-2018</v>
      </c>
      <c r="G2822" s="300" t="s">
        <v>149</v>
      </c>
      <c r="H2822" s="25" t="s">
        <v>35</v>
      </c>
      <c r="I2822" s="25" t="s">
        <v>93</v>
      </c>
      <c r="J2822" s="25" t="s">
        <v>23</v>
      </c>
      <c r="K2822" s="25" t="s">
        <v>9</v>
      </c>
      <c r="L2822" s="25" t="s">
        <v>24</v>
      </c>
      <c r="M2822" s="25"/>
      <c r="N2822" s="25" t="s">
        <v>106</v>
      </c>
      <c r="Q2822" s="99"/>
    </row>
    <row r="2823">
      <c r="A2823" s="172"/>
      <c r="B2823" s="171" t="s">
        <v>18</v>
      </c>
      <c r="C2823" s="171" t="s">
        <v>74</v>
      </c>
      <c r="D2823" s="279" t="s">
        <v>1050</v>
      </c>
      <c r="E2823" s="306">
        <v>43409.0</v>
      </c>
      <c r="F2823" s="21" t="str">
        <f t="shared" si="225"/>
        <v>Nov-2018</v>
      </c>
      <c r="G2823" s="300" t="s">
        <v>222</v>
      </c>
      <c r="H2823" s="25" t="s">
        <v>35</v>
      </c>
      <c r="I2823" s="25" t="s">
        <v>93</v>
      </c>
      <c r="J2823" s="25" t="s">
        <v>23</v>
      </c>
      <c r="K2823" s="25" t="s">
        <v>9</v>
      </c>
      <c r="L2823" s="25" t="s">
        <v>30</v>
      </c>
      <c r="M2823" s="25"/>
      <c r="N2823" s="25" t="s">
        <v>29</v>
      </c>
      <c r="Q2823" s="99"/>
    </row>
    <row r="2824">
      <c r="A2824" s="171" t="s">
        <v>1052</v>
      </c>
      <c r="B2824" s="171" t="s">
        <v>18</v>
      </c>
      <c r="C2824" s="171" t="s">
        <v>74</v>
      </c>
      <c r="D2824" s="279" t="s">
        <v>1050</v>
      </c>
      <c r="E2824" s="306">
        <v>43409.0</v>
      </c>
      <c r="F2824" s="21" t="str">
        <f t="shared" si="225"/>
        <v>Nov-2018</v>
      </c>
      <c r="G2824" s="300" t="s">
        <v>467</v>
      </c>
      <c r="H2824" s="25" t="s">
        <v>35</v>
      </c>
      <c r="I2824" s="25" t="s">
        <v>93</v>
      </c>
      <c r="J2824" s="25" t="s">
        <v>23</v>
      </c>
      <c r="K2824" s="25" t="s">
        <v>9</v>
      </c>
      <c r="L2824" s="25" t="s">
        <v>30</v>
      </c>
      <c r="M2824" s="25"/>
      <c r="N2824" s="25" t="s">
        <v>98</v>
      </c>
      <c r="Q2824" s="99"/>
    </row>
    <row r="2825">
      <c r="A2825" s="172"/>
      <c r="B2825" s="171" t="s">
        <v>18</v>
      </c>
      <c r="C2825" s="171" t="s">
        <v>74</v>
      </c>
      <c r="D2825" s="279" t="s">
        <v>1050</v>
      </c>
      <c r="E2825" s="306">
        <v>43409.0</v>
      </c>
      <c r="F2825" s="21" t="str">
        <f t="shared" si="225"/>
        <v>Nov-2018</v>
      </c>
      <c r="G2825" s="307" t="s">
        <v>480</v>
      </c>
      <c r="H2825" s="25" t="s">
        <v>35</v>
      </c>
      <c r="I2825" s="25" t="s">
        <v>93</v>
      </c>
      <c r="J2825" s="25" t="s">
        <v>23</v>
      </c>
      <c r="K2825" s="25" t="s">
        <v>9</v>
      </c>
      <c r="L2825" s="25" t="s">
        <v>24</v>
      </c>
      <c r="M2825" s="25"/>
      <c r="N2825" s="25" t="s">
        <v>99</v>
      </c>
      <c r="Q2825" s="99"/>
    </row>
    <row r="2826">
      <c r="A2826" s="172"/>
      <c r="B2826" s="171" t="s">
        <v>18</v>
      </c>
      <c r="C2826" s="171" t="s">
        <v>74</v>
      </c>
      <c r="D2826" s="279" t="s">
        <v>1050</v>
      </c>
      <c r="E2826" s="306">
        <v>43409.0</v>
      </c>
      <c r="F2826" s="21" t="str">
        <f t="shared" si="225"/>
        <v>Nov-2018</v>
      </c>
      <c r="G2826" s="299" t="s">
        <v>146</v>
      </c>
      <c r="H2826" s="16" t="s">
        <v>35</v>
      </c>
      <c r="I2826" s="16" t="s">
        <v>394</v>
      </c>
      <c r="J2826" s="16" t="s">
        <v>139</v>
      </c>
      <c r="K2826" s="16" t="s">
        <v>9</v>
      </c>
      <c r="L2826" s="16" t="s">
        <v>30</v>
      </c>
      <c r="M2826" s="16" t="s">
        <v>30</v>
      </c>
      <c r="N2826" s="16" t="s">
        <v>98</v>
      </c>
      <c r="O2826" s="101"/>
      <c r="P2826" s="101"/>
      <c r="Q2826" s="102"/>
    </row>
    <row r="2827">
      <c r="A2827" s="172"/>
      <c r="B2827" s="171" t="s">
        <v>18</v>
      </c>
      <c r="C2827" s="171" t="s">
        <v>74</v>
      </c>
      <c r="D2827" s="279" t="s">
        <v>1050</v>
      </c>
      <c r="E2827" s="306">
        <v>43409.0</v>
      </c>
      <c r="F2827" s="21" t="str">
        <f t="shared" si="225"/>
        <v>Nov-2018</v>
      </c>
      <c r="G2827" s="299" t="s">
        <v>149</v>
      </c>
      <c r="H2827" s="16" t="s">
        <v>35</v>
      </c>
      <c r="I2827" s="16" t="s">
        <v>394</v>
      </c>
      <c r="J2827" s="16" t="s">
        <v>139</v>
      </c>
      <c r="K2827" s="16" t="s">
        <v>9</v>
      </c>
      <c r="L2827" s="16" t="s">
        <v>30</v>
      </c>
      <c r="M2827" s="16"/>
      <c r="N2827" s="16" t="s">
        <v>29</v>
      </c>
      <c r="O2827" s="101"/>
      <c r="P2827" s="101"/>
      <c r="Q2827" s="102"/>
    </row>
    <row r="2828">
      <c r="A2828" s="172"/>
      <c r="B2828" s="171" t="s">
        <v>18</v>
      </c>
      <c r="C2828" s="171" t="s">
        <v>74</v>
      </c>
      <c r="D2828" s="279" t="s">
        <v>1050</v>
      </c>
      <c r="E2828" s="306">
        <v>43409.0</v>
      </c>
      <c r="F2828" s="21" t="str">
        <f t="shared" si="225"/>
        <v>Nov-2018</v>
      </c>
      <c r="G2828" s="299" t="s">
        <v>222</v>
      </c>
      <c r="H2828" s="16" t="s">
        <v>35</v>
      </c>
      <c r="I2828" s="16" t="s">
        <v>394</v>
      </c>
      <c r="J2828" s="16" t="s">
        <v>40</v>
      </c>
      <c r="K2828" s="16" t="s">
        <v>9</v>
      </c>
      <c r="L2828" s="16" t="s">
        <v>30</v>
      </c>
      <c r="M2828" s="16"/>
      <c r="N2828" s="16" t="s">
        <v>69</v>
      </c>
      <c r="O2828" s="101"/>
      <c r="P2828" s="101"/>
      <c r="Q2828" s="102"/>
    </row>
    <row r="2829">
      <c r="A2829" s="172"/>
      <c r="B2829" s="171" t="s">
        <v>18</v>
      </c>
      <c r="C2829" s="171" t="s">
        <v>74</v>
      </c>
      <c r="D2829" s="279" t="s">
        <v>1050</v>
      </c>
      <c r="E2829" s="306">
        <v>43409.0</v>
      </c>
      <c r="F2829" s="21" t="str">
        <f t="shared" si="225"/>
        <v>Nov-2018</v>
      </c>
      <c r="G2829" s="300" t="s">
        <v>146</v>
      </c>
      <c r="H2829" s="25" t="s">
        <v>35</v>
      </c>
      <c r="I2829" s="25" t="s">
        <v>93</v>
      </c>
      <c r="J2829" s="25" t="s">
        <v>23</v>
      </c>
      <c r="K2829" s="25" t="s">
        <v>9</v>
      </c>
      <c r="L2829" s="25" t="s">
        <v>30</v>
      </c>
      <c r="M2829" s="25" t="s">
        <v>30</v>
      </c>
      <c r="N2829" s="25" t="s">
        <v>69</v>
      </c>
      <c r="Q2829" s="99"/>
    </row>
    <row r="2830">
      <c r="A2830" s="172"/>
      <c r="B2830" s="171" t="s">
        <v>18</v>
      </c>
      <c r="C2830" s="171" t="s">
        <v>74</v>
      </c>
      <c r="D2830" s="279" t="s">
        <v>1050</v>
      </c>
      <c r="E2830" s="306">
        <v>43409.0</v>
      </c>
      <c r="F2830" s="21" t="str">
        <f t="shared" si="225"/>
        <v>Nov-2018</v>
      </c>
      <c r="G2830" s="300" t="s">
        <v>149</v>
      </c>
      <c r="H2830" s="25" t="s">
        <v>35</v>
      </c>
      <c r="I2830" s="25" t="s">
        <v>93</v>
      </c>
      <c r="J2830" s="25" t="s">
        <v>23</v>
      </c>
      <c r="K2830" s="25" t="s">
        <v>9</v>
      </c>
      <c r="L2830" s="25" t="s">
        <v>30</v>
      </c>
      <c r="M2830" s="25"/>
      <c r="N2830" s="25" t="s">
        <v>98</v>
      </c>
      <c r="Q2830" s="99"/>
    </row>
    <row r="2831">
      <c r="A2831" s="172"/>
      <c r="B2831" s="171" t="s">
        <v>18</v>
      </c>
      <c r="C2831" s="171" t="s">
        <v>74</v>
      </c>
      <c r="D2831" s="279" t="s">
        <v>1050</v>
      </c>
      <c r="E2831" s="306">
        <v>43409.0</v>
      </c>
      <c r="F2831" s="21" t="str">
        <f t="shared" si="225"/>
        <v>Nov-2018</v>
      </c>
      <c r="G2831" s="300" t="s">
        <v>222</v>
      </c>
      <c r="H2831" s="25" t="s">
        <v>35</v>
      </c>
      <c r="I2831" s="25" t="s">
        <v>93</v>
      </c>
      <c r="J2831" s="25" t="s">
        <v>23</v>
      </c>
      <c r="K2831" s="25" t="s">
        <v>9</v>
      </c>
      <c r="L2831" s="25" t="s">
        <v>30</v>
      </c>
      <c r="M2831" s="25"/>
      <c r="N2831" s="25" t="s">
        <v>99</v>
      </c>
      <c r="Q2831" s="99"/>
    </row>
    <row r="2832">
      <c r="A2832" s="172"/>
      <c r="B2832" s="171" t="s">
        <v>18</v>
      </c>
      <c r="C2832" s="171" t="s">
        <v>74</v>
      </c>
      <c r="D2832" s="279" t="s">
        <v>1050</v>
      </c>
      <c r="E2832" s="306">
        <v>43409.0</v>
      </c>
      <c r="F2832" s="21" t="str">
        <f t="shared" si="225"/>
        <v>Nov-2018</v>
      </c>
      <c r="G2832" s="299" t="s">
        <v>146</v>
      </c>
      <c r="H2832" s="16" t="s">
        <v>35</v>
      </c>
      <c r="I2832" s="16" t="s">
        <v>93</v>
      </c>
      <c r="J2832" s="16" t="s">
        <v>23</v>
      </c>
      <c r="K2832" s="16" t="s">
        <v>9</v>
      </c>
      <c r="L2832" s="16" t="s">
        <v>24</v>
      </c>
      <c r="M2832" s="16" t="s">
        <v>30</v>
      </c>
      <c r="N2832" s="16" t="s">
        <v>69</v>
      </c>
      <c r="O2832" s="101"/>
      <c r="P2832" s="101"/>
      <c r="Q2832" s="102"/>
    </row>
    <row r="2833">
      <c r="A2833" s="172"/>
      <c r="B2833" s="171" t="s">
        <v>18</v>
      </c>
      <c r="C2833" s="171" t="s">
        <v>74</v>
      </c>
      <c r="D2833" s="279" t="s">
        <v>1050</v>
      </c>
      <c r="E2833" s="306">
        <v>43409.0</v>
      </c>
      <c r="F2833" s="21" t="str">
        <f t="shared" si="225"/>
        <v>Nov-2018</v>
      </c>
      <c r="G2833" s="299" t="s">
        <v>149</v>
      </c>
      <c r="H2833" s="16" t="s">
        <v>35</v>
      </c>
      <c r="I2833" s="16" t="s">
        <v>93</v>
      </c>
      <c r="J2833" s="16" t="s">
        <v>23</v>
      </c>
      <c r="K2833" s="16" t="s">
        <v>9</v>
      </c>
      <c r="L2833" s="16" t="s">
        <v>30</v>
      </c>
      <c r="M2833" s="16"/>
      <c r="N2833" s="16" t="s">
        <v>106</v>
      </c>
      <c r="O2833" s="101"/>
      <c r="P2833" s="101"/>
      <c r="Q2833" s="102"/>
    </row>
    <row r="2834">
      <c r="A2834" s="172"/>
      <c r="B2834" s="171" t="s">
        <v>18</v>
      </c>
      <c r="C2834" s="171" t="s">
        <v>74</v>
      </c>
      <c r="D2834" s="279" t="s">
        <v>1050</v>
      </c>
      <c r="E2834" s="306">
        <v>43409.0</v>
      </c>
      <c r="F2834" s="21" t="str">
        <f t="shared" si="225"/>
        <v>Nov-2018</v>
      </c>
      <c r="G2834" s="299" t="s">
        <v>222</v>
      </c>
      <c r="H2834" s="16" t="s">
        <v>35</v>
      </c>
      <c r="I2834" s="16" t="s">
        <v>93</v>
      </c>
      <c r="J2834" s="16" t="s">
        <v>23</v>
      </c>
      <c r="K2834" s="16" t="s">
        <v>9</v>
      </c>
      <c r="L2834" s="16" t="s">
        <v>30</v>
      </c>
      <c r="M2834" s="16"/>
      <c r="N2834" s="16" t="s">
        <v>99</v>
      </c>
      <c r="O2834" s="101"/>
      <c r="P2834" s="101"/>
      <c r="Q2834" s="102"/>
    </row>
    <row r="2835">
      <c r="A2835" s="172"/>
      <c r="B2835" s="171" t="s">
        <v>18</v>
      </c>
      <c r="C2835" s="171" t="s">
        <v>74</v>
      </c>
      <c r="D2835" s="279" t="s">
        <v>1050</v>
      </c>
      <c r="E2835" s="306">
        <v>43409.0</v>
      </c>
      <c r="F2835" s="21" t="str">
        <f t="shared" si="225"/>
        <v>Nov-2018</v>
      </c>
      <c r="G2835" s="304" t="s">
        <v>467</v>
      </c>
      <c r="H2835" s="38" t="s">
        <v>35</v>
      </c>
      <c r="I2835" s="38" t="s">
        <v>93</v>
      </c>
      <c r="J2835" s="38" t="s">
        <v>23</v>
      </c>
      <c r="K2835" s="38" t="s">
        <v>9</v>
      </c>
      <c r="L2835" s="38" t="s">
        <v>30</v>
      </c>
      <c r="M2835" s="38"/>
      <c r="N2835" s="38" t="s">
        <v>99</v>
      </c>
      <c r="O2835" s="105"/>
      <c r="P2835" s="105"/>
      <c r="Q2835" s="106"/>
    </row>
    <row r="2836">
      <c r="A2836" s="94"/>
    </row>
    <row r="2837">
      <c r="A2837" s="133" t="s">
        <v>1053</v>
      </c>
      <c r="B2837" s="134" t="s">
        <v>527</v>
      </c>
      <c r="C2837" s="134" t="s">
        <v>19</v>
      </c>
      <c r="D2837" s="133" t="s">
        <v>1053</v>
      </c>
      <c r="E2837" s="168">
        <v>43421.0</v>
      </c>
      <c r="F2837" s="21" t="str">
        <f t="shared" ref="F2837:F2859" si="226">TEXT(E2829:E2837, "mmm") &amp; "-" &amp; TEXT(E2829:E2837, "yyyy") </f>
        <v>Nov-2018</v>
      </c>
      <c r="G2837" s="305" t="s">
        <v>20</v>
      </c>
      <c r="H2837" s="73" t="s">
        <v>21</v>
      </c>
      <c r="I2837" s="73" t="s">
        <v>941</v>
      </c>
      <c r="J2837" s="73" t="s">
        <v>23</v>
      </c>
      <c r="K2837" s="73" t="s">
        <v>9</v>
      </c>
      <c r="L2837" s="73" t="s">
        <v>30</v>
      </c>
      <c r="M2837" s="73" t="s">
        <v>30</v>
      </c>
      <c r="N2837" s="73" t="s">
        <v>69</v>
      </c>
      <c r="O2837" s="165"/>
      <c r="P2837" s="165"/>
      <c r="Q2837" s="166"/>
    </row>
    <row r="2838">
      <c r="A2838" s="134" t="s">
        <v>527</v>
      </c>
      <c r="B2838" s="134" t="s">
        <v>527</v>
      </c>
      <c r="C2838" s="134" t="s">
        <v>19</v>
      </c>
      <c r="D2838" s="133" t="s">
        <v>1053</v>
      </c>
      <c r="E2838" s="168">
        <v>43421.0</v>
      </c>
      <c r="F2838" s="21" t="str">
        <f t="shared" si="226"/>
        <v>Nov-2018</v>
      </c>
      <c r="G2838" s="300" t="s">
        <v>25</v>
      </c>
      <c r="H2838" s="25" t="s">
        <v>21</v>
      </c>
      <c r="I2838" s="25" t="s">
        <v>941</v>
      </c>
      <c r="J2838" s="25" t="s">
        <v>23</v>
      </c>
      <c r="K2838" s="25" t="s">
        <v>9</v>
      </c>
      <c r="L2838" s="25" t="s">
        <v>30</v>
      </c>
      <c r="M2838" s="25"/>
      <c r="N2838" s="25" t="s">
        <v>99</v>
      </c>
      <c r="Q2838" s="99"/>
    </row>
    <row r="2839">
      <c r="A2839" s="134" t="s">
        <v>529</v>
      </c>
      <c r="B2839" s="134" t="s">
        <v>527</v>
      </c>
      <c r="C2839" s="134" t="s">
        <v>19</v>
      </c>
      <c r="D2839" s="133" t="s">
        <v>1053</v>
      </c>
      <c r="E2839" s="168">
        <v>43421.0</v>
      </c>
      <c r="F2839" s="21" t="str">
        <f t="shared" si="226"/>
        <v>Nov-2018</v>
      </c>
      <c r="G2839" s="299" t="s">
        <v>20</v>
      </c>
      <c r="H2839" s="16" t="s">
        <v>21</v>
      </c>
      <c r="I2839" s="16" t="s">
        <v>1054</v>
      </c>
      <c r="J2839" s="16" t="s">
        <v>48</v>
      </c>
      <c r="K2839" s="16" t="s">
        <v>9</v>
      </c>
      <c r="L2839" s="16" t="s">
        <v>24</v>
      </c>
      <c r="M2839" s="16" t="s">
        <v>24</v>
      </c>
      <c r="N2839" s="16" t="s">
        <v>98</v>
      </c>
      <c r="O2839" s="101"/>
      <c r="P2839" s="101"/>
      <c r="Q2839" s="102"/>
    </row>
    <row r="2840">
      <c r="A2840" s="168">
        <v>43421.0</v>
      </c>
      <c r="B2840" s="134" t="s">
        <v>527</v>
      </c>
      <c r="C2840" s="134" t="s">
        <v>19</v>
      </c>
      <c r="D2840" s="133" t="s">
        <v>1053</v>
      </c>
      <c r="E2840" s="168">
        <v>43421.0</v>
      </c>
      <c r="F2840" s="21" t="str">
        <f t="shared" si="226"/>
        <v>Nov-2018</v>
      </c>
      <c r="G2840" s="299" t="s">
        <v>25</v>
      </c>
      <c r="H2840" s="16" t="s">
        <v>21</v>
      </c>
      <c r="I2840" s="16" t="s">
        <v>1054</v>
      </c>
      <c r="J2840" s="16" t="s">
        <v>48</v>
      </c>
      <c r="K2840" s="16" t="s">
        <v>9</v>
      </c>
      <c r="L2840" s="16" t="s">
        <v>30</v>
      </c>
      <c r="M2840" s="16"/>
      <c r="N2840" s="16" t="s">
        <v>106</v>
      </c>
      <c r="O2840" s="101"/>
      <c r="P2840" s="101"/>
      <c r="Q2840" s="102"/>
    </row>
    <row r="2841">
      <c r="A2841" s="134" t="s">
        <v>19</v>
      </c>
      <c r="B2841" s="134" t="s">
        <v>527</v>
      </c>
      <c r="C2841" s="134" t="s">
        <v>19</v>
      </c>
      <c r="D2841" s="133" t="s">
        <v>1053</v>
      </c>
      <c r="E2841" s="168">
        <v>43421.0</v>
      </c>
      <c r="F2841" s="21" t="str">
        <f t="shared" si="226"/>
        <v>Nov-2018</v>
      </c>
      <c r="G2841" s="299" t="s">
        <v>32</v>
      </c>
      <c r="H2841" s="16" t="s">
        <v>21</v>
      </c>
      <c r="I2841" s="16" t="s">
        <v>1054</v>
      </c>
      <c r="J2841" s="16" t="s">
        <v>48</v>
      </c>
      <c r="K2841" s="16" t="s">
        <v>9</v>
      </c>
      <c r="L2841" s="16" t="s">
        <v>24</v>
      </c>
      <c r="M2841" s="16"/>
      <c r="N2841" s="16" t="s">
        <v>99</v>
      </c>
      <c r="O2841" s="101"/>
      <c r="P2841" s="101"/>
      <c r="Q2841" s="102"/>
      <c r="R2841" s="25" t="s">
        <v>1055</v>
      </c>
    </row>
    <row r="2842">
      <c r="A2842" s="176" t="s">
        <v>1056</v>
      </c>
      <c r="B2842" s="134" t="s">
        <v>527</v>
      </c>
      <c r="C2842" s="134" t="s">
        <v>19</v>
      </c>
      <c r="D2842" s="133" t="s">
        <v>1053</v>
      </c>
      <c r="E2842" s="168">
        <v>43421.0</v>
      </c>
      <c r="F2842" s="21" t="str">
        <f t="shared" si="226"/>
        <v>Nov-2018</v>
      </c>
      <c r="G2842" s="300" t="s">
        <v>20</v>
      </c>
      <c r="H2842" s="25" t="s">
        <v>21</v>
      </c>
      <c r="I2842" s="25" t="s">
        <v>1057</v>
      </c>
      <c r="J2842" s="25" t="s">
        <v>9</v>
      </c>
      <c r="K2842" s="25" t="s">
        <v>9</v>
      </c>
      <c r="L2842" s="25" t="s">
        <v>30</v>
      </c>
      <c r="M2842" s="25" t="s">
        <v>30</v>
      </c>
      <c r="N2842" s="25" t="s">
        <v>37</v>
      </c>
      <c r="Q2842" s="99"/>
    </row>
    <row r="2843">
      <c r="A2843" s="134" t="s">
        <v>1058</v>
      </c>
      <c r="B2843" s="134" t="s">
        <v>527</v>
      </c>
      <c r="C2843" s="134" t="s">
        <v>19</v>
      </c>
      <c r="D2843" s="133" t="s">
        <v>1053</v>
      </c>
      <c r="E2843" s="168">
        <v>43421.0</v>
      </c>
      <c r="F2843" s="21" t="str">
        <f t="shared" si="226"/>
        <v>Nov-2018</v>
      </c>
      <c r="G2843" s="300" t="s">
        <v>25</v>
      </c>
      <c r="H2843" s="25" t="s">
        <v>21</v>
      </c>
      <c r="I2843" s="25" t="s">
        <v>1057</v>
      </c>
      <c r="J2843" s="25" t="s">
        <v>9</v>
      </c>
      <c r="K2843" s="25" t="s">
        <v>9</v>
      </c>
      <c r="L2843" s="25" t="s">
        <v>30</v>
      </c>
      <c r="M2843" s="25"/>
      <c r="N2843" s="25" t="s">
        <v>106</v>
      </c>
      <c r="Q2843" s="99"/>
    </row>
    <row r="2844">
      <c r="A2844" s="176" t="s">
        <v>1059</v>
      </c>
      <c r="B2844" s="134" t="s">
        <v>527</v>
      </c>
      <c r="C2844" s="134" t="s">
        <v>19</v>
      </c>
      <c r="D2844" s="133" t="s">
        <v>1053</v>
      </c>
      <c r="E2844" s="168">
        <v>43421.0</v>
      </c>
      <c r="F2844" s="21" t="str">
        <f t="shared" si="226"/>
        <v>Nov-2018</v>
      </c>
      <c r="G2844" s="299" t="s">
        <v>20</v>
      </c>
      <c r="H2844" s="16" t="s">
        <v>21</v>
      </c>
      <c r="I2844" s="16" t="s">
        <v>633</v>
      </c>
      <c r="J2844" s="16" t="s">
        <v>27</v>
      </c>
      <c r="K2844" s="16" t="s">
        <v>9</v>
      </c>
      <c r="L2844" s="16" t="s">
        <v>30</v>
      </c>
      <c r="M2844" s="16" t="s">
        <v>30</v>
      </c>
      <c r="N2844" s="16" t="s">
        <v>37</v>
      </c>
      <c r="O2844" s="101"/>
      <c r="P2844" s="101"/>
      <c r="Q2844" s="102"/>
    </row>
    <row r="2845">
      <c r="A2845" s="140"/>
      <c r="B2845" s="134" t="s">
        <v>527</v>
      </c>
      <c r="C2845" s="134" t="s">
        <v>19</v>
      </c>
      <c r="D2845" s="133" t="s">
        <v>1053</v>
      </c>
      <c r="E2845" s="168">
        <v>43421.0</v>
      </c>
      <c r="F2845" s="21" t="str">
        <f t="shared" si="226"/>
        <v>Nov-2018</v>
      </c>
      <c r="G2845" s="299" t="s">
        <v>25</v>
      </c>
      <c r="H2845" s="16" t="s">
        <v>21</v>
      </c>
      <c r="I2845" s="16" t="s">
        <v>633</v>
      </c>
      <c r="J2845" s="16" t="s">
        <v>27</v>
      </c>
      <c r="K2845" s="16" t="s">
        <v>9</v>
      </c>
      <c r="L2845" s="16" t="s">
        <v>30</v>
      </c>
      <c r="M2845" s="16"/>
      <c r="N2845" s="16" t="s">
        <v>69</v>
      </c>
      <c r="O2845" s="101"/>
      <c r="P2845" s="101"/>
      <c r="Q2845" s="102"/>
    </row>
    <row r="2846">
      <c r="A2846" s="140"/>
      <c r="B2846" s="134" t="s">
        <v>527</v>
      </c>
      <c r="C2846" s="134" t="s">
        <v>19</v>
      </c>
      <c r="D2846" s="133" t="s">
        <v>1053</v>
      </c>
      <c r="E2846" s="168">
        <v>43421.0</v>
      </c>
      <c r="F2846" s="21" t="str">
        <f t="shared" si="226"/>
        <v>Nov-2018</v>
      </c>
      <c r="G2846" s="300" t="s">
        <v>20</v>
      </c>
      <c r="H2846" s="25" t="s">
        <v>21</v>
      </c>
      <c r="I2846" s="25" t="s">
        <v>497</v>
      </c>
      <c r="J2846" s="25" t="s">
        <v>9</v>
      </c>
      <c r="K2846" s="25" t="s">
        <v>9</v>
      </c>
      <c r="L2846" s="25" t="s">
        <v>24</v>
      </c>
      <c r="M2846" s="25" t="s">
        <v>24</v>
      </c>
      <c r="N2846" s="25" t="s">
        <v>69</v>
      </c>
      <c r="Q2846" s="99"/>
    </row>
    <row r="2847">
      <c r="A2847" s="140"/>
      <c r="B2847" s="134" t="s">
        <v>527</v>
      </c>
      <c r="C2847" s="134" t="s">
        <v>19</v>
      </c>
      <c r="D2847" s="133" t="s">
        <v>1053</v>
      </c>
      <c r="E2847" s="168">
        <v>43421.0</v>
      </c>
      <c r="F2847" s="21" t="str">
        <f t="shared" si="226"/>
        <v>Nov-2018</v>
      </c>
      <c r="G2847" s="300" t="s">
        <v>25</v>
      </c>
      <c r="H2847" s="25" t="s">
        <v>21</v>
      </c>
      <c r="I2847" s="25" t="s">
        <v>497</v>
      </c>
      <c r="J2847" s="25" t="s">
        <v>9</v>
      </c>
      <c r="K2847" s="25" t="s">
        <v>9</v>
      </c>
      <c r="L2847" s="25" t="s">
        <v>24</v>
      </c>
      <c r="M2847" s="25"/>
      <c r="N2847" s="25" t="s">
        <v>106</v>
      </c>
      <c r="Q2847" s="99"/>
    </row>
    <row r="2848">
      <c r="A2848" s="140"/>
      <c r="B2848" s="134" t="s">
        <v>527</v>
      </c>
      <c r="C2848" s="134" t="s">
        <v>19</v>
      </c>
      <c r="D2848" s="133" t="s">
        <v>1053</v>
      </c>
      <c r="E2848" s="168">
        <v>43421.0</v>
      </c>
      <c r="F2848" s="21" t="str">
        <f t="shared" si="226"/>
        <v>Nov-2018</v>
      </c>
      <c r="G2848" s="299" t="s">
        <v>20</v>
      </c>
      <c r="H2848" s="16" t="s">
        <v>35</v>
      </c>
      <c r="I2848" s="16" t="s">
        <v>1060</v>
      </c>
      <c r="J2848" s="16" t="s">
        <v>27</v>
      </c>
      <c r="K2848" s="16" t="s">
        <v>9</v>
      </c>
      <c r="L2848" s="16" t="s">
        <v>30</v>
      </c>
      <c r="M2848" s="16" t="s">
        <v>30</v>
      </c>
      <c r="N2848" s="16" t="s">
        <v>37</v>
      </c>
      <c r="O2848" s="101"/>
      <c r="P2848" s="101"/>
      <c r="Q2848" s="102"/>
    </row>
    <row r="2849">
      <c r="A2849" s="140"/>
      <c r="B2849" s="134" t="s">
        <v>527</v>
      </c>
      <c r="C2849" s="134" t="s">
        <v>19</v>
      </c>
      <c r="D2849" s="133" t="s">
        <v>1053</v>
      </c>
      <c r="E2849" s="168">
        <v>43421.0</v>
      </c>
      <c r="F2849" s="21" t="str">
        <f t="shared" si="226"/>
        <v>Nov-2018</v>
      </c>
      <c r="G2849" s="299" t="s">
        <v>25</v>
      </c>
      <c r="H2849" s="16" t="s">
        <v>35</v>
      </c>
      <c r="I2849" s="16" t="s">
        <v>1060</v>
      </c>
      <c r="J2849" s="16" t="s">
        <v>27</v>
      </c>
      <c r="K2849" s="16" t="s">
        <v>9</v>
      </c>
      <c r="L2849" s="16" t="s">
        <v>30</v>
      </c>
      <c r="M2849" s="16"/>
      <c r="N2849" s="16" t="s">
        <v>69</v>
      </c>
      <c r="O2849" s="101"/>
      <c r="P2849" s="101"/>
      <c r="Q2849" s="102"/>
    </row>
    <row r="2850">
      <c r="A2850" s="140"/>
      <c r="B2850" s="134" t="s">
        <v>527</v>
      </c>
      <c r="C2850" s="134" t="s">
        <v>19</v>
      </c>
      <c r="D2850" s="133" t="s">
        <v>1053</v>
      </c>
      <c r="E2850" s="168">
        <v>43421.0</v>
      </c>
      <c r="F2850" s="21" t="str">
        <f t="shared" si="226"/>
        <v>Nov-2018</v>
      </c>
      <c r="G2850" s="300" t="s">
        <v>20</v>
      </c>
      <c r="H2850" s="25" t="s">
        <v>35</v>
      </c>
      <c r="I2850" s="25" t="s">
        <v>989</v>
      </c>
      <c r="J2850" s="25" t="s">
        <v>86</v>
      </c>
      <c r="K2850" s="25" t="s">
        <v>9</v>
      </c>
      <c r="L2850" s="25" t="s">
        <v>30</v>
      </c>
      <c r="M2850" s="25" t="s">
        <v>30</v>
      </c>
      <c r="N2850" s="25" t="s">
        <v>69</v>
      </c>
      <c r="Q2850" s="99"/>
    </row>
    <row r="2851">
      <c r="A2851" s="140"/>
      <c r="B2851" s="134" t="s">
        <v>527</v>
      </c>
      <c r="C2851" s="134" t="s">
        <v>19</v>
      </c>
      <c r="D2851" s="133" t="s">
        <v>1053</v>
      </c>
      <c r="E2851" s="168">
        <v>43421.0</v>
      </c>
      <c r="F2851" s="21" t="str">
        <f t="shared" si="226"/>
        <v>Nov-2018</v>
      </c>
      <c r="G2851" s="300" t="s">
        <v>25</v>
      </c>
      <c r="H2851" s="25" t="s">
        <v>35</v>
      </c>
      <c r="I2851" s="25" t="s">
        <v>989</v>
      </c>
      <c r="J2851" s="25" t="s">
        <v>27</v>
      </c>
      <c r="K2851" s="25" t="s">
        <v>9</v>
      </c>
      <c r="L2851" s="25" t="s">
        <v>30</v>
      </c>
      <c r="M2851" s="25"/>
      <c r="N2851" s="25" t="s">
        <v>106</v>
      </c>
      <c r="Q2851" s="99"/>
    </row>
    <row r="2852">
      <c r="A2852" s="140"/>
      <c r="B2852" s="134" t="s">
        <v>527</v>
      </c>
      <c r="C2852" s="134" t="s">
        <v>19</v>
      </c>
      <c r="D2852" s="133" t="s">
        <v>1053</v>
      </c>
      <c r="E2852" s="168">
        <v>43421.0</v>
      </c>
      <c r="F2852" s="21" t="str">
        <f t="shared" si="226"/>
        <v>Nov-2018</v>
      </c>
      <c r="G2852" s="299" t="s">
        <v>20</v>
      </c>
      <c r="H2852" s="16" t="s">
        <v>35</v>
      </c>
      <c r="I2852" s="16" t="s">
        <v>346</v>
      </c>
      <c r="J2852" s="16" t="s">
        <v>44</v>
      </c>
      <c r="K2852" s="16" t="s">
        <v>9</v>
      </c>
      <c r="L2852" s="16" t="s">
        <v>24</v>
      </c>
      <c r="M2852" s="16" t="s">
        <v>30</v>
      </c>
      <c r="N2852" s="16" t="s">
        <v>69</v>
      </c>
      <c r="O2852" s="101"/>
      <c r="P2852" s="101"/>
      <c r="Q2852" s="102"/>
    </row>
    <row r="2853">
      <c r="A2853" s="140"/>
      <c r="B2853" s="134" t="s">
        <v>527</v>
      </c>
      <c r="C2853" s="134" t="s">
        <v>19</v>
      </c>
      <c r="D2853" s="133" t="s">
        <v>1053</v>
      </c>
      <c r="E2853" s="168">
        <v>43421.0</v>
      </c>
      <c r="F2853" s="21" t="str">
        <f t="shared" si="226"/>
        <v>Nov-2018</v>
      </c>
      <c r="G2853" s="299" t="s">
        <v>25</v>
      </c>
      <c r="H2853" s="16" t="s">
        <v>35</v>
      </c>
      <c r="I2853" s="16" t="s">
        <v>346</v>
      </c>
      <c r="J2853" s="16" t="s">
        <v>44</v>
      </c>
      <c r="K2853" s="16" t="s">
        <v>9</v>
      </c>
      <c r="L2853" s="16" t="s">
        <v>30</v>
      </c>
      <c r="M2853" s="16"/>
      <c r="N2853" s="16" t="s">
        <v>106</v>
      </c>
      <c r="O2853" s="101"/>
      <c r="P2853" s="101"/>
      <c r="Q2853" s="102"/>
    </row>
    <row r="2854">
      <c r="A2854" s="140"/>
      <c r="B2854" s="134" t="s">
        <v>527</v>
      </c>
      <c r="C2854" s="134" t="s">
        <v>19</v>
      </c>
      <c r="D2854" s="133" t="s">
        <v>1053</v>
      </c>
      <c r="E2854" s="168">
        <v>43421.0</v>
      </c>
      <c r="F2854" s="21" t="str">
        <f t="shared" si="226"/>
        <v>Nov-2018</v>
      </c>
      <c r="G2854" s="299" t="s">
        <v>32</v>
      </c>
      <c r="H2854" s="16" t="s">
        <v>35</v>
      </c>
      <c r="I2854" s="16" t="s">
        <v>346</v>
      </c>
      <c r="J2854" s="16" t="s">
        <v>44</v>
      </c>
      <c r="K2854" s="16" t="s">
        <v>9</v>
      </c>
      <c r="L2854" s="16" t="s">
        <v>30</v>
      </c>
      <c r="M2854" s="16"/>
      <c r="N2854" s="16" t="s">
        <v>69</v>
      </c>
      <c r="O2854" s="101"/>
      <c r="P2854" s="101"/>
      <c r="Q2854" s="102"/>
    </row>
    <row r="2855">
      <c r="A2855" s="140"/>
      <c r="B2855" s="134" t="s">
        <v>527</v>
      </c>
      <c r="C2855" s="134" t="s">
        <v>19</v>
      </c>
      <c r="D2855" s="133" t="s">
        <v>1053</v>
      </c>
      <c r="E2855" s="168">
        <v>43421.0</v>
      </c>
      <c r="F2855" s="21" t="str">
        <f t="shared" si="226"/>
        <v>Nov-2018</v>
      </c>
      <c r="G2855" s="300" t="s">
        <v>20</v>
      </c>
      <c r="H2855" s="25" t="s">
        <v>35</v>
      </c>
      <c r="I2855" s="25" t="s">
        <v>94</v>
      </c>
      <c r="J2855" s="25" t="s">
        <v>44</v>
      </c>
      <c r="K2855" s="25" t="s">
        <v>9</v>
      </c>
      <c r="L2855" s="25" t="s">
        <v>24</v>
      </c>
      <c r="M2855" s="25" t="s">
        <v>24</v>
      </c>
      <c r="N2855" s="25" t="s">
        <v>69</v>
      </c>
      <c r="Q2855" s="99"/>
    </row>
    <row r="2856">
      <c r="A2856" s="140"/>
      <c r="B2856" s="134" t="s">
        <v>527</v>
      </c>
      <c r="C2856" s="134" t="s">
        <v>19</v>
      </c>
      <c r="D2856" s="133" t="s">
        <v>1053</v>
      </c>
      <c r="E2856" s="168">
        <v>43421.0</v>
      </c>
      <c r="F2856" s="21" t="str">
        <f t="shared" si="226"/>
        <v>Nov-2018</v>
      </c>
      <c r="G2856" s="300" t="s">
        <v>25</v>
      </c>
      <c r="H2856" s="25" t="s">
        <v>35</v>
      </c>
      <c r="I2856" s="25" t="s">
        <v>94</v>
      </c>
      <c r="J2856" s="25" t="s">
        <v>44</v>
      </c>
      <c r="K2856" s="25" t="s">
        <v>9</v>
      </c>
      <c r="L2856" s="25" t="s">
        <v>24</v>
      </c>
      <c r="M2856" s="25"/>
      <c r="N2856" s="25" t="s">
        <v>106</v>
      </c>
      <c r="Q2856" s="99"/>
    </row>
    <row r="2857">
      <c r="A2857" s="140"/>
      <c r="B2857" s="134" t="s">
        <v>527</v>
      </c>
      <c r="C2857" s="134" t="s">
        <v>19</v>
      </c>
      <c r="D2857" s="133" t="s">
        <v>1053</v>
      </c>
      <c r="E2857" s="168">
        <v>43421.0</v>
      </c>
      <c r="F2857" s="21" t="str">
        <f t="shared" si="226"/>
        <v>Nov-2018</v>
      </c>
      <c r="G2857" s="299" t="s">
        <v>20</v>
      </c>
      <c r="H2857" s="16" t="s">
        <v>35</v>
      </c>
      <c r="I2857" s="16" t="s">
        <v>1061</v>
      </c>
      <c r="J2857" s="16" t="s">
        <v>86</v>
      </c>
      <c r="K2857" s="16" t="s">
        <v>9</v>
      </c>
      <c r="L2857" s="16" t="s">
        <v>30</v>
      </c>
      <c r="M2857" s="16" t="s">
        <v>24</v>
      </c>
      <c r="N2857" s="16" t="s">
        <v>29</v>
      </c>
      <c r="O2857" s="101"/>
      <c r="P2857" s="101"/>
      <c r="Q2857" s="138" t="s">
        <v>319</v>
      </c>
    </row>
    <row r="2858">
      <c r="A2858" s="140"/>
      <c r="B2858" s="134" t="s">
        <v>527</v>
      </c>
      <c r="C2858" s="134" t="s">
        <v>19</v>
      </c>
      <c r="D2858" s="133" t="s">
        <v>1053</v>
      </c>
      <c r="E2858" s="168">
        <v>43421.0</v>
      </c>
      <c r="F2858" s="21" t="str">
        <f t="shared" si="226"/>
        <v>Nov-2018</v>
      </c>
      <c r="G2858" s="299" t="s">
        <v>25</v>
      </c>
      <c r="H2858" s="16" t="s">
        <v>35</v>
      </c>
      <c r="I2858" s="16" t="s">
        <v>1061</v>
      </c>
      <c r="J2858" s="16" t="s">
        <v>86</v>
      </c>
      <c r="K2858" s="16" t="s">
        <v>9</v>
      </c>
      <c r="L2858" s="16" t="s">
        <v>24</v>
      </c>
      <c r="M2858" s="16"/>
      <c r="N2858" s="16" t="s">
        <v>98</v>
      </c>
      <c r="O2858" s="101"/>
      <c r="P2858" s="101"/>
      <c r="Q2858" s="138" t="s">
        <v>319</v>
      </c>
    </row>
    <row r="2859">
      <c r="A2859" s="141"/>
      <c r="B2859" s="134" t="s">
        <v>527</v>
      </c>
      <c r="C2859" s="134" t="s">
        <v>19</v>
      </c>
      <c r="D2859" s="133" t="s">
        <v>1053</v>
      </c>
      <c r="E2859" s="168">
        <v>43421.0</v>
      </c>
      <c r="F2859" s="21" t="str">
        <f t="shared" si="226"/>
        <v>Nov-2018</v>
      </c>
      <c r="G2859" s="304" t="s">
        <v>32</v>
      </c>
      <c r="H2859" s="38" t="s">
        <v>35</v>
      </c>
      <c r="I2859" s="38" t="s">
        <v>1061</v>
      </c>
      <c r="J2859" s="38" t="s">
        <v>86</v>
      </c>
      <c r="K2859" s="38" t="s">
        <v>9</v>
      </c>
      <c r="L2859" s="38" t="s">
        <v>24</v>
      </c>
      <c r="M2859" s="38"/>
      <c r="N2859" s="38" t="s">
        <v>69</v>
      </c>
      <c r="O2859" s="105"/>
      <c r="P2859" s="105"/>
      <c r="Q2859" s="177" t="s">
        <v>319</v>
      </c>
    </row>
    <row r="2860">
      <c r="A2860" s="94"/>
    </row>
    <row r="2861">
      <c r="A2861" s="133" t="s">
        <v>1062</v>
      </c>
      <c r="B2861" s="134" t="s">
        <v>1063</v>
      </c>
      <c r="C2861" s="134" t="s">
        <v>84</v>
      </c>
      <c r="D2861" s="133" t="s">
        <v>1062</v>
      </c>
      <c r="E2861" s="168">
        <v>43442.0</v>
      </c>
      <c r="F2861" s="21" t="str">
        <f t="shared" ref="F2861:F2884" si="227">TEXT(E2853:E2861, "mmm") &amp; "-" &amp; TEXT(E2853:E2861, "yyyy") </f>
        <v>Dec-2018</v>
      </c>
      <c r="G2861" s="165" t="s">
        <v>20</v>
      </c>
      <c r="H2861" s="73" t="s">
        <v>21</v>
      </c>
      <c r="I2861" s="73" t="s">
        <v>1064</v>
      </c>
      <c r="J2861" s="73" t="s">
        <v>140</v>
      </c>
      <c r="K2861" s="73" t="s">
        <v>9</v>
      </c>
      <c r="L2861" s="73" t="s">
        <v>30</v>
      </c>
      <c r="M2861" s="73" t="s">
        <v>30</v>
      </c>
      <c r="N2861" s="73" t="s">
        <v>98</v>
      </c>
      <c r="O2861" s="165"/>
      <c r="P2861" s="165"/>
      <c r="Q2861" s="166"/>
    </row>
    <row r="2862">
      <c r="A2862" s="134" t="s">
        <v>1063</v>
      </c>
      <c r="B2862" s="134" t="s">
        <v>1063</v>
      </c>
      <c r="C2862" s="134" t="s">
        <v>84</v>
      </c>
      <c r="D2862" s="133" t="s">
        <v>1062</v>
      </c>
      <c r="E2862" s="168">
        <v>43442.0</v>
      </c>
      <c r="F2862" s="21" t="str">
        <f t="shared" si="227"/>
        <v>Dec-2018</v>
      </c>
      <c r="G2862" t="s">
        <v>25</v>
      </c>
      <c r="H2862" s="25" t="s">
        <v>21</v>
      </c>
      <c r="I2862" s="25" t="s">
        <v>1064</v>
      </c>
      <c r="J2862" s="25" t="s">
        <v>140</v>
      </c>
      <c r="K2862" s="25" t="s">
        <v>9</v>
      </c>
      <c r="L2862" s="25" t="s">
        <v>30</v>
      </c>
      <c r="M2862" s="25"/>
      <c r="N2862" s="25" t="s">
        <v>99</v>
      </c>
      <c r="Q2862" s="99"/>
    </row>
    <row r="2863">
      <c r="A2863" s="134" t="s">
        <v>1065</v>
      </c>
      <c r="B2863" s="134" t="s">
        <v>1063</v>
      </c>
      <c r="C2863" s="134" t="s">
        <v>84</v>
      </c>
      <c r="D2863" s="133" t="s">
        <v>1062</v>
      </c>
      <c r="E2863" s="168">
        <v>43442.0</v>
      </c>
      <c r="F2863" s="21" t="str">
        <f t="shared" si="227"/>
        <v>Dec-2018</v>
      </c>
      <c r="G2863" s="101" t="s">
        <v>20</v>
      </c>
      <c r="H2863" s="16" t="s">
        <v>21</v>
      </c>
      <c r="I2863" s="16" t="s">
        <v>1066</v>
      </c>
      <c r="J2863" s="16" t="s">
        <v>86</v>
      </c>
      <c r="K2863" s="16" t="s">
        <v>9</v>
      </c>
      <c r="L2863" s="16" t="s">
        <v>30</v>
      </c>
      <c r="M2863" s="16" t="s">
        <v>30</v>
      </c>
      <c r="N2863" s="16" t="s">
        <v>69</v>
      </c>
      <c r="O2863" s="101"/>
      <c r="P2863" s="101"/>
      <c r="Q2863" s="102"/>
    </row>
    <row r="2864">
      <c r="A2864" s="168">
        <v>43442.0</v>
      </c>
      <c r="B2864" s="134" t="s">
        <v>1063</v>
      </c>
      <c r="C2864" s="134" t="s">
        <v>84</v>
      </c>
      <c r="D2864" s="133" t="s">
        <v>1062</v>
      </c>
      <c r="E2864" s="168">
        <v>43442.0</v>
      </c>
      <c r="F2864" s="21" t="str">
        <f t="shared" si="227"/>
        <v>Dec-2018</v>
      </c>
      <c r="G2864" s="101" t="s">
        <v>25</v>
      </c>
      <c r="H2864" s="16" t="s">
        <v>21</v>
      </c>
      <c r="I2864" s="16" t="s">
        <v>1066</v>
      </c>
      <c r="J2864" s="16" t="s">
        <v>86</v>
      </c>
      <c r="K2864" s="16" t="s">
        <v>9</v>
      </c>
      <c r="L2864" s="16" t="s">
        <v>30</v>
      </c>
      <c r="M2864" s="16"/>
      <c r="N2864" s="16" t="s">
        <v>98</v>
      </c>
      <c r="O2864" s="101"/>
      <c r="P2864" s="101"/>
      <c r="Q2864" s="102"/>
    </row>
    <row r="2865">
      <c r="A2865" s="134" t="s">
        <v>84</v>
      </c>
      <c r="B2865" s="134" t="s">
        <v>1063</v>
      </c>
      <c r="C2865" s="134" t="s">
        <v>84</v>
      </c>
      <c r="D2865" s="133" t="s">
        <v>1062</v>
      </c>
      <c r="E2865" s="168">
        <v>43442.0</v>
      </c>
      <c r="F2865" s="21" t="str">
        <f t="shared" si="227"/>
        <v>Dec-2018</v>
      </c>
      <c r="G2865" s="32" t="s">
        <v>20</v>
      </c>
      <c r="H2865" s="25" t="s">
        <v>21</v>
      </c>
      <c r="I2865" s="25" t="s">
        <v>1067</v>
      </c>
      <c r="J2865" s="25" t="s">
        <v>102</v>
      </c>
      <c r="K2865" s="25" t="s">
        <v>9</v>
      </c>
      <c r="L2865" s="25" t="s">
        <v>30</v>
      </c>
      <c r="M2865" s="25" t="s">
        <v>30</v>
      </c>
      <c r="N2865" s="25" t="s">
        <v>98</v>
      </c>
      <c r="Q2865" s="99"/>
    </row>
    <row r="2866">
      <c r="A2866" s="176" t="s">
        <v>1068</v>
      </c>
      <c r="B2866" s="134" t="s">
        <v>1063</v>
      </c>
      <c r="C2866" s="134" t="s">
        <v>84</v>
      </c>
      <c r="D2866" s="133" t="s">
        <v>1062</v>
      </c>
      <c r="E2866" s="168">
        <v>43442.0</v>
      </c>
      <c r="F2866" s="21" t="str">
        <f t="shared" si="227"/>
        <v>Dec-2018</v>
      </c>
      <c r="G2866" s="32" t="s">
        <v>25</v>
      </c>
      <c r="H2866" s="25" t="s">
        <v>21</v>
      </c>
      <c r="I2866" s="25" t="s">
        <v>1067</v>
      </c>
      <c r="J2866" s="25" t="s">
        <v>102</v>
      </c>
      <c r="K2866" s="25" t="s">
        <v>9</v>
      </c>
      <c r="L2866" s="25" t="s">
        <v>30</v>
      </c>
      <c r="M2866" s="25"/>
      <c r="N2866" s="25" t="s">
        <v>99</v>
      </c>
      <c r="Q2866" s="99"/>
    </row>
    <row r="2867">
      <c r="A2867" s="140"/>
      <c r="B2867" s="134" t="s">
        <v>1063</v>
      </c>
      <c r="C2867" s="134" t="s">
        <v>84</v>
      </c>
      <c r="D2867" s="133" t="s">
        <v>1062</v>
      </c>
      <c r="E2867" s="168">
        <v>43442.0</v>
      </c>
      <c r="F2867" s="21" t="str">
        <f t="shared" si="227"/>
        <v>Dec-2018</v>
      </c>
      <c r="G2867" s="299" t="s">
        <v>146</v>
      </c>
      <c r="H2867" s="16" t="s">
        <v>35</v>
      </c>
      <c r="I2867" s="16" t="s">
        <v>407</v>
      </c>
      <c r="J2867" s="16" t="s">
        <v>44</v>
      </c>
      <c r="K2867" s="16" t="s">
        <v>9</v>
      </c>
      <c r="L2867" s="16" t="s">
        <v>30</v>
      </c>
      <c r="M2867" s="16" t="s">
        <v>24</v>
      </c>
      <c r="N2867" s="16" t="s">
        <v>69</v>
      </c>
      <c r="O2867" s="101"/>
      <c r="P2867" s="101"/>
      <c r="Q2867" s="102"/>
    </row>
    <row r="2868">
      <c r="A2868" s="140"/>
      <c r="B2868" s="134" t="s">
        <v>1063</v>
      </c>
      <c r="C2868" s="134" t="s">
        <v>84</v>
      </c>
      <c r="D2868" s="133" t="s">
        <v>1062</v>
      </c>
      <c r="E2868" s="168">
        <v>43442.0</v>
      </c>
      <c r="F2868" s="21" t="str">
        <f t="shared" si="227"/>
        <v>Dec-2018</v>
      </c>
      <c r="G2868" s="299" t="s">
        <v>149</v>
      </c>
      <c r="H2868" s="16" t="s">
        <v>35</v>
      </c>
      <c r="I2868" s="16" t="s">
        <v>407</v>
      </c>
      <c r="J2868" s="16" t="s">
        <v>44</v>
      </c>
      <c r="K2868" s="16" t="s">
        <v>9</v>
      </c>
      <c r="L2868" s="16" t="s">
        <v>30</v>
      </c>
      <c r="M2868" s="16"/>
      <c r="N2868" s="16" t="s">
        <v>29</v>
      </c>
      <c r="O2868" s="101"/>
      <c r="P2868" s="101"/>
      <c r="Q2868" s="102"/>
    </row>
    <row r="2869">
      <c r="A2869" s="140"/>
      <c r="B2869" s="134" t="s">
        <v>1063</v>
      </c>
      <c r="C2869" s="134" t="s">
        <v>84</v>
      </c>
      <c r="D2869" s="133" t="s">
        <v>1062</v>
      </c>
      <c r="E2869" s="168">
        <v>43442.0</v>
      </c>
      <c r="F2869" s="21" t="str">
        <f t="shared" si="227"/>
        <v>Dec-2018</v>
      </c>
      <c r="G2869" s="299" t="s">
        <v>222</v>
      </c>
      <c r="H2869" s="16" t="s">
        <v>35</v>
      </c>
      <c r="I2869" s="16" t="s">
        <v>407</v>
      </c>
      <c r="J2869" s="16" t="s">
        <v>44</v>
      </c>
      <c r="K2869" s="16" t="s">
        <v>9</v>
      </c>
      <c r="L2869" s="16" t="s">
        <v>24</v>
      </c>
      <c r="M2869" s="16"/>
      <c r="N2869" s="16" t="s">
        <v>29</v>
      </c>
      <c r="O2869" s="101"/>
      <c r="P2869" s="101"/>
      <c r="Q2869" s="102"/>
    </row>
    <row r="2870">
      <c r="A2870" s="140"/>
      <c r="B2870" s="134" t="s">
        <v>1063</v>
      </c>
      <c r="C2870" s="134" t="s">
        <v>84</v>
      </c>
      <c r="D2870" s="133" t="s">
        <v>1062</v>
      </c>
      <c r="E2870" s="168">
        <v>43442.0</v>
      </c>
      <c r="F2870" s="21" t="str">
        <f t="shared" si="227"/>
        <v>Dec-2018</v>
      </c>
      <c r="G2870" s="299" t="s">
        <v>467</v>
      </c>
      <c r="H2870" s="16" t="s">
        <v>35</v>
      </c>
      <c r="I2870" s="16" t="s">
        <v>407</v>
      </c>
      <c r="J2870" s="16" t="s">
        <v>44</v>
      </c>
      <c r="K2870" s="16" t="s">
        <v>9</v>
      </c>
      <c r="L2870" s="16" t="s">
        <v>24</v>
      </c>
      <c r="M2870" s="16"/>
      <c r="N2870" s="16" t="s">
        <v>37</v>
      </c>
      <c r="O2870" s="101"/>
      <c r="P2870" s="101"/>
      <c r="Q2870" s="102"/>
    </row>
    <row r="2871">
      <c r="A2871" s="140"/>
      <c r="B2871" s="134" t="s">
        <v>1063</v>
      </c>
      <c r="C2871" s="134" t="s">
        <v>84</v>
      </c>
      <c r="D2871" s="133" t="s">
        <v>1062</v>
      </c>
      <c r="E2871" s="168">
        <v>43442.0</v>
      </c>
      <c r="F2871" s="21" t="str">
        <f t="shared" si="227"/>
        <v>Dec-2018</v>
      </c>
      <c r="G2871" s="308" t="s">
        <v>480</v>
      </c>
      <c r="H2871" s="16" t="s">
        <v>35</v>
      </c>
      <c r="I2871" s="16" t="s">
        <v>407</v>
      </c>
      <c r="J2871" s="16" t="s">
        <v>44</v>
      </c>
      <c r="K2871" s="16" t="s">
        <v>9</v>
      </c>
      <c r="L2871" s="16" t="s">
        <v>24</v>
      </c>
      <c r="M2871" s="16"/>
      <c r="N2871" s="16" t="s">
        <v>37</v>
      </c>
      <c r="O2871" s="101"/>
      <c r="P2871" s="101"/>
      <c r="Q2871" s="102"/>
    </row>
    <row r="2872">
      <c r="A2872" s="140"/>
      <c r="B2872" s="134" t="s">
        <v>1063</v>
      </c>
      <c r="C2872" s="134" t="s">
        <v>84</v>
      </c>
      <c r="D2872" s="133" t="s">
        <v>1062</v>
      </c>
      <c r="E2872" s="168">
        <v>43442.0</v>
      </c>
      <c r="F2872" s="21" t="str">
        <f t="shared" si="227"/>
        <v>Dec-2018</v>
      </c>
      <c r="G2872" s="300" t="s">
        <v>146</v>
      </c>
      <c r="H2872" s="25" t="s">
        <v>35</v>
      </c>
      <c r="I2872" s="25" t="s">
        <v>1066</v>
      </c>
      <c r="J2872" s="25" t="s">
        <v>86</v>
      </c>
      <c r="K2872" s="25" t="s">
        <v>9</v>
      </c>
      <c r="L2872" s="25" t="s">
        <v>30</v>
      </c>
      <c r="M2872" s="25" t="s">
        <v>30</v>
      </c>
      <c r="N2872" s="25" t="s">
        <v>29</v>
      </c>
      <c r="Q2872" s="99"/>
    </row>
    <row r="2873">
      <c r="A2873" s="140"/>
      <c r="B2873" s="134" t="s">
        <v>1063</v>
      </c>
      <c r="C2873" s="134" t="s">
        <v>84</v>
      </c>
      <c r="D2873" s="133" t="s">
        <v>1062</v>
      </c>
      <c r="E2873" s="168">
        <v>43442.0</v>
      </c>
      <c r="F2873" s="21" t="str">
        <f t="shared" si="227"/>
        <v>Dec-2018</v>
      </c>
      <c r="G2873" s="300" t="s">
        <v>149</v>
      </c>
      <c r="H2873" s="25" t="s">
        <v>35</v>
      </c>
      <c r="I2873" s="25" t="s">
        <v>1066</v>
      </c>
      <c r="J2873" s="25" t="s">
        <v>86</v>
      </c>
      <c r="K2873" s="25" t="s">
        <v>9</v>
      </c>
      <c r="L2873" s="25" t="s">
        <v>30</v>
      </c>
      <c r="M2873" s="25"/>
      <c r="N2873" s="25" t="s">
        <v>98</v>
      </c>
      <c r="Q2873" s="99"/>
    </row>
    <row r="2874">
      <c r="A2874" s="140"/>
      <c r="B2874" s="134" t="s">
        <v>1063</v>
      </c>
      <c r="C2874" s="134" t="s">
        <v>84</v>
      </c>
      <c r="D2874" s="133" t="s">
        <v>1062</v>
      </c>
      <c r="E2874" s="168">
        <v>43442.0</v>
      </c>
      <c r="F2874" s="21" t="str">
        <f t="shared" si="227"/>
        <v>Dec-2018</v>
      </c>
      <c r="G2874" s="300" t="s">
        <v>222</v>
      </c>
      <c r="H2874" s="25" t="s">
        <v>35</v>
      </c>
      <c r="I2874" s="25" t="s">
        <v>1066</v>
      </c>
      <c r="J2874" s="25" t="s">
        <v>86</v>
      </c>
      <c r="K2874" s="25" t="s">
        <v>9</v>
      </c>
      <c r="L2874" s="25" t="s">
        <v>30</v>
      </c>
      <c r="M2874" s="25"/>
      <c r="N2874" s="25" t="s">
        <v>98</v>
      </c>
      <c r="Q2874" s="99"/>
    </row>
    <row r="2875">
      <c r="A2875" s="140"/>
      <c r="B2875" s="134" t="s">
        <v>1063</v>
      </c>
      <c r="C2875" s="134" t="s">
        <v>84</v>
      </c>
      <c r="D2875" s="133" t="s">
        <v>1062</v>
      </c>
      <c r="E2875" s="168">
        <v>43442.0</v>
      </c>
      <c r="F2875" s="21" t="str">
        <f t="shared" si="227"/>
        <v>Dec-2018</v>
      </c>
      <c r="G2875" s="299" t="s">
        <v>146</v>
      </c>
      <c r="H2875" s="16" t="s">
        <v>35</v>
      </c>
      <c r="I2875" s="16" t="s">
        <v>933</v>
      </c>
      <c r="J2875" s="16" t="s">
        <v>71</v>
      </c>
      <c r="K2875" s="16" t="s">
        <v>9</v>
      </c>
      <c r="L2875" s="16" t="s">
        <v>30</v>
      </c>
      <c r="M2875" s="16" t="s">
        <v>30</v>
      </c>
      <c r="N2875" s="16" t="s">
        <v>98</v>
      </c>
      <c r="O2875" s="101"/>
      <c r="P2875" s="101"/>
      <c r="Q2875" s="102"/>
    </row>
    <row r="2876">
      <c r="A2876" s="140"/>
      <c r="B2876" s="134" t="s">
        <v>1063</v>
      </c>
      <c r="C2876" s="134" t="s">
        <v>84</v>
      </c>
      <c r="D2876" s="133" t="s">
        <v>1062</v>
      </c>
      <c r="E2876" s="168">
        <v>43442.0</v>
      </c>
      <c r="F2876" s="21" t="str">
        <f t="shared" si="227"/>
        <v>Dec-2018</v>
      </c>
      <c r="G2876" s="299" t="s">
        <v>149</v>
      </c>
      <c r="H2876" s="16" t="s">
        <v>35</v>
      </c>
      <c r="I2876" s="16" t="s">
        <v>933</v>
      </c>
      <c r="J2876" s="16" t="s">
        <v>71</v>
      </c>
      <c r="K2876" s="16" t="s">
        <v>9</v>
      </c>
      <c r="L2876" s="16" t="s">
        <v>30</v>
      </c>
      <c r="M2876" s="16"/>
      <c r="N2876" s="16" t="s">
        <v>99</v>
      </c>
      <c r="O2876" s="101"/>
      <c r="P2876" s="101"/>
      <c r="Q2876" s="102"/>
    </row>
    <row r="2877">
      <c r="A2877" s="140"/>
      <c r="B2877" s="134" t="s">
        <v>1063</v>
      </c>
      <c r="C2877" s="134" t="s">
        <v>84</v>
      </c>
      <c r="D2877" s="133" t="s">
        <v>1062</v>
      </c>
      <c r="E2877" s="168">
        <v>43442.0</v>
      </c>
      <c r="F2877" s="21" t="str">
        <f t="shared" si="227"/>
        <v>Dec-2018</v>
      </c>
      <c r="G2877" s="299" t="s">
        <v>222</v>
      </c>
      <c r="H2877" s="16" t="s">
        <v>35</v>
      </c>
      <c r="I2877" s="16" t="s">
        <v>933</v>
      </c>
      <c r="J2877" s="16" t="s">
        <v>23</v>
      </c>
      <c r="K2877" s="16" t="s">
        <v>9</v>
      </c>
      <c r="L2877" s="16" t="s">
        <v>30</v>
      </c>
      <c r="M2877" s="16"/>
      <c r="N2877" s="16" t="s">
        <v>98</v>
      </c>
      <c r="O2877" s="101"/>
      <c r="P2877" s="101"/>
      <c r="Q2877" s="102"/>
    </row>
    <row r="2878">
      <c r="A2878" s="140"/>
      <c r="B2878" s="134" t="s">
        <v>1063</v>
      </c>
      <c r="C2878" s="134" t="s">
        <v>84</v>
      </c>
      <c r="D2878" s="133" t="s">
        <v>1062</v>
      </c>
      <c r="E2878" s="168">
        <v>43442.0</v>
      </c>
      <c r="F2878" s="21" t="str">
        <f t="shared" si="227"/>
        <v>Dec-2018</v>
      </c>
      <c r="G2878" s="300" t="s">
        <v>146</v>
      </c>
      <c r="H2878" s="25" t="s">
        <v>35</v>
      </c>
      <c r="I2878" s="25" t="s">
        <v>407</v>
      </c>
      <c r="J2878" s="25" t="s">
        <v>44</v>
      </c>
      <c r="K2878" s="25" t="s">
        <v>9</v>
      </c>
      <c r="L2878" s="25" t="s">
        <v>30</v>
      </c>
      <c r="M2878" s="25" t="s">
        <v>30</v>
      </c>
      <c r="N2878" s="25" t="s">
        <v>98</v>
      </c>
      <c r="Q2878" s="99"/>
    </row>
    <row r="2879">
      <c r="A2879" s="140"/>
      <c r="B2879" s="134" t="s">
        <v>1063</v>
      </c>
      <c r="C2879" s="134" t="s">
        <v>84</v>
      </c>
      <c r="D2879" s="133" t="s">
        <v>1062</v>
      </c>
      <c r="E2879" s="168">
        <v>43442.0</v>
      </c>
      <c r="F2879" s="21" t="str">
        <f t="shared" si="227"/>
        <v>Dec-2018</v>
      </c>
      <c r="G2879" s="300" t="s">
        <v>149</v>
      </c>
      <c r="H2879" s="25" t="s">
        <v>35</v>
      </c>
      <c r="I2879" s="25" t="s">
        <v>407</v>
      </c>
      <c r="J2879" s="25" t="s">
        <v>44</v>
      </c>
      <c r="K2879" s="25" t="s">
        <v>9</v>
      </c>
      <c r="L2879" s="25" t="s">
        <v>24</v>
      </c>
      <c r="M2879" s="25"/>
      <c r="N2879" s="25" t="s">
        <v>69</v>
      </c>
      <c r="Q2879" s="99"/>
    </row>
    <row r="2880">
      <c r="A2880" s="140"/>
      <c r="B2880" s="134" t="s">
        <v>1063</v>
      </c>
      <c r="C2880" s="134" t="s">
        <v>84</v>
      </c>
      <c r="D2880" s="133" t="s">
        <v>1062</v>
      </c>
      <c r="E2880" s="168">
        <v>43442.0</v>
      </c>
      <c r="F2880" s="21" t="str">
        <f t="shared" si="227"/>
        <v>Dec-2018</v>
      </c>
      <c r="G2880" s="300" t="s">
        <v>222</v>
      </c>
      <c r="H2880" s="25" t="s">
        <v>35</v>
      </c>
      <c r="I2880" s="25" t="s">
        <v>407</v>
      </c>
      <c r="J2880" s="25" t="s">
        <v>44</v>
      </c>
      <c r="K2880" s="25" t="s">
        <v>9</v>
      </c>
      <c r="L2880" s="25" t="s">
        <v>30</v>
      </c>
      <c r="M2880" s="25"/>
      <c r="N2880" s="25" t="s">
        <v>106</v>
      </c>
      <c r="Q2880" s="99"/>
    </row>
    <row r="2881">
      <c r="A2881" s="140"/>
      <c r="B2881" s="134" t="s">
        <v>1063</v>
      </c>
      <c r="C2881" s="134" t="s">
        <v>84</v>
      </c>
      <c r="D2881" s="133" t="s">
        <v>1062</v>
      </c>
      <c r="E2881" s="168">
        <v>43442.0</v>
      </c>
      <c r="F2881" s="21" t="str">
        <f t="shared" si="227"/>
        <v>Dec-2018</v>
      </c>
      <c r="G2881" s="300" t="s">
        <v>467</v>
      </c>
      <c r="H2881" s="25" t="s">
        <v>35</v>
      </c>
      <c r="I2881" s="25" t="s">
        <v>407</v>
      </c>
      <c r="J2881" s="25" t="s">
        <v>44</v>
      </c>
      <c r="K2881" s="25" t="s">
        <v>9</v>
      </c>
      <c r="L2881" s="25" t="s">
        <v>30</v>
      </c>
      <c r="M2881" s="25"/>
      <c r="N2881" s="25" t="s">
        <v>29</v>
      </c>
      <c r="Q2881" s="99"/>
    </row>
    <row r="2882">
      <c r="A2882" s="140"/>
      <c r="B2882" s="134" t="s">
        <v>1063</v>
      </c>
      <c r="C2882" s="134" t="s">
        <v>84</v>
      </c>
      <c r="D2882" s="133" t="s">
        <v>1062</v>
      </c>
      <c r="E2882" s="168">
        <v>43442.0</v>
      </c>
      <c r="F2882" s="21" t="str">
        <f t="shared" si="227"/>
        <v>Dec-2018</v>
      </c>
      <c r="G2882" s="309" t="s">
        <v>146</v>
      </c>
      <c r="H2882" s="16" t="s">
        <v>35</v>
      </c>
      <c r="I2882" s="16" t="s">
        <v>407</v>
      </c>
      <c r="J2882" s="16" t="s">
        <v>44</v>
      </c>
      <c r="K2882" s="16" t="s">
        <v>9</v>
      </c>
      <c r="L2882" s="16" t="s">
        <v>24</v>
      </c>
      <c r="M2882" s="16" t="s">
        <v>24</v>
      </c>
      <c r="N2882" s="16" t="s">
        <v>69</v>
      </c>
      <c r="O2882" s="101"/>
      <c r="P2882" s="101"/>
      <c r="Q2882" s="102"/>
    </row>
    <row r="2883">
      <c r="A2883" s="140"/>
      <c r="B2883" s="134" t="s">
        <v>1063</v>
      </c>
      <c r="C2883" s="134" t="s">
        <v>84</v>
      </c>
      <c r="D2883" s="133" t="s">
        <v>1062</v>
      </c>
      <c r="E2883" s="168">
        <v>43442.0</v>
      </c>
      <c r="F2883" s="21" t="str">
        <f t="shared" si="227"/>
        <v>Dec-2018</v>
      </c>
      <c r="G2883" s="299" t="s">
        <v>149</v>
      </c>
      <c r="H2883" s="16" t="s">
        <v>35</v>
      </c>
      <c r="I2883" s="16" t="s">
        <v>407</v>
      </c>
      <c r="J2883" s="16" t="s">
        <v>44</v>
      </c>
      <c r="K2883" s="16" t="s">
        <v>9</v>
      </c>
      <c r="L2883" s="16" t="s">
        <v>24</v>
      </c>
      <c r="M2883" s="16"/>
      <c r="N2883" s="16" t="s">
        <v>106</v>
      </c>
      <c r="O2883" s="101"/>
      <c r="P2883" s="101"/>
      <c r="Q2883" s="102"/>
    </row>
    <row r="2884">
      <c r="A2884" s="141"/>
      <c r="B2884" s="134" t="s">
        <v>1063</v>
      </c>
      <c r="C2884" s="134" t="s">
        <v>84</v>
      </c>
      <c r="D2884" s="133" t="s">
        <v>1062</v>
      </c>
      <c r="E2884" s="168">
        <v>43442.0</v>
      </c>
      <c r="F2884" s="21" t="str">
        <f t="shared" si="227"/>
        <v>Dec-2018</v>
      </c>
      <c r="G2884" s="309" t="s">
        <v>222</v>
      </c>
      <c r="H2884" s="38" t="s">
        <v>35</v>
      </c>
      <c r="I2884" s="38" t="s">
        <v>407</v>
      </c>
      <c r="J2884" s="38" t="s">
        <v>44</v>
      </c>
      <c r="K2884" s="38" t="s">
        <v>9</v>
      </c>
      <c r="L2884" s="38" t="s">
        <v>24</v>
      </c>
      <c r="M2884" s="38"/>
      <c r="N2884" s="38" t="s">
        <v>37</v>
      </c>
      <c r="O2884" s="105"/>
      <c r="P2884" s="105"/>
      <c r="Q2884" s="106"/>
    </row>
    <row r="2885">
      <c r="A2885" s="94"/>
      <c r="G2885" s="310"/>
    </row>
    <row r="2886">
      <c r="A2886" s="133" t="s">
        <v>1069</v>
      </c>
      <c r="B2886" s="134" t="s">
        <v>711</v>
      </c>
      <c r="C2886" s="134" t="s">
        <v>84</v>
      </c>
      <c r="D2886" s="133" t="s">
        <v>1069</v>
      </c>
      <c r="E2886" s="168">
        <v>43463.0</v>
      </c>
      <c r="F2886" s="21" t="str">
        <f t="shared" ref="F2886:F2898" si="228">TEXT(E2878:E2886, "mmm") &amp; "-" &amp; TEXT(E2878:E2886, "yyyy") </f>
        <v>Dec-2018</v>
      </c>
      <c r="G2886" s="300" t="s">
        <v>20</v>
      </c>
      <c r="H2886" s="73" t="s">
        <v>35</v>
      </c>
      <c r="I2886" s="73" t="s">
        <v>100</v>
      </c>
      <c r="J2886" s="73" t="s">
        <v>9</v>
      </c>
      <c r="K2886" s="73" t="s">
        <v>9</v>
      </c>
      <c r="L2886" s="73" t="s">
        <v>30</v>
      </c>
      <c r="M2886" s="73" t="s">
        <v>30</v>
      </c>
      <c r="N2886" s="73" t="s">
        <v>69</v>
      </c>
      <c r="O2886" s="165"/>
      <c r="P2886" s="165"/>
      <c r="Q2886" s="166"/>
    </row>
    <row r="2887">
      <c r="A2887" s="134" t="s">
        <v>711</v>
      </c>
      <c r="B2887" s="134" t="s">
        <v>711</v>
      </c>
      <c r="C2887" s="134" t="s">
        <v>84</v>
      </c>
      <c r="D2887" s="133" t="s">
        <v>1069</v>
      </c>
      <c r="E2887" s="168">
        <v>43463.0</v>
      </c>
      <c r="F2887" s="21" t="str">
        <f t="shared" si="228"/>
        <v>Dec-2018</v>
      </c>
      <c r="G2887" t="s">
        <v>25</v>
      </c>
      <c r="H2887" s="25" t="s">
        <v>35</v>
      </c>
      <c r="I2887" s="25" t="s">
        <v>100</v>
      </c>
      <c r="J2887" s="25" t="s">
        <v>9</v>
      </c>
      <c r="K2887" s="25" t="s">
        <v>9</v>
      </c>
      <c r="L2887" s="25" t="s">
        <v>30</v>
      </c>
      <c r="M2887" s="25"/>
      <c r="N2887" s="25" t="s">
        <v>106</v>
      </c>
      <c r="Q2887" s="99"/>
    </row>
    <row r="2888">
      <c r="A2888" s="134" t="s">
        <v>931</v>
      </c>
      <c r="B2888" s="134" t="s">
        <v>711</v>
      </c>
      <c r="C2888" s="134" t="s">
        <v>84</v>
      </c>
      <c r="D2888" s="133" t="s">
        <v>1069</v>
      </c>
      <c r="E2888" s="168">
        <v>43463.0</v>
      </c>
      <c r="F2888" s="21" t="str">
        <f t="shared" si="228"/>
        <v>Dec-2018</v>
      </c>
      <c r="G2888" s="299" t="s">
        <v>20</v>
      </c>
      <c r="H2888" s="16" t="s">
        <v>35</v>
      </c>
      <c r="I2888" s="16" t="s">
        <v>239</v>
      </c>
      <c r="J2888" s="16" t="s">
        <v>27</v>
      </c>
      <c r="K2888" s="16" t="s">
        <v>9</v>
      </c>
      <c r="L2888" s="16" t="s">
        <v>24</v>
      </c>
      <c r="M2888" s="16" t="s">
        <v>24</v>
      </c>
      <c r="N2888" s="16" t="s">
        <v>69</v>
      </c>
      <c r="O2888" s="101"/>
      <c r="P2888" s="101"/>
      <c r="Q2888" s="102"/>
    </row>
    <row r="2889">
      <c r="A2889" s="168">
        <v>43463.0</v>
      </c>
      <c r="B2889" s="134" t="s">
        <v>711</v>
      </c>
      <c r="C2889" s="134" t="s">
        <v>84</v>
      </c>
      <c r="D2889" s="133" t="s">
        <v>1069</v>
      </c>
      <c r="E2889" s="168">
        <v>43463.0</v>
      </c>
      <c r="F2889" s="21" t="str">
        <f t="shared" si="228"/>
        <v>Dec-2018</v>
      </c>
      <c r="G2889" s="101" t="s">
        <v>25</v>
      </c>
      <c r="H2889" s="16" t="s">
        <v>35</v>
      </c>
      <c r="I2889" s="16" t="s">
        <v>239</v>
      </c>
      <c r="J2889" s="16" t="s">
        <v>27</v>
      </c>
      <c r="K2889" s="16" t="s">
        <v>9</v>
      </c>
      <c r="L2889" s="16" t="s">
        <v>24</v>
      </c>
      <c r="M2889" s="16"/>
      <c r="N2889" s="16" t="s">
        <v>106</v>
      </c>
      <c r="O2889" s="101"/>
      <c r="P2889" s="101"/>
      <c r="Q2889" s="102"/>
    </row>
    <row r="2890">
      <c r="A2890" s="134" t="s">
        <v>84</v>
      </c>
      <c r="B2890" s="134" t="s">
        <v>711</v>
      </c>
      <c r="C2890" s="134" t="s">
        <v>84</v>
      </c>
      <c r="D2890" s="133" t="s">
        <v>1069</v>
      </c>
      <c r="E2890" s="168">
        <v>43463.0</v>
      </c>
      <c r="F2890" s="21" t="str">
        <f t="shared" si="228"/>
        <v>Dec-2018</v>
      </c>
      <c r="G2890" s="300" t="s">
        <v>20</v>
      </c>
      <c r="H2890" s="25" t="s">
        <v>35</v>
      </c>
      <c r="I2890" s="25" t="s">
        <v>1070</v>
      </c>
      <c r="J2890" s="25" t="s">
        <v>86</v>
      </c>
      <c r="K2890" s="25" t="s">
        <v>9</v>
      </c>
      <c r="L2890" s="25" t="s">
        <v>30</v>
      </c>
      <c r="M2890" s="25" t="s">
        <v>30</v>
      </c>
      <c r="N2890" s="25" t="s">
        <v>69</v>
      </c>
      <c r="Q2890" s="99"/>
    </row>
    <row r="2891">
      <c r="A2891" s="176" t="s">
        <v>1071</v>
      </c>
      <c r="B2891" s="134" t="s">
        <v>711</v>
      </c>
      <c r="C2891" s="134" t="s">
        <v>84</v>
      </c>
      <c r="D2891" s="133" t="s">
        <v>1069</v>
      </c>
      <c r="E2891" s="168">
        <v>43463.0</v>
      </c>
      <c r="F2891" s="21" t="str">
        <f t="shared" si="228"/>
        <v>Dec-2018</v>
      </c>
      <c r="G2891" s="32" t="s">
        <v>25</v>
      </c>
      <c r="H2891" s="25" t="s">
        <v>35</v>
      </c>
      <c r="I2891" s="25" t="s">
        <v>1070</v>
      </c>
      <c r="J2891" s="25" t="s">
        <v>86</v>
      </c>
      <c r="K2891" s="25" t="s">
        <v>9</v>
      </c>
      <c r="L2891" s="25" t="s">
        <v>30</v>
      </c>
      <c r="M2891" s="25"/>
      <c r="N2891" s="25" t="s">
        <v>37</v>
      </c>
      <c r="Q2891" s="99"/>
    </row>
    <row r="2892">
      <c r="A2892" s="140"/>
      <c r="B2892" s="134" t="s">
        <v>711</v>
      </c>
      <c r="C2892" s="134" t="s">
        <v>84</v>
      </c>
      <c r="D2892" s="133" t="s">
        <v>1069</v>
      </c>
      <c r="E2892" s="168">
        <v>43463.0</v>
      </c>
      <c r="F2892" s="21" t="str">
        <f t="shared" si="228"/>
        <v>Dec-2018</v>
      </c>
      <c r="G2892" s="299" t="s">
        <v>20</v>
      </c>
      <c r="H2892" s="16" t="s">
        <v>35</v>
      </c>
      <c r="I2892" s="16" t="s">
        <v>1072</v>
      </c>
      <c r="J2892" s="16" t="s">
        <v>27</v>
      </c>
      <c r="K2892" s="16" t="s">
        <v>9</v>
      </c>
      <c r="L2892" s="16" t="s">
        <v>30</v>
      </c>
      <c r="M2892" s="16" t="s">
        <v>30</v>
      </c>
      <c r="N2892" s="16" t="s">
        <v>98</v>
      </c>
      <c r="O2892" s="101"/>
      <c r="P2892" s="101"/>
      <c r="Q2892" s="102"/>
    </row>
    <row r="2893">
      <c r="A2893" s="140"/>
      <c r="B2893" s="134" t="s">
        <v>711</v>
      </c>
      <c r="C2893" s="134" t="s">
        <v>84</v>
      </c>
      <c r="D2893" s="133" t="s">
        <v>1069</v>
      </c>
      <c r="E2893" s="168">
        <v>43463.0</v>
      </c>
      <c r="F2893" s="21" t="str">
        <f t="shared" si="228"/>
        <v>Dec-2018</v>
      </c>
      <c r="G2893" s="19" t="s">
        <v>25</v>
      </c>
      <c r="H2893" s="16" t="s">
        <v>35</v>
      </c>
      <c r="I2893" s="16" t="s">
        <v>1072</v>
      </c>
      <c r="J2893" s="16" t="s">
        <v>27</v>
      </c>
      <c r="K2893" s="16" t="s">
        <v>9</v>
      </c>
      <c r="L2893" s="16" t="s">
        <v>30</v>
      </c>
      <c r="M2893" s="16"/>
      <c r="N2893" s="16" t="s">
        <v>29</v>
      </c>
      <c r="O2893" s="101"/>
      <c r="P2893" s="101"/>
      <c r="Q2893" s="102"/>
    </row>
    <row r="2894">
      <c r="A2894" s="140"/>
      <c r="B2894" s="134" t="s">
        <v>711</v>
      </c>
      <c r="C2894" s="134" t="s">
        <v>84</v>
      </c>
      <c r="D2894" s="133" t="s">
        <v>1069</v>
      </c>
      <c r="E2894" s="168">
        <v>43463.0</v>
      </c>
      <c r="F2894" s="21" t="str">
        <f t="shared" si="228"/>
        <v>Dec-2018</v>
      </c>
      <c r="G2894" s="300" t="s">
        <v>20</v>
      </c>
      <c r="H2894" s="25" t="s">
        <v>35</v>
      </c>
      <c r="I2894" s="25" t="s">
        <v>111</v>
      </c>
      <c r="J2894" s="25" t="s">
        <v>9</v>
      </c>
      <c r="K2894" s="25" t="s">
        <v>9</v>
      </c>
      <c r="L2894" s="25" t="s">
        <v>30</v>
      </c>
      <c r="M2894" s="25" t="s">
        <v>30</v>
      </c>
      <c r="N2894" s="25" t="s">
        <v>69</v>
      </c>
      <c r="Q2894" s="99"/>
    </row>
    <row r="2895">
      <c r="A2895" s="140"/>
      <c r="B2895" s="134" t="s">
        <v>711</v>
      </c>
      <c r="C2895" s="134" t="s">
        <v>84</v>
      </c>
      <c r="D2895" s="133" t="s">
        <v>1069</v>
      </c>
      <c r="E2895" s="168">
        <v>43463.0</v>
      </c>
      <c r="F2895" s="21" t="str">
        <f t="shared" si="228"/>
        <v>Dec-2018</v>
      </c>
      <c r="G2895" s="32" t="s">
        <v>25</v>
      </c>
      <c r="H2895" s="25" t="s">
        <v>35</v>
      </c>
      <c r="I2895" s="25" t="s">
        <v>111</v>
      </c>
      <c r="J2895" s="25" t="s">
        <v>9</v>
      </c>
      <c r="K2895" s="25" t="s">
        <v>9</v>
      </c>
      <c r="L2895" s="25" t="s">
        <v>30</v>
      </c>
      <c r="M2895" s="25"/>
      <c r="N2895" s="25" t="s">
        <v>106</v>
      </c>
      <c r="Q2895" s="99"/>
    </row>
    <row r="2896">
      <c r="A2896" s="140"/>
      <c r="B2896" s="134" t="s">
        <v>711</v>
      </c>
      <c r="C2896" s="134" t="s">
        <v>84</v>
      </c>
      <c r="D2896" s="133" t="s">
        <v>1069</v>
      </c>
      <c r="E2896" s="168">
        <v>43463.0</v>
      </c>
      <c r="F2896" s="21" t="str">
        <f t="shared" si="228"/>
        <v>Dec-2018</v>
      </c>
      <c r="G2896" s="299" t="s">
        <v>20</v>
      </c>
      <c r="H2896" s="16" t="s">
        <v>35</v>
      </c>
      <c r="I2896" s="16" t="s">
        <v>184</v>
      </c>
      <c r="J2896" s="16" t="s">
        <v>9</v>
      </c>
      <c r="K2896" s="16" t="s">
        <v>9</v>
      </c>
      <c r="L2896" s="16" t="s">
        <v>24</v>
      </c>
      <c r="M2896" s="16" t="s">
        <v>24</v>
      </c>
      <c r="N2896" s="16" t="s">
        <v>69</v>
      </c>
      <c r="O2896" s="101"/>
      <c r="P2896" s="101"/>
      <c r="Q2896" s="102"/>
    </row>
    <row r="2897">
      <c r="A2897" s="140"/>
      <c r="B2897" s="134" t="s">
        <v>711</v>
      </c>
      <c r="C2897" s="134" t="s">
        <v>84</v>
      </c>
      <c r="D2897" s="133" t="s">
        <v>1069</v>
      </c>
      <c r="E2897" s="168">
        <v>43463.0</v>
      </c>
      <c r="F2897" s="21" t="str">
        <f t="shared" si="228"/>
        <v>Dec-2018</v>
      </c>
      <c r="G2897" s="19" t="s">
        <v>25</v>
      </c>
      <c r="H2897" s="16" t="s">
        <v>35</v>
      </c>
      <c r="I2897" s="16" t="s">
        <v>184</v>
      </c>
      <c r="J2897" s="16" t="s">
        <v>9</v>
      </c>
      <c r="K2897" s="16" t="s">
        <v>9</v>
      </c>
      <c r="L2897" s="16" t="s">
        <v>30</v>
      </c>
      <c r="M2897" s="16"/>
      <c r="N2897" s="16" t="s">
        <v>69</v>
      </c>
      <c r="O2897" s="101"/>
      <c r="P2897" s="101"/>
      <c r="Q2897" s="102"/>
    </row>
    <row r="2898">
      <c r="A2898" s="141"/>
      <c r="B2898" s="134" t="s">
        <v>711</v>
      </c>
      <c r="C2898" s="134" t="s">
        <v>84</v>
      </c>
      <c r="D2898" s="133" t="s">
        <v>1069</v>
      </c>
      <c r="E2898" s="168">
        <v>43463.0</v>
      </c>
      <c r="F2898" s="21" t="str">
        <f t="shared" si="228"/>
        <v>Dec-2018</v>
      </c>
      <c r="G2898" s="39" t="s">
        <v>32</v>
      </c>
      <c r="H2898" s="38" t="s">
        <v>35</v>
      </c>
      <c r="I2898" s="38" t="s">
        <v>184</v>
      </c>
      <c r="J2898" s="38" t="s">
        <v>9</v>
      </c>
      <c r="K2898" s="38" t="s">
        <v>9</v>
      </c>
      <c r="L2898" s="38" t="s">
        <v>24</v>
      </c>
      <c r="M2898" s="38"/>
      <c r="N2898" s="38" t="s">
        <v>69</v>
      </c>
      <c r="O2898" s="105"/>
      <c r="P2898" s="105"/>
      <c r="Q2898" s="106"/>
    </row>
    <row r="2899">
      <c r="A2899" s="94"/>
    </row>
    <row r="2900">
      <c r="A2900" s="133" t="s">
        <v>1073</v>
      </c>
      <c r="B2900" s="311" t="s">
        <v>34</v>
      </c>
      <c r="C2900" s="134" t="s">
        <v>74</v>
      </c>
      <c r="D2900" s="278" t="s">
        <v>1073</v>
      </c>
      <c r="E2900" s="312">
        <v>43475.0</v>
      </c>
      <c r="F2900" s="70" t="str">
        <f t="shared" ref="F2900:F2911" si="229">TEXT(E2892:E2900, "mmm") &amp; "-" &amp; TEXT(E2892:E2900, "yyyy") </f>
        <v>Jan-2019</v>
      </c>
      <c r="G2900" s="165" t="s">
        <v>20</v>
      </c>
      <c r="H2900" s="73" t="s">
        <v>35</v>
      </c>
      <c r="I2900" s="73" t="s">
        <v>655</v>
      </c>
      <c r="J2900" s="73" t="s">
        <v>86</v>
      </c>
      <c r="K2900" s="73" t="s">
        <v>9</v>
      </c>
      <c r="L2900" s="73" t="s">
        <v>30</v>
      </c>
      <c r="M2900" s="73" t="s">
        <v>30</v>
      </c>
      <c r="N2900" s="73" t="s">
        <v>99</v>
      </c>
      <c r="O2900" s="165"/>
      <c r="P2900" s="165"/>
      <c r="Q2900" s="166"/>
    </row>
    <row r="2901">
      <c r="A2901" s="311" t="s">
        <v>34</v>
      </c>
      <c r="B2901" s="311" t="s">
        <v>34</v>
      </c>
      <c r="C2901" s="134" t="s">
        <v>74</v>
      </c>
      <c r="D2901" s="279" t="s">
        <v>1073</v>
      </c>
      <c r="E2901" s="306">
        <v>43475.0</v>
      </c>
      <c r="F2901" s="21" t="str">
        <f t="shared" si="229"/>
        <v>Jan-2019</v>
      </c>
      <c r="G2901" t="s">
        <v>25</v>
      </c>
      <c r="H2901" s="25" t="s">
        <v>35</v>
      </c>
      <c r="I2901" s="25" t="s">
        <v>655</v>
      </c>
      <c r="J2901" s="25" t="s">
        <v>86</v>
      </c>
      <c r="K2901" s="25" t="s">
        <v>9</v>
      </c>
      <c r="L2901" s="25" t="s">
        <v>24</v>
      </c>
      <c r="M2901" s="25"/>
      <c r="N2901" s="25" t="s">
        <v>37</v>
      </c>
      <c r="Q2901" s="99"/>
    </row>
    <row r="2902">
      <c r="A2902" s="134" t="s">
        <v>1074</v>
      </c>
      <c r="B2902" s="311" t="s">
        <v>34</v>
      </c>
      <c r="C2902" s="134" t="s">
        <v>74</v>
      </c>
      <c r="D2902" s="279" t="s">
        <v>1073</v>
      </c>
      <c r="E2902" s="306">
        <v>43475.0</v>
      </c>
      <c r="F2902" s="21" t="str">
        <f t="shared" si="229"/>
        <v>Jan-2019</v>
      </c>
      <c r="G2902" t="s">
        <v>32</v>
      </c>
      <c r="H2902" s="25" t="s">
        <v>35</v>
      </c>
      <c r="I2902" s="25" t="s">
        <v>655</v>
      </c>
      <c r="J2902" s="25" t="s">
        <v>86</v>
      </c>
      <c r="K2902" s="25" t="s">
        <v>9</v>
      </c>
      <c r="L2902" s="25" t="s">
        <v>30</v>
      </c>
      <c r="M2902" s="25"/>
      <c r="N2902" s="25" t="s">
        <v>69</v>
      </c>
      <c r="Q2902" s="99"/>
    </row>
    <row r="2903">
      <c r="A2903" s="155">
        <v>43475.0</v>
      </c>
      <c r="B2903" s="311" t="s">
        <v>34</v>
      </c>
      <c r="C2903" s="134" t="s">
        <v>74</v>
      </c>
      <c r="D2903" s="279" t="s">
        <v>1073</v>
      </c>
      <c r="E2903" s="306">
        <v>43475.0</v>
      </c>
      <c r="F2903" s="21" t="str">
        <f t="shared" si="229"/>
        <v>Jan-2019</v>
      </c>
      <c r="G2903" s="101" t="s">
        <v>20</v>
      </c>
      <c r="H2903" s="16" t="s">
        <v>35</v>
      </c>
      <c r="I2903" s="16" t="s">
        <v>394</v>
      </c>
      <c r="J2903" s="16" t="s">
        <v>27</v>
      </c>
      <c r="K2903" s="16" t="s">
        <v>9</v>
      </c>
      <c r="L2903" s="16" t="s">
        <v>24</v>
      </c>
      <c r="M2903" s="16" t="s">
        <v>24</v>
      </c>
      <c r="N2903" s="16" t="s">
        <v>37</v>
      </c>
      <c r="O2903" s="101"/>
      <c r="P2903" s="101"/>
      <c r="Q2903" s="102"/>
    </row>
    <row r="2904">
      <c r="A2904" s="134" t="s">
        <v>74</v>
      </c>
      <c r="B2904" s="311" t="s">
        <v>34</v>
      </c>
      <c r="C2904" s="134" t="s">
        <v>74</v>
      </c>
      <c r="D2904" s="279" t="s">
        <v>1073</v>
      </c>
      <c r="E2904" s="306">
        <v>43475.0</v>
      </c>
      <c r="F2904" s="21" t="str">
        <f t="shared" si="229"/>
        <v>Jan-2019</v>
      </c>
      <c r="G2904" s="101" t="s">
        <v>25</v>
      </c>
      <c r="H2904" s="16" t="s">
        <v>35</v>
      </c>
      <c r="I2904" s="16" t="s">
        <v>394</v>
      </c>
      <c r="J2904" s="16" t="s">
        <v>27</v>
      </c>
      <c r="K2904" s="16" t="s">
        <v>9</v>
      </c>
      <c r="L2904" s="16" t="s">
        <v>24</v>
      </c>
      <c r="M2904" s="16"/>
      <c r="N2904" s="16" t="s">
        <v>106</v>
      </c>
      <c r="O2904" s="101"/>
      <c r="P2904" s="101"/>
      <c r="Q2904" s="102"/>
    </row>
    <row r="2905">
      <c r="A2905" s="176" t="s">
        <v>1075</v>
      </c>
      <c r="B2905" s="311" t="s">
        <v>34</v>
      </c>
      <c r="C2905" s="134" t="s">
        <v>74</v>
      </c>
      <c r="D2905" s="279" t="s">
        <v>1073</v>
      </c>
      <c r="E2905" s="306">
        <v>43475.0</v>
      </c>
      <c r="F2905" s="21" t="str">
        <f t="shared" si="229"/>
        <v>Jan-2019</v>
      </c>
      <c r="G2905" t="s">
        <v>20</v>
      </c>
      <c r="H2905" s="25" t="s">
        <v>35</v>
      </c>
      <c r="I2905" s="25" t="s">
        <v>726</v>
      </c>
      <c r="J2905" s="25" t="s">
        <v>216</v>
      </c>
      <c r="K2905" s="25" t="s">
        <v>9</v>
      </c>
      <c r="L2905" s="25" t="s">
        <v>30</v>
      </c>
      <c r="M2905" s="25" t="s">
        <v>30</v>
      </c>
      <c r="N2905" s="25" t="s">
        <v>37</v>
      </c>
      <c r="Q2905" s="99"/>
    </row>
    <row r="2906">
      <c r="A2906" s="134" t="s">
        <v>1076</v>
      </c>
      <c r="B2906" s="311" t="s">
        <v>34</v>
      </c>
      <c r="C2906" s="134" t="s">
        <v>74</v>
      </c>
      <c r="D2906" s="279" t="s">
        <v>1073</v>
      </c>
      <c r="E2906" s="306">
        <v>43475.0</v>
      </c>
      <c r="F2906" s="21" t="str">
        <f t="shared" si="229"/>
        <v>Jan-2019</v>
      </c>
      <c r="G2906" t="s">
        <v>25</v>
      </c>
      <c r="H2906" s="25" t="s">
        <v>35</v>
      </c>
      <c r="I2906" s="25" t="s">
        <v>726</v>
      </c>
      <c r="J2906" s="25" t="s">
        <v>216</v>
      </c>
      <c r="K2906" s="25" t="s">
        <v>9</v>
      </c>
      <c r="L2906" s="25" t="s">
        <v>30</v>
      </c>
      <c r="M2906" s="25"/>
      <c r="N2906" s="25" t="s">
        <v>106</v>
      </c>
      <c r="Q2906" s="99"/>
    </row>
    <row r="2907">
      <c r="A2907" s="176" t="s">
        <v>1077</v>
      </c>
      <c r="B2907" s="311" t="s">
        <v>34</v>
      </c>
      <c r="C2907" s="134" t="s">
        <v>74</v>
      </c>
      <c r="D2907" s="279" t="s">
        <v>1073</v>
      </c>
      <c r="E2907" s="306">
        <v>43475.0</v>
      </c>
      <c r="F2907" s="21" t="str">
        <f t="shared" si="229"/>
        <v>Jan-2019</v>
      </c>
      <c r="G2907" s="101" t="s">
        <v>146</v>
      </c>
      <c r="H2907" s="16" t="s">
        <v>35</v>
      </c>
      <c r="I2907" s="16" t="s">
        <v>493</v>
      </c>
      <c r="J2907" s="16" t="s">
        <v>44</v>
      </c>
      <c r="K2907" s="16" t="s">
        <v>9</v>
      </c>
      <c r="L2907" s="16" t="s">
        <v>30</v>
      </c>
      <c r="M2907" s="16" t="s">
        <v>24</v>
      </c>
      <c r="N2907" s="16" t="s">
        <v>98</v>
      </c>
      <c r="O2907" s="101"/>
      <c r="P2907" s="101"/>
      <c r="Q2907" s="102"/>
    </row>
    <row r="2908">
      <c r="A2908" s="140"/>
      <c r="B2908" s="311" t="s">
        <v>34</v>
      </c>
      <c r="C2908" s="134" t="s">
        <v>74</v>
      </c>
      <c r="D2908" s="279" t="s">
        <v>1073</v>
      </c>
      <c r="E2908" s="306">
        <v>43475.0</v>
      </c>
      <c r="F2908" s="21" t="str">
        <f t="shared" si="229"/>
        <v>Jan-2019</v>
      </c>
      <c r="G2908" s="101" t="s">
        <v>149</v>
      </c>
      <c r="H2908" s="16" t="s">
        <v>35</v>
      </c>
      <c r="I2908" s="16" t="s">
        <v>493</v>
      </c>
      <c r="J2908" s="16" t="s">
        <v>44</v>
      </c>
      <c r="K2908" s="16" t="s">
        <v>9</v>
      </c>
      <c r="L2908" s="16" t="s">
        <v>30</v>
      </c>
      <c r="M2908" s="16"/>
      <c r="N2908" s="16" t="s">
        <v>29</v>
      </c>
      <c r="O2908" s="101"/>
      <c r="P2908" s="101"/>
      <c r="Q2908" s="102"/>
    </row>
    <row r="2909">
      <c r="A2909" s="140"/>
      <c r="B2909" s="311" t="s">
        <v>34</v>
      </c>
      <c r="C2909" s="134" t="s">
        <v>74</v>
      </c>
      <c r="D2909" s="279" t="s">
        <v>1073</v>
      </c>
      <c r="E2909" s="306">
        <v>43475.0</v>
      </c>
      <c r="F2909" s="21" t="str">
        <f t="shared" si="229"/>
        <v>Jan-2019</v>
      </c>
      <c r="G2909" s="101" t="s">
        <v>222</v>
      </c>
      <c r="H2909" s="16" t="s">
        <v>35</v>
      </c>
      <c r="I2909" s="16" t="s">
        <v>493</v>
      </c>
      <c r="J2909" s="16" t="s">
        <v>44</v>
      </c>
      <c r="K2909" s="16" t="s">
        <v>9</v>
      </c>
      <c r="L2909" s="16" t="s">
        <v>24</v>
      </c>
      <c r="M2909" s="16"/>
      <c r="N2909" s="16" t="s">
        <v>29</v>
      </c>
      <c r="O2909" s="101"/>
      <c r="P2909" s="101"/>
      <c r="Q2909" s="102"/>
    </row>
    <row r="2910">
      <c r="A2910" s="140"/>
      <c r="B2910" s="311" t="s">
        <v>34</v>
      </c>
      <c r="C2910" s="134" t="s">
        <v>74</v>
      </c>
      <c r="D2910" s="279" t="s">
        <v>1073</v>
      </c>
      <c r="E2910" s="306">
        <v>43475.0</v>
      </c>
      <c r="F2910" s="21" t="str">
        <f t="shared" si="229"/>
        <v>Jan-2019</v>
      </c>
      <c r="G2910" s="101" t="s">
        <v>467</v>
      </c>
      <c r="H2910" s="16" t="s">
        <v>35</v>
      </c>
      <c r="I2910" s="16" t="s">
        <v>493</v>
      </c>
      <c r="J2910" s="16" t="s">
        <v>44</v>
      </c>
      <c r="K2910" s="16" t="s">
        <v>9</v>
      </c>
      <c r="L2910" s="16" t="s">
        <v>24</v>
      </c>
      <c r="M2910" s="16"/>
      <c r="N2910" s="16" t="s">
        <v>37</v>
      </c>
      <c r="O2910" s="101"/>
      <c r="P2910" s="101"/>
      <c r="Q2910" s="102"/>
    </row>
    <row r="2911">
      <c r="A2911" s="141"/>
      <c r="B2911" s="311" t="s">
        <v>34</v>
      </c>
      <c r="C2911" s="134" t="s">
        <v>74</v>
      </c>
      <c r="D2911" s="280" t="s">
        <v>1073</v>
      </c>
      <c r="E2911" s="313">
        <v>43475.0</v>
      </c>
      <c r="F2911" s="51" t="str">
        <f t="shared" si="229"/>
        <v>Jan-2019</v>
      </c>
      <c r="G2911" s="265" t="s">
        <v>480</v>
      </c>
      <c r="H2911" s="38" t="s">
        <v>35</v>
      </c>
      <c r="I2911" s="38" t="s">
        <v>493</v>
      </c>
      <c r="J2911" s="38" t="s">
        <v>44</v>
      </c>
      <c r="K2911" s="38" t="s">
        <v>9</v>
      </c>
      <c r="L2911" s="38" t="s">
        <v>24</v>
      </c>
      <c r="M2911" s="38"/>
      <c r="N2911" s="38" t="s">
        <v>69</v>
      </c>
      <c r="O2911" s="105"/>
      <c r="P2911" s="105"/>
      <c r="Q2911" s="106"/>
    </row>
    <row r="2912">
      <c r="A2912" s="94"/>
    </row>
    <row r="2913">
      <c r="A2913" s="133" t="s">
        <v>1078</v>
      </c>
      <c r="B2913" s="134" t="s">
        <v>518</v>
      </c>
      <c r="C2913" s="134" t="s">
        <v>84</v>
      </c>
      <c r="D2913" s="278" t="s">
        <v>1078</v>
      </c>
      <c r="E2913" s="312">
        <v>43478.0</v>
      </c>
      <c r="F2913" s="70" t="str">
        <f t="shared" ref="F2913:F2932" si="230">TEXT(E2905:E2913, "mmm") &amp; "-" &amp; TEXT(E2905:E2913, "yyyy") </f>
        <v>Jan-2019</v>
      </c>
      <c r="G2913" s="165" t="s">
        <v>20</v>
      </c>
      <c r="H2913" s="73" t="s">
        <v>287</v>
      </c>
      <c r="I2913" s="73" t="s">
        <v>219</v>
      </c>
      <c r="J2913" s="73" t="s">
        <v>97</v>
      </c>
      <c r="K2913" s="73" t="s">
        <v>9</v>
      </c>
      <c r="L2913" s="73" t="s">
        <v>30</v>
      </c>
      <c r="M2913" s="73" t="s">
        <v>30</v>
      </c>
      <c r="N2913" s="73" t="s">
        <v>98</v>
      </c>
      <c r="O2913" s="165"/>
      <c r="P2913" s="165"/>
      <c r="Q2913" s="166"/>
    </row>
    <row r="2914">
      <c r="A2914" s="134" t="s">
        <v>518</v>
      </c>
      <c r="B2914" s="134" t="s">
        <v>518</v>
      </c>
      <c r="C2914" s="134" t="s">
        <v>84</v>
      </c>
      <c r="D2914" s="279" t="s">
        <v>1078</v>
      </c>
      <c r="E2914" s="306">
        <v>43478.0</v>
      </c>
      <c r="F2914" s="21" t="str">
        <f t="shared" si="230"/>
        <v>Jan-2019</v>
      </c>
      <c r="G2914" t="s">
        <v>25</v>
      </c>
      <c r="H2914" s="25" t="s">
        <v>287</v>
      </c>
      <c r="I2914" s="25" t="s">
        <v>219</v>
      </c>
      <c r="J2914" s="25" t="s">
        <v>97</v>
      </c>
      <c r="K2914" s="25" t="s">
        <v>9</v>
      </c>
      <c r="L2914" s="25" t="s">
        <v>30</v>
      </c>
      <c r="M2914" s="25"/>
      <c r="N2914" s="25" t="s">
        <v>37</v>
      </c>
      <c r="Q2914" s="99"/>
    </row>
    <row r="2915">
      <c r="A2915" s="134" t="s">
        <v>204</v>
      </c>
      <c r="B2915" s="134" t="s">
        <v>518</v>
      </c>
      <c r="C2915" s="134" t="s">
        <v>84</v>
      </c>
      <c r="D2915" s="279" t="s">
        <v>1078</v>
      </c>
      <c r="E2915" s="306">
        <v>43478.0</v>
      </c>
      <c r="F2915" s="21" t="str">
        <f t="shared" si="230"/>
        <v>Jan-2019</v>
      </c>
      <c r="G2915" s="101" t="s">
        <v>20</v>
      </c>
      <c r="H2915" s="16" t="s">
        <v>287</v>
      </c>
      <c r="I2915" s="16" t="s">
        <v>1079</v>
      </c>
      <c r="J2915" s="16" t="s">
        <v>44</v>
      </c>
      <c r="K2915" s="16" t="s">
        <v>9</v>
      </c>
      <c r="L2915" s="16" t="s">
        <v>30</v>
      </c>
      <c r="M2915" s="16" t="s">
        <v>30</v>
      </c>
      <c r="N2915" s="16" t="s">
        <v>98</v>
      </c>
      <c r="O2915" s="101"/>
      <c r="P2915" s="101"/>
      <c r="Q2915" s="102"/>
    </row>
    <row r="2916">
      <c r="A2916" s="155">
        <v>43478.0</v>
      </c>
      <c r="B2916" s="134" t="s">
        <v>518</v>
      </c>
      <c r="C2916" s="134" t="s">
        <v>84</v>
      </c>
      <c r="D2916" s="279" t="s">
        <v>1078</v>
      </c>
      <c r="E2916" s="306">
        <v>43478.0</v>
      </c>
      <c r="F2916" s="21" t="str">
        <f t="shared" si="230"/>
        <v>Jan-2019</v>
      </c>
      <c r="G2916" s="101" t="s">
        <v>25</v>
      </c>
      <c r="H2916" s="16" t="s">
        <v>287</v>
      </c>
      <c r="I2916" s="16" t="s">
        <v>1079</v>
      </c>
      <c r="J2916" s="16" t="s">
        <v>44</v>
      </c>
      <c r="K2916" s="16" t="s">
        <v>9</v>
      </c>
      <c r="L2916" s="16" t="s">
        <v>30</v>
      </c>
      <c r="M2916" s="16"/>
      <c r="N2916" s="16" t="s">
        <v>106</v>
      </c>
      <c r="O2916" s="101"/>
      <c r="P2916" s="101"/>
      <c r="Q2916" s="102"/>
    </row>
    <row r="2917">
      <c r="A2917" s="176" t="s">
        <v>1080</v>
      </c>
      <c r="B2917" s="134" t="s">
        <v>518</v>
      </c>
      <c r="C2917" s="134" t="s">
        <v>84</v>
      </c>
      <c r="D2917" s="279" t="s">
        <v>1078</v>
      </c>
      <c r="E2917" s="306">
        <v>43478.0</v>
      </c>
      <c r="F2917" s="21" t="str">
        <f t="shared" si="230"/>
        <v>Jan-2019</v>
      </c>
      <c r="G2917" s="32" t="s">
        <v>20</v>
      </c>
      <c r="H2917" s="25" t="s">
        <v>287</v>
      </c>
      <c r="I2917" s="25" t="s">
        <v>1081</v>
      </c>
      <c r="J2917" s="25" t="s">
        <v>23</v>
      </c>
      <c r="K2917" s="25" t="s">
        <v>9</v>
      </c>
      <c r="L2917" s="25" t="s">
        <v>30</v>
      </c>
      <c r="M2917" s="25" t="s">
        <v>30</v>
      </c>
      <c r="N2917" s="25" t="s">
        <v>37</v>
      </c>
      <c r="Q2917" s="99"/>
    </row>
    <row r="2918">
      <c r="A2918" s="134" t="s">
        <v>84</v>
      </c>
      <c r="B2918" s="134" t="s">
        <v>518</v>
      </c>
      <c r="C2918" s="134" t="s">
        <v>84</v>
      </c>
      <c r="D2918" s="279" t="s">
        <v>1078</v>
      </c>
      <c r="E2918" s="306">
        <v>43478.0</v>
      </c>
      <c r="F2918" s="21" t="str">
        <f t="shared" si="230"/>
        <v>Jan-2019</v>
      </c>
      <c r="G2918" s="32" t="s">
        <v>25</v>
      </c>
      <c r="H2918" s="25" t="s">
        <v>287</v>
      </c>
      <c r="I2918" s="25" t="s">
        <v>1081</v>
      </c>
      <c r="J2918" s="25" t="s">
        <v>44</v>
      </c>
      <c r="K2918" s="25" t="s">
        <v>9</v>
      </c>
      <c r="L2918" s="25" t="s">
        <v>30</v>
      </c>
      <c r="M2918" s="25"/>
      <c r="N2918" s="25" t="s">
        <v>106</v>
      </c>
      <c r="Q2918" s="99"/>
    </row>
    <row r="2919">
      <c r="A2919" s="140"/>
      <c r="B2919" s="134" t="s">
        <v>518</v>
      </c>
      <c r="C2919" s="134" t="s">
        <v>84</v>
      </c>
      <c r="D2919" s="279" t="s">
        <v>1078</v>
      </c>
      <c r="E2919" s="306">
        <v>43478.0</v>
      </c>
      <c r="F2919" s="21" t="str">
        <f t="shared" si="230"/>
        <v>Jan-2019</v>
      </c>
      <c r="G2919" s="101" t="s">
        <v>146</v>
      </c>
      <c r="H2919" s="16" t="s">
        <v>35</v>
      </c>
      <c r="I2919" s="16" t="s">
        <v>1082</v>
      </c>
      <c r="J2919" s="16" t="s">
        <v>48</v>
      </c>
      <c r="K2919" s="16" t="s">
        <v>9</v>
      </c>
      <c r="L2919" s="16" t="s">
        <v>30</v>
      </c>
      <c r="M2919" s="16" t="s">
        <v>30</v>
      </c>
      <c r="N2919" s="16" t="s">
        <v>98</v>
      </c>
      <c r="O2919" s="101"/>
      <c r="P2919" s="101"/>
      <c r="Q2919" s="102"/>
    </row>
    <row r="2920">
      <c r="A2920" s="140"/>
      <c r="B2920" s="134" t="s">
        <v>518</v>
      </c>
      <c r="C2920" s="134" t="s">
        <v>84</v>
      </c>
      <c r="D2920" s="279" t="s">
        <v>1078</v>
      </c>
      <c r="E2920" s="306">
        <v>43478.0</v>
      </c>
      <c r="F2920" s="21" t="str">
        <f t="shared" si="230"/>
        <v>Jan-2019</v>
      </c>
      <c r="G2920" s="101" t="s">
        <v>149</v>
      </c>
      <c r="H2920" s="16" t="s">
        <v>35</v>
      </c>
      <c r="I2920" s="16" t="s">
        <v>1082</v>
      </c>
      <c r="J2920" s="16" t="s">
        <v>48</v>
      </c>
      <c r="K2920" s="16" t="s">
        <v>9</v>
      </c>
      <c r="L2920" s="16" t="s">
        <v>30</v>
      </c>
      <c r="M2920" s="16"/>
      <c r="N2920" s="16" t="s">
        <v>29</v>
      </c>
      <c r="O2920" s="101"/>
      <c r="P2920" s="101"/>
      <c r="Q2920" s="102"/>
    </row>
    <row r="2921">
      <c r="A2921" s="140"/>
      <c r="B2921" s="134" t="s">
        <v>518</v>
      </c>
      <c r="C2921" s="134" t="s">
        <v>84</v>
      </c>
      <c r="D2921" s="279" t="s">
        <v>1078</v>
      </c>
      <c r="E2921" s="306">
        <v>43478.0</v>
      </c>
      <c r="F2921" s="21" t="str">
        <f t="shared" si="230"/>
        <v>Jan-2019</v>
      </c>
      <c r="G2921" s="101" t="s">
        <v>222</v>
      </c>
      <c r="H2921" s="16" t="s">
        <v>35</v>
      </c>
      <c r="I2921" s="16" t="s">
        <v>1082</v>
      </c>
      <c r="J2921" s="16" t="s">
        <v>48</v>
      </c>
      <c r="K2921" s="16" t="s">
        <v>9</v>
      </c>
      <c r="L2921" s="16" t="s">
        <v>30</v>
      </c>
      <c r="M2921" s="16"/>
      <c r="N2921" s="16" t="s">
        <v>37</v>
      </c>
      <c r="O2921" s="101"/>
      <c r="P2921" s="101"/>
      <c r="Q2921" s="102"/>
    </row>
    <row r="2922">
      <c r="A2922" s="140"/>
      <c r="B2922" s="134" t="s">
        <v>518</v>
      </c>
      <c r="C2922" s="134" t="s">
        <v>84</v>
      </c>
      <c r="D2922" s="279" t="s">
        <v>1078</v>
      </c>
      <c r="E2922" s="306">
        <v>43478.0</v>
      </c>
      <c r="F2922" s="21" t="str">
        <f t="shared" si="230"/>
        <v>Jan-2019</v>
      </c>
      <c r="G2922" t="s">
        <v>146</v>
      </c>
      <c r="H2922" s="25" t="s">
        <v>35</v>
      </c>
      <c r="I2922" s="25" t="s">
        <v>190</v>
      </c>
      <c r="J2922" s="25" t="s">
        <v>9</v>
      </c>
      <c r="K2922" s="25" t="s">
        <v>9</v>
      </c>
      <c r="L2922" s="25" t="s">
        <v>24</v>
      </c>
      <c r="M2922" s="25" t="s">
        <v>24</v>
      </c>
      <c r="N2922" s="25" t="s">
        <v>98</v>
      </c>
      <c r="Q2922" s="99"/>
    </row>
    <row r="2923">
      <c r="A2923" s="140"/>
      <c r="B2923" s="134" t="s">
        <v>518</v>
      </c>
      <c r="C2923" s="134" t="s">
        <v>84</v>
      </c>
      <c r="D2923" s="279" t="s">
        <v>1078</v>
      </c>
      <c r="E2923" s="306">
        <v>43478.0</v>
      </c>
      <c r="F2923" s="21" t="str">
        <f t="shared" si="230"/>
        <v>Jan-2019</v>
      </c>
      <c r="G2923" t="s">
        <v>149</v>
      </c>
      <c r="H2923" s="25" t="s">
        <v>35</v>
      </c>
      <c r="I2923" s="25" t="s">
        <v>190</v>
      </c>
      <c r="J2923" s="25" t="s">
        <v>9</v>
      </c>
      <c r="K2923" s="25" t="s">
        <v>9</v>
      </c>
      <c r="L2923" s="25" t="s">
        <v>24</v>
      </c>
      <c r="M2923" s="25"/>
      <c r="N2923" s="25" t="s">
        <v>69</v>
      </c>
      <c r="Q2923" s="99"/>
    </row>
    <row r="2924">
      <c r="A2924" s="140"/>
      <c r="B2924" s="134" t="s">
        <v>518</v>
      </c>
      <c r="C2924" s="134" t="s">
        <v>84</v>
      </c>
      <c r="D2924" s="279" t="s">
        <v>1078</v>
      </c>
      <c r="E2924" s="306">
        <v>43478.0</v>
      </c>
      <c r="F2924" s="21" t="str">
        <f t="shared" si="230"/>
        <v>Jan-2019</v>
      </c>
      <c r="G2924" t="s">
        <v>222</v>
      </c>
      <c r="H2924" s="25" t="s">
        <v>35</v>
      </c>
      <c r="I2924" s="25" t="s">
        <v>190</v>
      </c>
      <c r="J2924" s="25" t="s">
        <v>9</v>
      </c>
      <c r="K2924" s="25" t="s">
        <v>9</v>
      </c>
      <c r="L2924" s="25" t="s">
        <v>24</v>
      </c>
      <c r="M2924" s="25"/>
      <c r="N2924" s="25" t="s">
        <v>69</v>
      </c>
      <c r="Q2924" s="99"/>
    </row>
    <row r="2925">
      <c r="A2925" s="140"/>
      <c r="B2925" s="134" t="s">
        <v>518</v>
      </c>
      <c r="C2925" s="134" t="s">
        <v>84</v>
      </c>
      <c r="D2925" s="279" t="s">
        <v>1078</v>
      </c>
      <c r="E2925" s="306">
        <v>43478.0</v>
      </c>
      <c r="F2925" s="21" t="str">
        <f t="shared" si="230"/>
        <v>Jan-2019</v>
      </c>
      <c r="G2925" s="101" t="s">
        <v>146</v>
      </c>
      <c r="H2925" s="16" t="s">
        <v>35</v>
      </c>
      <c r="I2925" s="16" t="s">
        <v>1081</v>
      </c>
      <c r="J2925" s="16" t="s">
        <v>23</v>
      </c>
      <c r="K2925" s="16" t="s">
        <v>9</v>
      </c>
      <c r="L2925" s="16" t="s">
        <v>30</v>
      </c>
      <c r="M2925" s="16" t="s">
        <v>30</v>
      </c>
      <c r="N2925" s="16" t="s">
        <v>37</v>
      </c>
      <c r="O2925" s="101"/>
      <c r="P2925" s="101"/>
      <c r="Q2925" s="102"/>
    </row>
    <row r="2926">
      <c r="A2926" s="140"/>
      <c r="B2926" s="134" t="s">
        <v>518</v>
      </c>
      <c r="C2926" s="134" t="s">
        <v>84</v>
      </c>
      <c r="D2926" s="279" t="s">
        <v>1078</v>
      </c>
      <c r="E2926" s="306">
        <v>43478.0</v>
      </c>
      <c r="F2926" s="21" t="str">
        <f t="shared" si="230"/>
        <v>Jan-2019</v>
      </c>
      <c r="G2926" s="101" t="s">
        <v>149</v>
      </c>
      <c r="H2926" s="16" t="s">
        <v>35</v>
      </c>
      <c r="I2926" s="16" t="s">
        <v>1081</v>
      </c>
      <c r="J2926" s="16" t="s">
        <v>23</v>
      </c>
      <c r="K2926" s="16" t="s">
        <v>9</v>
      </c>
      <c r="L2926" s="16" t="s">
        <v>24</v>
      </c>
      <c r="M2926" s="16"/>
      <c r="N2926" s="16" t="s">
        <v>98</v>
      </c>
      <c r="O2926" s="101"/>
      <c r="P2926" s="101"/>
      <c r="Q2926" s="102"/>
    </row>
    <row r="2927">
      <c r="A2927" s="140"/>
      <c r="B2927" s="134" t="s">
        <v>518</v>
      </c>
      <c r="C2927" s="134" t="s">
        <v>84</v>
      </c>
      <c r="D2927" s="279" t="s">
        <v>1078</v>
      </c>
      <c r="E2927" s="306">
        <v>43478.0</v>
      </c>
      <c r="F2927" s="21" t="str">
        <f t="shared" si="230"/>
        <v>Jan-2019</v>
      </c>
      <c r="G2927" s="101" t="s">
        <v>222</v>
      </c>
      <c r="H2927" s="16" t="s">
        <v>35</v>
      </c>
      <c r="I2927" s="16" t="s">
        <v>1081</v>
      </c>
      <c r="J2927" s="16" t="s">
        <v>23</v>
      </c>
      <c r="K2927" s="16" t="s">
        <v>9</v>
      </c>
      <c r="L2927" s="16" t="s">
        <v>30</v>
      </c>
      <c r="M2927" s="16"/>
      <c r="N2927" s="16" t="s">
        <v>106</v>
      </c>
      <c r="O2927" s="101"/>
      <c r="P2927" s="101"/>
      <c r="Q2927" s="102"/>
    </row>
    <row r="2928">
      <c r="A2928" s="140"/>
      <c r="B2928" s="134" t="s">
        <v>518</v>
      </c>
      <c r="C2928" s="134" t="s">
        <v>84</v>
      </c>
      <c r="D2928" s="279" t="s">
        <v>1078</v>
      </c>
      <c r="E2928" s="306">
        <v>43478.0</v>
      </c>
      <c r="F2928" s="21" t="str">
        <f t="shared" si="230"/>
        <v>Jan-2019</v>
      </c>
      <c r="G2928" s="101" t="s">
        <v>467</v>
      </c>
      <c r="H2928" s="16" t="s">
        <v>35</v>
      </c>
      <c r="I2928" s="16" t="s">
        <v>1081</v>
      </c>
      <c r="J2928" s="16" t="s">
        <v>23</v>
      </c>
      <c r="K2928" s="16" t="s">
        <v>9</v>
      </c>
      <c r="L2928" s="16" t="s">
        <v>24</v>
      </c>
      <c r="M2928" s="16"/>
      <c r="N2928" s="16" t="s">
        <v>99</v>
      </c>
      <c r="O2928" s="101"/>
      <c r="P2928" s="101"/>
      <c r="Q2928" s="102"/>
    </row>
    <row r="2929">
      <c r="A2929" s="140"/>
      <c r="B2929" s="134" t="s">
        <v>518</v>
      </c>
      <c r="C2929" s="134" t="s">
        <v>84</v>
      </c>
      <c r="D2929" s="279" t="s">
        <v>1078</v>
      </c>
      <c r="E2929" s="306">
        <v>43478.0</v>
      </c>
      <c r="F2929" s="21" t="str">
        <f t="shared" si="230"/>
        <v>Jan-2019</v>
      </c>
      <c r="G2929" s="263" t="s">
        <v>480</v>
      </c>
      <c r="H2929" s="16" t="s">
        <v>35</v>
      </c>
      <c r="I2929" s="16" t="s">
        <v>1081</v>
      </c>
      <c r="J2929" s="16" t="s">
        <v>338</v>
      </c>
      <c r="K2929" s="16" t="s">
        <v>9</v>
      </c>
      <c r="L2929" s="16" t="s">
        <v>30</v>
      </c>
      <c r="M2929" s="16"/>
      <c r="N2929" s="16" t="s">
        <v>29</v>
      </c>
      <c r="O2929" s="101"/>
      <c r="P2929" s="101"/>
      <c r="Q2929" s="102"/>
    </row>
    <row r="2930">
      <c r="A2930" s="140"/>
      <c r="B2930" s="134" t="s">
        <v>518</v>
      </c>
      <c r="C2930" s="134" t="s">
        <v>84</v>
      </c>
      <c r="D2930" s="279" t="s">
        <v>1078</v>
      </c>
      <c r="E2930" s="306">
        <v>43478.0</v>
      </c>
      <c r="F2930" s="21" t="str">
        <f t="shared" si="230"/>
        <v>Jan-2019</v>
      </c>
      <c r="G2930" t="s">
        <v>146</v>
      </c>
      <c r="H2930" s="25" t="s">
        <v>35</v>
      </c>
      <c r="I2930" s="25" t="s">
        <v>364</v>
      </c>
      <c r="J2930" s="25" t="s">
        <v>86</v>
      </c>
      <c r="K2930" s="25" t="s">
        <v>9</v>
      </c>
      <c r="L2930" s="25" t="s">
        <v>24</v>
      </c>
      <c r="M2930" s="25" t="s">
        <v>24</v>
      </c>
      <c r="N2930" s="25" t="s">
        <v>69</v>
      </c>
      <c r="Q2930" s="99"/>
    </row>
    <row r="2931">
      <c r="A2931" s="140"/>
      <c r="B2931" s="134" t="s">
        <v>518</v>
      </c>
      <c r="C2931" s="134" t="s">
        <v>84</v>
      </c>
      <c r="D2931" s="279" t="s">
        <v>1078</v>
      </c>
      <c r="E2931" s="306">
        <v>43478.0</v>
      </c>
      <c r="F2931" s="21" t="str">
        <f t="shared" si="230"/>
        <v>Jan-2019</v>
      </c>
      <c r="G2931" t="s">
        <v>149</v>
      </c>
      <c r="H2931" s="25" t="s">
        <v>35</v>
      </c>
      <c r="I2931" s="25" t="s">
        <v>364</v>
      </c>
      <c r="J2931" s="25" t="s">
        <v>86</v>
      </c>
      <c r="K2931" s="25" t="s">
        <v>9</v>
      </c>
      <c r="L2931" s="25" t="s">
        <v>24</v>
      </c>
      <c r="M2931" s="25"/>
      <c r="N2931" s="25" t="s">
        <v>29</v>
      </c>
      <c r="Q2931" s="99"/>
    </row>
    <row r="2932">
      <c r="A2932" s="141"/>
      <c r="B2932" s="134" t="s">
        <v>518</v>
      </c>
      <c r="C2932" s="134" t="s">
        <v>84</v>
      </c>
      <c r="D2932" s="280" t="s">
        <v>1078</v>
      </c>
      <c r="E2932" s="313">
        <v>43478.0</v>
      </c>
      <c r="F2932" s="51" t="str">
        <f t="shared" si="230"/>
        <v>Jan-2019</v>
      </c>
      <c r="G2932" s="143" t="s">
        <v>222</v>
      </c>
      <c r="H2932" s="55" t="s">
        <v>35</v>
      </c>
      <c r="I2932" s="55" t="s">
        <v>364</v>
      </c>
      <c r="J2932" s="55" t="s">
        <v>86</v>
      </c>
      <c r="K2932" s="55" t="s">
        <v>9</v>
      </c>
      <c r="L2932" s="55" t="s">
        <v>24</v>
      </c>
      <c r="M2932" s="55"/>
      <c r="N2932" s="55" t="s">
        <v>29</v>
      </c>
      <c r="O2932" s="143"/>
      <c r="P2932" s="143"/>
      <c r="Q2932" s="144"/>
    </row>
    <row r="2933">
      <c r="A2933" s="94"/>
    </row>
    <row r="2934">
      <c r="A2934" s="133" t="s">
        <v>1083</v>
      </c>
      <c r="B2934" s="134" t="s">
        <v>34</v>
      </c>
      <c r="C2934" s="134" t="s">
        <v>74</v>
      </c>
      <c r="D2934" s="278" t="s">
        <v>1083</v>
      </c>
      <c r="E2934" s="312">
        <v>43482.0</v>
      </c>
      <c r="F2934" s="70" t="str">
        <f t="shared" ref="F2934:F2943" si="231">TEXT(E2926:E2934, "mmm") &amp; "-" &amp; TEXT(E2926:E2934, "yyyy") </f>
        <v>Jan-2019</v>
      </c>
      <c r="G2934" s="152" t="s">
        <v>20</v>
      </c>
      <c r="H2934" s="47" t="s">
        <v>35</v>
      </c>
      <c r="I2934" s="47" t="s">
        <v>694</v>
      </c>
      <c r="J2934" s="47" t="s">
        <v>27</v>
      </c>
      <c r="K2934" s="47" t="s">
        <v>9</v>
      </c>
      <c r="L2934" s="47" t="s">
        <v>30</v>
      </c>
      <c r="M2934" s="47" t="s">
        <v>30</v>
      </c>
      <c r="N2934" s="47" t="s">
        <v>69</v>
      </c>
      <c r="O2934" s="152"/>
      <c r="P2934" s="152"/>
      <c r="Q2934" s="153"/>
    </row>
    <row r="2935">
      <c r="A2935" s="134" t="s">
        <v>34</v>
      </c>
      <c r="B2935" s="134" t="s">
        <v>34</v>
      </c>
      <c r="C2935" s="134" t="s">
        <v>74</v>
      </c>
      <c r="D2935" s="279" t="s">
        <v>1083</v>
      </c>
      <c r="E2935" s="306">
        <v>43482.0</v>
      </c>
      <c r="F2935" s="21" t="str">
        <f t="shared" si="231"/>
        <v>Jan-2019</v>
      </c>
      <c r="G2935" s="101" t="s">
        <v>25</v>
      </c>
      <c r="H2935" s="16" t="s">
        <v>35</v>
      </c>
      <c r="I2935" s="16" t="s">
        <v>694</v>
      </c>
      <c r="J2935" s="16" t="s">
        <v>27</v>
      </c>
      <c r="K2935" s="16" t="s">
        <v>9</v>
      </c>
      <c r="L2935" s="16" t="s">
        <v>30</v>
      </c>
      <c r="M2935" s="16"/>
      <c r="N2935" s="16" t="s">
        <v>69</v>
      </c>
      <c r="O2935" s="101"/>
      <c r="P2935" s="101"/>
      <c r="Q2935" s="102"/>
    </row>
    <row r="2936">
      <c r="A2936" s="134" t="s">
        <v>1074</v>
      </c>
      <c r="B2936" s="134" t="s">
        <v>34</v>
      </c>
      <c r="C2936" s="134" t="s">
        <v>74</v>
      </c>
      <c r="D2936" s="279" t="s">
        <v>1083</v>
      </c>
      <c r="E2936" s="306">
        <v>43482.0</v>
      </c>
      <c r="F2936" s="21" t="str">
        <f t="shared" si="231"/>
        <v>Jan-2019</v>
      </c>
      <c r="G2936" t="s">
        <v>20</v>
      </c>
      <c r="H2936" s="25" t="s">
        <v>35</v>
      </c>
      <c r="I2936" s="25" t="s">
        <v>394</v>
      </c>
      <c r="J2936" s="25" t="s">
        <v>27</v>
      </c>
      <c r="K2936" s="25" t="s">
        <v>9</v>
      </c>
      <c r="L2936" s="25" t="s">
        <v>24</v>
      </c>
      <c r="M2936" s="25" t="s">
        <v>24</v>
      </c>
      <c r="N2936" s="25" t="s">
        <v>37</v>
      </c>
      <c r="Q2936" s="99"/>
    </row>
    <row r="2937">
      <c r="A2937" s="155">
        <v>43482.0</v>
      </c>
      <c r="B2937" s="134" t="s">
        <v>34</v>
      </c>
      <c r="C2937" s="134" t="s">
        <v>74</v>
      </c>
      <c r="D2937" s="279" t="s">
        <v>1083</v>
      </c>
      <c r="E2937" s="306">
        <v>43482.0</v>
      </c>
      <c r="F2937" s="21" t="str">
        <f t="shared" si="231"/>
        <v>Jan-2019</v>
      </c>
      <c r="G2937" t="s">
        <v>25</v>
      </c>
      <c r="H2937" s="25" t="s">
        <v>35</v>
      </c>
      <c r="I2937" s="25" t="s">
        <v>394</v>
      </c>
      <c r="J2937" s="25" t="s">
        <v>27</v>
      </c>
      <c r="K2937" s="25" t="s">
        <v>9</v>
      </c>
      <c r="L2937" s="25" t="s">
        <v>24</v>
      </c>
      <c r="M2937" s="25"/>
      <c r="N2937" s="25" t="s">
        <v>106</v>
      </c>
      <c r="Q2937" s="99"/>
    </row>
    <row r="2938">
      <c r="A2938" s="134" t="s">
        <v>74</v>
      </c>
      <c r="B2938" s="134" t="s">
        <v>34</v>
      </c>
      <c r="C2938" s="134" t="s">
        <v>74</v>
      </c>
      <c r="D2938" s="279" t="s">
        <v>1083</v>
      </c>
      <c r="E2938" s="306">
        <v>43482.0</v>
      </c>
      <c r="F2938" s="21" t="str">
        <f t="shared" si="231"/>
        <v>Jan-2019</v>
      </c>
      <c r="G2938" s="101" t="s">
        <v>20</v>
      </c>
      <c r="H2938" s="16" t="s">
        <v>35</v>
      </c>
      <c r="I2938" s="16" t="s">
        <v>842</v>
      </c>
      <c r="J2938" s="16" t="s">
        <v>71</v>
      </c>
      <c r="K2938" s="16" t="s">
        <v>9</v>
      </c>
      <c r="L2938" s="16" t="s">
        <v>30</v>
      </c>
      <c r="M2938" s="16" t="s">
        <v>30</v>
      </c>
      <c r="N2938" s="16" t="s">
        <v>99</v>
      </c>
      <c r="O2938" s="101"/>
      <c r="P2938" s="101"/>
      <c r="Q2938" s="102"/>
    </row>
    <row r="2939">
      <c r="A2939" s="176" t="s">
        <v>1084</v>
      </c>
      <c r="B2939" s="134" t="s">
        <v>34</v>
      </c>
      <c r="C2939" s="134" t="s">
        <v>74</v>
      </c>
      <c r="D2939" s="279" t="s">
        <v>1083</v>
      </c>
      <c r="E2939" s="306">
        <v>43482.0</v>
      </c>
      <c r="F2939" s="21" t="str">
        <f t="shared" si="231"/>
        <v>Jan-2019</v>
      </c>
      <c r="G2939" s="101" t="s">
        <v>25</v>
      </c>
      <c r="H2939" s="16" t="s">
        <v>35</v>
      </c>
      <c r="I2939" s="16" t="s">
        <v>842</v>
      </c>
      <c r="J2939" s="16" t="s">
        <v>71</v>
      </c>
      <c r="K2939" s="16" t="s">
        <v>9</v>
      </c>
      <c r="L2939" s="16" t="s">
        <v>30</v>
      </c>
      <c r="M2939" s="16"/>
      <c r="N2939" s="16" t="s">
        <v>37</v>
      </c>
      <c r="O2939" s="101"/>
      <c r="P2939" s="101"/>
      <c r="Q2939" s="102"/>
    </row>
    <row r="2940">
      <c r="A2940" s="140"/>
      <c r="B2940" s="134" t="s">
        <v>34</v>
      </c>
      <c r="C2940" s="134" t="s">
        <v>74</v>
      </c>
      <c r="D2940" s="279" t="s">
        <v>1083</v>
      </c>
      <c r="E2940" s="306">
        <v>43482.0</v>
      </c>
      <c r="F2940" s="21" t="str">
        <f t="shared" si="231"/>
        <v>Jan-2019</v>
      </c>
      <c r="G2940" t="s">
        <v>146</v>
      </c>
      <c r="H2940" s="25" t="s">
        <v>35</v>
      </c>
      <c r="I2940" s="25" t="s">
        <v>665</v>
      </c>
      <c r="J2940" s="25" t="s">
        <v>86</v>
      </c>
      <c r="K2940" s="25" t="s">
        <v>9</v>
      </c>
      <c r="L2940" s="25" t="s">
        <v>24</v>
      </c>
      <c r="M2940" s="25" t="s">
        <v>24</v>
      </c>
      <c r="N2940" s="25" t="s">
        <v>29</v>
      </c>
      <c r="Q2940" s="99"/>
    </row>
    <row r="2941">
      <c r="A2941" s="140"/>
      <c r="B2941" s="134" t="s">
        <v>34</v>
      </c>
      <c r="C2941" s="134" t="s">
        <v>74</v>
      </c>
      <c r="D2941" s="279" t="s">
        <v>1083</v>
      </c>
      <c r="E2941" s="306">
        <v>43482.0</v>
      </c>
      <c r="F2941" s="21" t="str">
        <f t="shared" si="231"/>
        <v>Jan-2019</v>
      </c>
      <c r="G2941" t="s">
        <v>149</v>
      </c>
      <c r="H2941" s="25" t="s">
        <v>35</v>
      </c>
      <c r="I2941" s="25" t="s">
        <v>665</v>
      </c>
      <c r="J2941" s="25" t="s">
        <v>86</v>
      </c>
      <c r="K2941" s="25" t="s">
        <v>9</v>
      </c>
      <c r="L2941" s="25" t="s">
        <v>24</v>
      </c>
      <c r="M2941" s="25"/>
      <c r="N2941" s="25" t="s">
        <v>29</v>
      </c>
      <c r="Q2941" s="99"/>
    </row>
    <row r="2942">
      <c r="A2942" s="140"/>
      <c r="B2942" s="134" t="s">
        <v>34</v>
      </c>
      <c r="C2942" s="134" t="s">
        <v>74</v>
      </c>
      <c r="D2942" s="279" t="s">
        <v>1083</v>
      </c>
      <c r="E2942" s="306">
        <v>43482.0</v>
      </c>
      <c r="F2942" s="21" t="str">
        <f t="shared" si="231"/>
        <v>Jan-2019</v>
      </c>
      <c r="G2942" t="s">
        <v>222</v>
      </c>
      <c r="H2942" s="25" t="s">
        <v>35</v>
      </c>
      <c r="I2942" s="25" t="s">
        <v>665</v>
      </c>
      <c r="J2942" s="25" t="s">
        <v>86</v>
      </c>
      <c r="K2942" s="25" t="s">
        <v>9</v>
      </c>
      <c r="L2942" s="25" t="s">
        <v>30</v>
      </c>
      <c r="M2942" s="25"/>
      <c r="N2942" s="25" t="s">
        <v>69</v>
      </c>
      <c r="Q2942" s="99"/>
    </row>
    <row r="2943">
      <c r="A2943" s="141"/>
      <c r="B2943" s="134" t="s">
        <v>34</v>
      </c>
      <c r="C2943" s="134" t="s">
        <v>74</v>
      </c>
      <c r="D2943" s="280" t="s">
        <v>1083</v>
      </c>
      <c r="E2943" s="313">
        <v>43482.0</v>
      </c>
      <c r="F2943" s="51" t="str">
        <f t="shared" si="231"/>
        <v>Jan-2019</v>
      </c>
      <c r="G2943" s="143" t="s">
        <v>467</v>
      </c>
      <c r="H2943" s="55" t="s">
        <v>35</v>
      </c>
      <c r="I2943" s="55" t="s">
        <v>665</v>
      </c>
      <c r="J2943" s="55" t="s">
        <v>86</v>
      </c>
      <c r="K2943" s="55" t="s">
        <v>9</v>
      </c>
      <c r="L2943" s="55" t="s">
        <v>24</v>
      </c>
      <c r="M2943" s="55"/>
      <c r="N2943" s="55" t="s">
        <v>37</v>
      </c>
      <c r="O2943" s="143"/>
      <c r="P2943" s="143"/>
      <c r="Q2943" s="144"/>
    </row>
    <row r="2944">
      <c r="A2944" s="94"/>
    </row>
    <row r="2945">
      <c r="A2945" s="133" t="s">
        <v>1085</v>
      </c>
      <c r="B2945" s="134" t="s">
        <v>18</v>
      </c>
      <c r="C2945" s="134" t="s">
        <v>74</v>
      </c>
      <c r="D2945" s="278" t="s">
        <v>1085</v>
      </c>
      <c r="E2945" s="312">
        <v>43484.0</v>
      </c>
      <c r="F2945" s="70" t="str">
        <f t="shared" ref="F2945:F2958" si="232">TEXT(E2937:E2945, "mmm") &amp; "-" &amp; TEXT(E2937:E2945, "yyyy") </f>
        <v>Jan-2019</v>
      </c>
      <c r="G2945" s="152" t="s">
        <v>20</v>
      </c>
      <c r="H2945" s="47" t="s">
        <v>35</v>
      </c>
      <c r="I2945" s="47" t="s">
        <v>806</v>
      </c>
      <c r="J2945" s="47" t="s">
        <v>102</v>
      </c>
      <c r="K2945" s="47" t="s">
        <v>9</v>
      </c>
      <c r="L2945" s="47" t="s">
        <v>30</v>
      </c>
      <c r="M2945" s="47" t="s">
        <v>30</v>
      </c>
      <c r="N2945" s="47" t="s">
        <v>98</v>
      </c>
      <c r="O2945" s="152"/>
      <c r="P2945" s="152"/>
      <c r="Q2945" s="153"/>
    </row>
    <row r="2946">
      <c r="A2946" s="134" t="s">
        <v>18</v>
      </c>
      <c r="B2946" s="134" t="s">
        <v>18</v>
      </c>
      <c r="C2946" s="134" t="s">
        <v>74</v>
      </c>
      <c r="D2946" s="279" t="s">
        <v>1085</v>
      </c>
      <c r="E2946" s="306">
        <v>43484.0</v>
      </c>
      <c r="F2946" s="21" t="str">
        <f t="shared" si="232"/>
        <v>Jan-2019</v>
      </c>
      <c r="G2946" s="101" t="s">
        <v>25</v>
      </c>
      <c r="H2946" s="16" t="s">
        <v>35</v>
      </c>
      <c r="I2946" s="16" t="s">
        <v>806</v>
      </c>
      <c r="J2946" s="16" t="s">
        <v>102</v>
      </c>
      <c r="K2946" s="16" t="s">
        <v>9</v>
      </c>
      <c r="L2946" s="16" t="s">
        <v>30</v>
      </c>
      <c r="M2946" s="16"/>
      <c r="N2946" s="16" t="s">
        <v>37</v>
      </c>
      <c r="O2946" s="101"/>
      <c r="P2946" s="101"/>
      <c r="Q2946" s="102"/>
    </row>
    <row r="2947">
      <c r="A2947" s="134" t="s">
        <v>1086</v>
      </c>
      <c r="B2947" s="134" t="s">
        <v>18</v>
      </c>
      <c r="C2947" s="134" t="s">
        <v>74</v>
      </c>
      <c r="D2947" s="279" t="s">
        <v>1085</v>
      </c>
      <c r="E2947" s="306">
        <v>43484.0</v>
      </c>
      <c r="F2947" s="21" t="str">
        <f t="shared" si="232"/>
        <v>Jan-2019</v>
      </c>
      <c r="G2947" t="s">
        <v>20</v>
      </c>
      <c r="H2947" s="25" t="s">
        <v>35</v>
      </c>
      <c r="I2947" s="25" t="s">
        <v>633</v>
      </c>
      <c r="J2947" s="25" t="s">
        <v>27</v>
      </c>
      <c r="K2947" s="25" t="s">
        <v>9</v>
      </c>
      <c r="L2947" s="25" t="s">
        <v>30</v>
      </c>
      <c r="M2947" s="25" t="s">
        <v>30</v>
      </c>
      <c r="N2947" s="25" t="s">
        <v>37</v>
      </c>
      <c r="Q2947" s="99"/>
    </row>
    <row r="2948">
      <c r="A2948" s="155">
        <v>43484.0</v>
      </c>
      <c r="B2948" s="134" t="s">
        <v>18</v>
      </c>
      <c r="C2948" s="134" t="s">
        <v>74</v>
      </c>
      <c r="D2948" s="279" t="s">
        <v>1085</v>
      </c>
      <c r="E2948" s="306">
        <v>43484.0</v>
      </c>
      <c r="F2948" s="21" t="str">
        <f t="shared" si="232"/>
        <v>Jan-2019</v>
      </c>
      <c r="G2948" t="s">
        <v>25</v>
      </c>
      <c r="H2948" s="25" t="s">
        <v>35</v>
      </c>
      <c r="I2948" s="25" t="s">
        <v>633</v>
      </c>
      <c r="J2948" s="25" t="s">
        <v>27</v>
      </c>
      <c r="K2948" s="25" t="s">
        <v>9</v>
      </c>
      <c r="L2948" s="25" t="s">
        <v>30</v>
      </c>
      <c r="M2948" s="25"/>
      <c r="N2948" s="25" t="s">
        <v>69</v>
      </c>
      <c r="Q2948" s="99"/>
    </row>
    <row r="2949">
      <c r="A2949" s="134" t="s">
        <v>74</v>
      </c>
      <c r="B2949" s="134" t="s">
        <v>18</v>
      </c>
      <c r="C2949" s="134" t="s">
        <v>74</v>
      </c>
      <c r="D2949" s="279" t="s">
        <v>1085</v>
      </c>
      <c r="E2949" s="306">
        <v>43484.0</v>
      </c>
      <c r="F2949" s="21" t="str">
        <f t="shared" si="232"/>
        <v>Jan-2019</v>
      </c>
      <c r="G2949" s="101" t="s">
        <v>146</v>
      </c>
      <c r="H2949" s="16" t="s">
        <v>35</v>
      </c>
      <c r="I2949" s="16" t="s">
        <v>452</v>
      </c>
      <c r="J2949" s="16" t="s">
        <v>27</v>
      </c>
      <c r="K2949" s="16" t="s">
        <v>9</v>
      </c>
      <c r="L2949" s="16" t="s">
        <v>24</v>
      </c>
      <c r="M2949" s="16" t="s">
        <v>24</v>
      </c>
      <c r="N2949" s="16" t="s">
        <v>29</v>
      </c>
      <c r="O2949" s="101"/>
      <c r="P2949" s="101"/>
      <c r="Q2949" s="102"/>
    </row>
    <row r="2950">
      <c r="A2950" s="176" t="s">
        <v>1087</v>
      </c>
      <c r="B2950" s="134" t="s">
        <v>18</v>
      </c>
      <c r="C2950" s="134" t="s">
        <v>74</v>
      </c>
      <c r="D2950" s="279" t="s">
        <v>1085</v>
      </c>
      <c r="E2950" s="306">
        <v>43484.0</v>
      </c>
      <c r="F2950" s="21" t="str">
        <f t="shared" si="232"/>
        <v>Jan-2019</v>
      </c>
      <c r="G2950" s="101" t="s">
        <v>149</v>
      </c>
      <c r="H2950" s="16" t="s">
        <v>35</v>
      </c>
      <c r="I2950" s="16" t="s">
        <v>452</v>
      </c>
      <c r="J2950" s="16" t="s">
        <v>27</v>
      </c>
      <c r="K2950" s="16" t="s">
        <v>9</v>
      </c>
      <c r="L2950" s="16" t="s">
        <v>30</v>
      </c>
      <c r="M2950" s="16"/>
      <c r="N2950" s="16" t="s">
        <v>37</v>
      </c>
      <c r="O2950" s="101"/>
      <c r="P2950" s="101"/>
      <c r="Q2950" s="102"/>
    </row>
    <row r="2951">
      <c r="A2951" s="140"/>
      <c r="B2951" s="134" t="s">
        <v>18</v>
      </c>
      <c r="C2951" s="134" t="s">
        <v>74</v>
      </c>
      <c r="D2951" s="279" t="s">
        <v>1085</v>
      </c>
      <c r="E2951" s="306">
        <v>43484.0</v>
      </c>
      <c r="F2951" s="21" t="str">
        <f t="shared" si="232"/>
        <v>Jan-2019</v>
      </c>
      <c r="G2951" s="101" t="s">
        <v>222</v>
      </c>
      <c r="H2951" s="16" t="s">
        <v>35</v>
      </c>
      <c r="I2951" s="16" t="s">
        <v>452</v>
      </c>
      <c r="J2951" s="16" t="s">
        <v>27</v>
      </c>
      <c r="K2951" s="16" t="s">
        <v>9</v>
      </c>
      <c r="L2951" s="16" t="s">
        <v>24</v>
      </c>
      <c r="M2951" s="16"/>
      <c r="N2951" s="16" t="s">
        <v>99</v>
      </c>
      <c r="O2951" s="101"/>
      <c r="P2951" s="101"/>
      <c r="Q2951" s="102"/>
    </row>
    <row r="2952">
      <c r="A2952" s="140"/>
      <c r="B2952" s="134" t="s">
        <v>18</v>
      </c>
      <c r="C2952" s="134" t="s">
        <v>74</v>
      </c>
      <c r="D2952" s="279" t="s">
        <v>1085</v>
      </c>
      <c r="E2952" s="306">
        <v>43484.0</v>
      </c>
      <c r="F2952" s="21" t="str">
        <f t="shared" si="232"/>
        <v>Jan-2019</v>
      </c>
      <c r="G2952" s="101" t="s">
        <v>467</v>
      </c>
      <c r="H2952" s="16" t="s">
        <v>35</v>
      </c>
      <c r="I2952" s="16" t="s">
        <v>452</v>
      </c>
      <c r="J2952" s="16" t="s">
        <v>27</v>
      </c>
      <c r="K2952" s="16" t="s">
        <v>9</v>
      </c>
      <c r="L2952" s="16" t="s">
        <v>30</v>
      </c>
      <c r="M2952" s="16"/>
      <c r="N2952" s="16" t="s">
        <v>98</v>
      </c>
      <c r="O2952" s="101"/>
      <c r="P2952" s="101"/>
      <c r="Q2952" s="102"/>
    </row>
    <row r="2953">
      <c r="A2953" s="140"/>
      <c r="B2953" s="134" t="s">
        <v>18</v>
      </c>
      <c r="C2953" s="134" t="s">
        <v>74</v>
      </c>
      <c r="D2953" s="279" t="s">
        <v>1085</v>
      </c>
      <c r="E2953" s="306">
        <v>43484.0</v>
      </c>
      <c r="F2953" s="21" t="str">
        <f t="shared" si="232"/>
        <v>Jan-2019</v>
      </c>
      <c r="G2953" s="263" t="s">
        <v>480</v>
      </c>
      <c r="H2953" s="16" t="s">
        <v>35</v>
      </c>
      <c r="I2953" s="16" t="s">
        <v>452</v>
      </c>
      <c r="J2953" s="16" t="s">
        <v>27</v>
      </c>
      <c r="K2953" s="16" t="s">
        <v>9</v>
      </c>
      <c r="L2953" s="16" t="s">
        <v>24</v>
      </c>
      <c r="M2953" s="16"/>
      <c r="N2953" s="16" t="s">
        <v>69</v>
      </c>
      <c r="O2953" s="101"/>
      <c r="P2953" s="101"/>
      <c r="Q2953" s="102"/>
    </row>
    <row r="2954">
      <c r="A2954" s="140"/>
      <c r="B2954" s="134" t="s">
        <v>18</v>
      </c>
      <c r="C2954" s="134" t="s">
        <v>74</v>
      </c>
      <c r="D2954" s="279" t="s">
        <v>1085</v>
      </c>
      <c r="E2954" s="306">
        <v>43484.0</v>
      </c>
      <c r="F2954" s="21" t="str">
        <f t="shared" si="232"/>
        <v>Jan-2019</v>
      </c>
      <c r="G2954" t="s">
        <v>146</v>
      </c>
      <c r="H2954" s="25" t="s">
        <v>35</v>
      </c>
      <c r="I2954" s="25" t="s">
        <v>804</v>
      </c>
      <c r="J2954" s="25" t="s">
        <v>23</v>
      </c>
      <c r="K2954" s="25" t="s">
        <v>9</v>
      </c>
      <c r="L2954" s="25" t="s">
        <v>24</v>
      </c>
      <c r="M2954" s="25" t="s">
        <v>24</v>
      </c>
      <c r="N2954" s="25" t="s">
        <v>37</v>
      </c>
      <c r="Q2954" s="99"/>
    </row>
    <row r="2955">
      <c r="A2955" s="140"/>
      <c r="B2955" s="134" t="s">
        <v>18</v>
      </c>
      <c r="C2955" s="134" t="s">
        <v>74</v>
      </c>
      <c r="D2955" s="279" t="s">
        <v>1085</v>
      </c>
      <c r="E2955" s="306">
        <v>43484.0</v>
      </c>
      <c r="F2955" s="21" t="str">
        <f t="shared" si="232"/>
        <v>Jan-2019</v>
      </c>
      <c r="G2955" t="s">
        <v>149</v>
      </c>
      <c r="H2955" s="25" t="s">
        <v>35</v>
      </c>
      <c r="I2955" s="25" t="s">
        <v>804</v>
      </c>
      <c r="J2955" s="25" t="s">
        <v>23</v>
      </c>
      <c r="K2955" s="25" t="s">
        <v>9</v>
      </c>
      <c r="L2955" s="25" t="s">
        <v>30</v>
      </c>
      <c r="M2955" s="25"/>
      <c r="N2955" s="25" t="s">
        <v>106</v>
      </c>
      <c r="Q2955" s="99"/>
    </row>
    <row r="2956">
      <c r="A2956" s="140"/>
      <c r="B2956" s="134" t="s">
        <v>18</v>
      </c>
      <c r="C2956" s="134" t="s">
        <v>74</v>
      </c>
      <c r="D2956" s="279" t="s">
        <v>1085</v>
      </c>
      <c r="E2956" s="306">
        <v>43484.0</v>
      </c>
      <c r="F2956" s="21" t="str">
        <f t="shared" si="232"/>
        <v>Jan-2019</v>
      </c>
      <c r="G2956" t="s">
        <v>222</v>
      </c>
      <c r="H2956" s="25" t="s">
        <v>35</v>
      </c>
      <c r="I2956" s="25" t="s">
        <v>804</v>
      </c>
      <c r="J2956" s="25" t="s">
        <v>23</v>
      </c>
      <c r="K2956" s="25" t="s">
        <v>9</v>
      </c>
      <c r="L2956" s="25" t="s">
        <v>24</v>
      </c>
      <c r="M2956" s="25"/>
      <c r="N2956" s="25" t="s">
        <v>98</v>
      </c>
      <c r="Q2956" s="99"/>
    </row>
    <row r="2957">
      <c r="A2957" s="140"/>
      <c r="B2957" s="134" t="s">
        <v>18</v>
      </c>
      <c r="C2957" s="134" t="s">
        <v>74</v>
      </c>
      <c r="D2957" s="279" t="s">
        <v>1085</v>
      </c>
      <c r="E2957" s="306">
        <v>43484.0</v>
      </c>
      <c r="F2957" s="21" t="str">
        <f t="shared" si="232"/>
        <v>Jan-2019</v>
      </c>
      <c r="G2957" t="s">
        <v>467</v>
      </c>
      <c r="H2957" s="25" t="s">
        <v>35</v>
      </c>
      <c r="I2957" s="25" t="s">
        <v>804</v>
      </c>
      <c r="J2957" s="25" t="s">
        <v>23</v>
      </c>
      <c r="K2957" s="25" t="s">
        <v>9</v>
      </c>
      <c r="L2957" s="25" t="s">
        <v>30</v>
      </c>
      <c r="M2957" s="25"/>
      <c r="N2957" s="25" t="s">
        <v>29</v>
      </c>
      <c r="Q2957" s="99"/>
    </row>
    <row r="2958">
      <c r="A2958" s="141"/>
      <c r="B2958" s="134" t="s">
        <v>18</v>
      </c>
      <c r="C2958" s="134" t="s">
        <v>74</v>
      </c>
      <c r="D2958" s="280" t="s">
        <v>1085</v>
      </c>
      <c r="E2958" s="313">
        <v>43484.0</v>
      </c>
      <c r="F2958" s="51" t="str">
        <f t="shared" si="232"/>
        <v>Jan-2019</v>
      </c>
      <c r="G2958" s="266" t="s">
        <v>480</v>
      </c>
      <c r="H2958" s="55" t="s">
        <v>35</v>
      </c>
      <c r="I2958" s="55" t="s">
        <v>804</v>
      </c>
      <c r="J2958" s="55" t="s">
        <v>23</v>
      </c>
      <c r="K2958" s="55" t="s">
        <v>9</v>
      </c>
      <c r="L2958" s="55" t="s">
        <v>24</v>
      </c>
      <c r="M2958" s="55"/>
      <c r="N2958" s="55" t="s">
        <v>99</v>
      </c>
      <c r="O2958" s="143"/>
      <c r="P2958" s="143"/>
      <c r="Q2958" s="144"/>
    </row>
    <row r="2959">
      <c r="A2959" s="94"/>
    </row>
    <row r="2960">
      <c r="A2960" s="133" t="s">
        <v>1088</v>
      </c>
      <c r="B2960" s="134" t="s">
        <v>18</v>
      </c>
      <c r="C2960" s="134" t="s">
        <v>19</v>
      </c>
      <c r="D2960" s="278" t="s">
        <v>1088</v>
      </c>
      <c r="E2960" s="312">
        <v>43485.0</v>
      </c>
      <c r="F2960" s="70" t="str">
        <f t="shared" ref="F2960:F2971" si="233">TEXT(E2952:E2960, "mmm") &amp; "-" &amp; TEXT(E2952:E2960, "yyyy") </f>
        <v>Jan-2019</v>
      </c>
      <c r="G2960" s="152" t="s">
        <v>20</v>
      </c>
      <c r="H2960" s="47" t="s">
        <v>287</v>
      </c>
      <c r="I2960" s="47" t="s">
        <v>94</v>
      </c>
      <c r="J2960" s="47" t="s">
        <v>44</v>
      </c>
      <c r="K2960" s="47" t="s">
        <v>9</v>
      </c>
      <c r="L2960" s="47" t="s">
        <v>24</v>
      </c>
      <c r="M2960" s="47" t="s">
        <v>30</v>
      </c>
      <c r="N2960" s="47" t="s">
        <v>69</v>
      </c>
      <c r="O2960" s="47">
        <v>9.0</v>
      </c>
      <c r="P2960" s="47" t="s">
        <v>596</v>
      </c>
      <c r="Q2960" s="153"/>
    </row>
    <row r="2961">
      <c r="A2961" s="134" t="s">
        <v>18</v>
      </c>
      <c r="B2961" s="134" t="s">
        <v>18</v>
      </c>
      <c r="C2961" s="134" t="s">
        <v>19</v>
      </c>
      <c r="D2961" s="279" t="s">
        <v>1088</v>
      </c>
      <c r="E2961" s="306">
        <v>43485.0</v>
      </c>
      <c r="F2961" s="21" t="str">
        <f t="shared" si="233"/>
        <v>Jan-2019</v>
      </c>
      <c r="G2961" s="101" t="s">
        <v>25</v>
      </c>
      <c r="H2961" s="16" t="s">
        <v>287</v>
      </c>
      <c r="I2961" s="16" t="s">
        <v>94</v>
      </c>
      <c r="J2961" s="16" t="s">
        <v>44</v>
      </c>
      <c r="K2961" s="16" t="s">
        <v>9</v>
      </c>
      <c r="L2961" s="16" t="s">
        <v>30</v>
      </c>
      <c r="M2961" s="16"/>
      <c r="N2961" s="16" t="s">
        <v>106</v>
      </c>
      <c r="O2961" s="16">
        <v>9.0</v>
      </c>
      <c r="P2961" s="16" t="s">
        <v>596</v>
      </c>
      <c r="Q2961" s="102"/>
    </row>
    <row r="2962">
      <c r="A2962" s="134" t="s">
        <v>669</v>
      </c>
      <c r="B2962" s="134" t="s">
        <v>18</v>
      </c>
      <c r="C2962" s="134" t="s">
        <v>19</v>
      </c>
      <c r="D2962" s="279" t="s">
        <v>1088</v>
      </c>
      <c r="E2962" s="306">
        <v>43485.0</v>
      </c>
      <c r="F2962" s="21" t="str">
        <f t="shared" si="233"/>
        <v>Jan-2019</v>
      </c>
      <c r="G2962" s="101" t="s">
        <v>32</v>
      </c>
      <c r="H2962" s="16" t="s">
        <v>287</v>
      </c>
      <c r="I2962" s="16" t="s">
        <v>94</v>
      </c>
      <c r="J2962" s="16" t="s">
        <v>44</v>
      </c>
      <c r="K2962" s="16" t="s">
        <v>9</v>
      </c>
      <c r="L2962" s="16" t="s">
        <v>30</v>
      </c>
      <c r="M2962" s="16"/>
      <c r="N2962" s="16" t="s">
        <v>98</v>
      </c>
      <c r="O2962" s="16">
        <v>9.0</v>
      </c>
      <c r="P2962" s="16" t="s">
        <v>596</v>
      </c>
      <c r="Q2962" s="102"/>
    </row>
    <row r="2963">
      <c r="A2963" s="155">
        <v>43485.0</v>
      </c>
      <c r="B2963" s="134" t="s">
        <v>18</v>
      </c>
      <c r="C2963" s="134" t="s">
        <v>19</v>
      </c>
      <c r="D2963" s="279" t="s">
        <v>1088</v>
      </c>
      <c r="E2963" s="306">
        <v>43485.0</v>
      </c>
      <c r="F2963" s="21" t="str">
        <f t="shared" si="233"/>
        <v>Jan-2019</v>
      </c>
      <c r="G2963" t="s">
        <v>20</v>
      </c>
      <c r="H2963" s="25" t="s">
        <v>287</v>
      </c>
      <c r="I2963" s="25" t="s">
        <v>1089</v>
      </c>
      <c r="J2963" s="25" t="s">
        <v>44</v>
      </c>
      <c r="K2963" s="25" t="s">
        <v>9</v>
      </c>
      <c r="L2963" s="25" t="s">
        <v>30</v>
      </c>
      <c r="M2963" s="25" t="s">
        <v>30</v>
      </c>
      <c r="N2963" s="25" t="s">
        <v>69</v>
      </c>
      <c r="Q2963" s="99"/>
    </row>
    <row r="2964">
      <c r="A2964" s="134" t="s">
        <v>19</v>
      </c>
      <c r="B2964" s="134" t="s">
        <v>18</v>
      </c>
      <c r="C2964" s="134" t="s">
        <v>19</v>
      </c>
      <c r="D2964" s="279" t="s">
        <v>1088</v>
      </c>
      <c r="E2964" s="306">
        <v>43485.0</v>
      </c>
      <c r="F2964" s="21" t="str">
        <f t="shared" si="233"/>
        <v>Jan-2019</v>
      </c>
      <c r="G2964" t="s">
        <v>25</v>
      </c>
      <c r="H2964" s="25" t="s">
        <v>287</v>
      </c>
      <c r="I2964" s="25" t="s">
        <v>1089</v>
      </c>
      <c r="J2964" s="25" t="s">
        <v>27</v>
      </c>
      <c r="K2964" s="25" t="s">
        <v>9</v>
      </c>
      <c r="L2964" s="25" t="s">
        <v>30</v>
      </c>
      <c r="M2964" s="25"/>
      <c r="N2964" s="25" t="s">
        <v>98</v>
      </c>
      <c r="Q2964" s="99"/>
    </row>
    <row r="2965">
      <c r="A2965" s="176" t="s">
        <v>1090</v>
      </c>
      <c r="B2965" s="134" t="s">
        <v>18</v>
      </c>
      <c r="C2965" s="134" t="s">
        <v>19</v>
      </c>
      <c r="D2965" s="279" t="s">
        <v>1088</v>
      </c>
      <c r="E2965" s="306">
        <v>43485.0</v>
      </c>
      <c r="F2965" s="21" t="str">
        <f t="shared" si="233"/>
        <v>Jan-2019</v>
      </c>
      <c r="G2965" s="101" t="s">
        <v>20</v>
      </c>
      <c r="H2965" s="16" t="s">
        <v>35</v>
      </c>
      <c r="I2965" s="16" t="s">
        <v>450</v>
      </c>
      <c r="J2965" s="16" t="s">
        <v>9</v>
      </c>
      <c r="K2965" s="16" t="s">
        <v>9</v>
      </c>
      <c r="L2965" s="16" t="s">
        <v>24</v>
      </c>
      <c r="M2965" s="16" t="s">
        <v>24</v>
      </c>
      <c r="N2965" s="16" t="s">
        <v>69</v>
      </c>
      <c r="O2965" s="101"/>
      <c r="P2965" s="101"/>
      <c r="Q2965" s="102"/>
    </row>
    <row r="2966">
      <c r="A2966" s="140"/>
      <c r="B2966" s="134" t="s">
        <v>18</v>
      </c>
      <c r="C2966" s="134" t="s">
        <v>19</v>
      </c>
      <c r="D2966" s="279" t="s">
        <v>1088</v>
      </c>
      <c r="E2966" s="306">
        <v>43485.0</v>
      </c>
      <c r="F2966" s="21" t="str">
        <f t="shared" si="233"/>
        <v>Jan-2019</v>
      </c>
      <c r="G2966" s="101" t="s">
        <v>25</v>
      </c>
      <c r="H2966" s="16" t="s">
        <v>35</v>
      </c>
      <c r="I2966" s="16" t="s">
        <v>450</v>
      </c>
      <c r="J2966" s="16" t="s">
        <v>9</v>
      </c>
      <c r="K2966" s="16" t="s">
        <v>9</v>
      </c>
      <c r="L2966" s="16" t="s">
        <v>24</v>
      </c>
      <c r="M2966" s="16"/>
      <c r="N2966" s="16" t="s">
        <v>106</v>
      </c>
      <c r="O2966" s="101"/>
      <c r="P2966" s="101"/>
      <c r="Q2966" s="102"/>
    </row>
    <row r="2967">
      <c r="A2967" s="140"/>
      <c r="B2967" s="134" t="s">
        <v>18</v>
      </c>
      <c r="C2967" s="134" t="s">
        <v>19</v>
      </c>
      <c r="D2967" s="279" t="s">
        <v>1088</v>
      </c>
      <c r="E2967" s="306">
        <v>43485.0</v>
      </c>
      <c r="F2967" s="21" t="str">
        <f t="shared" si="233"/>
        <v>Jan-2019</v>
      </c>
      <c r="G2967" t="s">
        <v>20</v>
      </c>
      <c r="H2967" s="25" t="s">
        <v>35</v>
      </c>
      <c r="I2967" s="25" t="s">
        <v>1091</v>
      </c>
      <c r="J2967" s="25" t="s">
        <v>86</v>
      </c>
      <c r="K2967" s="25" t="s">
        <v>9</v>
      </c>
      <c r="L2967" s="25" t="s">
        <v>30</v>
      </c>
      <c r="M2967" s="25" t="s">
        <v>30</v>
      </c>
      <c r="N2967" s="25" t="s">
        <v>69</v>
      </c>
      <c r="Q2967" s="99"/>
    </row>
    <row r="2968">
      <c r="A2968" s="140"/>
      <c r="B2968" s="134" t="s">
        <v>18</v>
      </c>
      <c r="C2968" s="134" t="s">
        <v>19</v>
      </c>
      <c r="D2968" s="279" t="s">
        <v>1088</v>
      </c>
      <c r="E2968" s="306">
        <v>43485.0</v>
      </c>
      <c r="F2968" s="21" t="str">
        <f t="shared" si="233"/>
        <v>Jan-2019</v>
      </c>
      <c r="G2968" t="s">
        <v>25</v>
      </c>
      <c r="H2968" s="25" t="s">
        <v>35</v>
      </c>
      <c r="I2968" s="25" t="s">
        <v>1091</v>
      </c>
      <c r="J2968" s="25" t="s">
        <v>86</v>
      </c>
      <c r="K2968" s="25" t="s">
        <v>9</v>
      </c>
      <c r="L2968" s="25" t="s">
        <v>30</v>
      </c>
      <c r="M2968" s="25"/>
      <c r="N2968" s="25" t="s">
        <v>106</v>
      </c>
      <c r="Q2968" s="99"/>
    </row>
    <row r="2969">
      <c r="A2969" s="140"/>
      <c r="B2969" s="134" t="s">
        <v>18</v>
      </c>
      <c r="C2969" s="134" t="s">
        <v>19</v>
      </c>
      <c r="D2969" s="279" t="s">
        <v>1088</v>
      </c>
      <c r="E2969" s="306">
        <v>43485.0</v>
      </c>
      <c r="F2969" s="21" t="str">
        <f t="shared" si="233"/>
        <v>Jan-2019</v>
      </c>
      <c r="G2969" s="101" t="s">
        <v>20</v>
      </c>
      <c r="H2969" s="16" t="s">
        <v>35</v>
      </c>
      <c r="I2969" s="16" t="s">
        <v>92</v>
      </c>
      <c r="J2969" s="16" t="s">
        <v>27</v>
      </c>
      <c r="K2969" s="16" t="s">
        <v>9</v>
      </c>
      <c r="L2969" s="16" t="s">
        <v>24</v>
      </c>
      <c r="M2969" s="16" t="s">
        <v>24</v>
      </c>
      <c r="N2969" s="16" t="s">
        <v>37</v>
      </c>
      <c r="O2969" s="101"/>
      <c r="P2969" s="101"/>
      <c r="Q2969" s="102"/>
    </row>
    <row r="2970">
      <c r="A2970" s="140"/>
      <c r="B2970" s="134" t="s">
        <v>18</v>
      </c>
      <c r="C2970" s="134" t="s">
        <v>19</v>
      </c>
      <c r="D2970" s="279" t="s">
        <v>1088</v>
      </c>
      <c r="E2970" s="306">
        <v>43485.0</v>
      </c>
      <c r="F2970" s="21" t="str">
        <f t="shared" si="233"/>
        <v>Jan-2019</v>
      </c>
      <c r="G2970" s="101" t="s">
        <v>25</v>
      </c>
      <c r="H2970" s="16" t="s">
        <v>35</v>
      </c>
      <c r="I2970" s="16" t="s">
        <v>92</v>
      </c>
      <c r="J2970" s="16" t="s">
        <v>27</v>
      </c>
      <c r="K2970" s="16" t="s">
        <v>9</v>
      </c>
      <c r="L2970" s="16" t="s">
        <v>30</v>
      </c>
      <c r="M2970" s="16"/>
      <c r="N2970" s="16" t="s">
        <v>106</v>
      </c>
      <c r="O2970" s="101"/>
      <c r="P2970" s="101"/>
      <c r="Q2970" s="102"/>
    </row>
    <row r="2971">
      <c r="A2971" s="141"/>
      <c r="B2971" s="134" t="s">
        <v>18</v>
      </c>
      <c r="C2971" s="134" t="s">
        <v>19</v>
      </c>
      <c r="D2971" s="280" t="s">
        <v>1088</v>
      </c>
      <c r="E2971" s="313">
        <v>43485.0</v>
      </c>
      <c r="F2971" s="51" t="str">
        <f t="shared" si="233"/>
        <v>Jan-2019</v>
      </c>
      <c r="G2971" s="105" t="s">
        <v>32</v>
      </c>
      <c r="H2971" s="38" t="s">
        <v>35</v>
      </c>
      <c r="I2971" s="38" t="s">
        <v>92</v>
      </c>
      <c r="J2971" s="38" t="s">
        <v>27</v>
      </c>
      <c r="K2971" s="38" t="s">
        <v>9</v>
      </c>
      <c r="L2971" s="38" t="s">
        <v>24</v>
      </c>
      <c r="M2971" s="38"/>
      <c r="N2971" s="38" t="s">
        <v>69</v>
      </c>
      <c r="O2971" s="105"/>
      <c r="P2971" s="105"/>
      <c r="Q2971" s="106"/>
    </row>
    <row r="2972">
      <c r="A2972" s="94"/>
    </row>
    <row r="2973">
      <c r="A2973" s="133" t="s">
        <v>1092</v>
      </c>
      <c r="B2973" s="134" t="s">
        <v>18</v>
      </c>
      <c r="C2973" s="134" t="s">
        <v>84</v>
      </c>
      <c r="D2973" s="278" t="s">
        <v>1092</v>
      </c>
      <c r="E2973" s="239">
        <v>43491.0</v>
      </c>
      <c r="F2973" s="70" t="str">
        <f t="shared" ref="F2973:F2994" si="234">TEXT(E2965:E2973, "mmm") &amp; "-" &amp; TEXT(E2965:E2973, "yyyy") </f>
        <v>Jan-2019</v>
      </c>
      <c r="G2973" s="165" t="s">
        <v>20</v>
      </c>
      <c r="H2973" s="73" t="s">
        <v>287</v>
      </c>
      <c r="I2973" s="73" t="s">
        <v>1093</v>
      </c>
      <c r="J2973" s="73" t="s">
        <v>86</v>
      </c>
      <c r="K2973" s="73" t="s">
        <v>9</v>
      </c>
      <c r="L2973" s="73" t="s">
        <v>30</v>
      </c>
      <c r="M2973" s="73" t="s">
        <v>30</v>
      </c>
      <c r="N2973" s="73" t="s">
        <v>99</v>
      </c>
      <c r="O2973" s="165"/>
      <c r="P2973" s="165"/>
      <c r="Q2973" s="166"/>
    </row>
    <row r="2974">
      <c r="A2974" s="134" t="s">
        <v>18</v>
      </c>
      <c r="B2974" s="134" t="s">
        <v>18</v>
      </c>
      <c r="C2974" s="134" t="s">
        <v>84</v>
      </c>
      <c r="D2974" s="279" t="s">
        <v>1092</v>
      </c>
      <c r="E2974" s="240">
        <v>43491.0</v>
      </c>
      <c r="F2974" s="21" t="str">
        <f t="shared" si="234"/>
        <v>Jan-2019</v>
      </c>
      <c r="G2974" t="s">
        <v>25</v>
      </c>
      <c r="H2974" s="25" t="s">
        <v>287</v>
      </c>
      <c r="I2974" s="25" t="s">
        <v>1093</v>
      </c>
      <c r="J2974" s="25" t="s">
        <v>86</v>
      </c>
      <c r="K2974" s="25" t="s">
        <v>9</v>
      </c>
      <c r="L2974" s="25" t="s">
        <v>30</v>
      </c>
      <c r="M2974" s="25"/>
      <c r="N2974" s="25" t="s">
        <v>98</v>
      </c>
      <c r="Q2974" s="99"/>
    </row>
    <row r="2975">
      <c r="A2975" s="134" t="s">
        <v>1094</v>
      </c>
      <c r="B2975" s="134" t="s">
        <v>18</v>
      </c>
      <c r="C2975" s="134" t="s">
        <v>84</v>
      </c>
      <c r="D2975" s="279" t="s">
        <v>1092</v>
      </c>
      <c r="E2975" s="240">
        <v>43491.0</v>
      </c>
      <c r="F2975" s="21" t="str">
        <f t="shared" si="234"/>
        <v>Jan-2019</v>
      </c>
      <c r="G2975" s="101" t="s">
        <v>20</v>
      </c>
      <c r="H2975" s="16" t="s">
        <v>287</v>
      </c>
      <c r="I2975" s="16" t="s">
        <v>452</v>
      </c>
      <c r="J2975" s="16" t="s">
        <v>27</v>
      </c>
      <c r="K2975" s="16" t="s">
        <v>9</v>
      </c>
      <c r="L2975" s="16" t="s">
        <v>24</v>
      </c>
      <c r="M2975" s="16" t="s">
        <v>24</v>
      </c>
      <c r="N2975" s="16" t="s">
        <v>98</v>
      </c>
      <c r="O2975" s="101"/>
      <c r="P2975" s="101"/>
      <c r="Q2975" s="102"/>
    </row>
    <row r="2976">
      <c r="A2976" s="168">
        <v>43491.0</v>
      </c>
      <c r="B2976" s="134" t="s">
        <v>18</v>
      </c>
      <c r="C2976" s="134" t="s">
        <v>84</v>
      </c>
      <c r="D2976" s="279" t="s">
        <v>1092</v>
      </c>
      <c r="E2976" s="240">
        <v>43491.0</v>
      </c>
      <c r="F2976" s="21" t="str">
        <f t="shared" si="234"/>
        <v>Jan-2019</v>
      </c>
      <c r="G2976" s="101" t="s">
        <v>25</v>
      </c>
      <c r="H2976" s="16" t="s">
        <v>287</v>
      </c>
      <c r="I2976" s="16" t="s">
        <v>452</v>
      </c>
      <c r="J2976" s="16" t="s">
        <v>27</v>
      </c>
      <c r="K2976" s="16" t="s">
        <v>9</v>
      </c>
      <c r="L2976" s="16" t="s">
        <v>24</v>
      </c>
      <c r="M2976" s="16"/>
      <c r="N2976" s="16" t="s">
        <v>106</v>
      </c>
      <c r="O2976" s="101"/>
      <c r="P2976" s="101"/>
      <c r="Q2976" s="102"/>
    </row>
    <row r="2977">
      <c r="A2977" s="134" t="s">
        <v>84</v>
      </c>
      <c r="B2977" s="134" t="s">
        <v>18</v>
      </c>
      <c r="C2977" s="134" t="s">
        <v>84</v>
      </c>
      <c r="D2977" s="279" t="s">
        <v>1092</v>
      </c>
      <c r="E2977" s="240">
        <v>43491.0</v>
      </c>
      <c r="F2977" s="21" t="str">
        <f t="shared" si="234"/>
        <v>Jan-2019</v>
      </c>
      <c r="G2977" s="32" t="s">
        <v>20</v>
      </c>
      <c r="H2977" s="25" t="s">
        <v>287</v>
      </c>
      <c r="I2977" s="25" t="s">
        <v>684</v>
      </c>
      <c r="J2977" s="25" t="s">
        <v>9</v>
      </c>
      <c r="K2977" s="25" t="s">
        <v>9</v>
      </c>
      <c r="L2977" s="25" t="s">
        <v>30</v>
      </c>
      <c r="M2977" s="25" t="s">
        <v>30</v>
      </c>
      <c r="N2977" s="25" t="s">
        <v>69</v>
      </c>
      <c r="Q2977" s="99"/>
    </row>
    <row r="2978">
      <c r="A2978" s="176" t="s">
        <v>1095</v>
      </c>
      <c r="B2978" s="134" t="s">
        <v>18</v>
      </c>
      <c r="C2978" s="134" t="s">
        <v>84</v>
      </c>
      <c r="D2978" s="279" t="s">
        <v>1092</v>
      </c>
      <c r="E2978" s="240">
        <v>43491.0</v>
      </c>
      <c r="F2978" s="21" t="str">
        <f t="shared" si="234"/>
        <v>Jan-2019</v>
      </c>
      <c r="G2978" s="32" t="s">
        <v>25</v>
      </c>
      <c r="H2978" s="25" t="s">
        <v>287</v>
      </c>
      <c r="I2978" s="25" t="s">
        <v>684</v>
      </c>
      <c r="J2978" s="25" t="s">
        <v>9</v>
      </c>
      <c r="K2978" s="25" t="s">
        <v>9</v>
      </c>
      <c r="L2978" s="25" t="s">
        <v>30</v>
      </c>
      <c r="M2978" s="25"/>
      <c r="N2978" s="25" t="s">
        <v>106</v>
      </c>
      <c r="Q2978" s="99"/>
    </row>
    <row r="2979">
      <c r="A2979" s="140"/>
      <c r="B2979" s="134" t="s">
        <v>18</v>
      </c>
      <c r="C2979" s="134" t="s">
        <v>84</v>
      </c>
      <c r="D2979" s="279" t="s">
        <v>1092</v>
      </c>
      <c r="E2979" s="240">
        <v>43491.0</v>
      </c>
      <c r="F2979" s="21" t="str">
        <f t="shared" si="234"/>
        <v>Jan-2019</v>
      </c>
      <c r="G2979" s="19" t="s">
        <v>20</v>
      </c>
      <c r="H2979" s="16" t="s">
        <v>287</v>
      </c>
      <c r="I2979" s="16" t="s">
        <v>194</v>
      </c>
      <c r="J2979" s="16" t="s">
        <v>23</v>
      </c>
      <c r="K2979" s="16" t="s">
        <v>9</v>
      </c>
      <c r="L2979" s="16" t="s">
        <v>24</v>
      </c>
      <c r="M2979" s="16" t="s">
        <v>24</v>
      </c>
      <c r="N2979" s="16" t="s">
        <v>37</v>
      </c>
      <c r="O2979" s="101"/>
      <c r="P2979" s="101"/>
      <c r="Q2979" s="102"/>
    </row>
    <row r="2980">
      <c r="A2980" s="176" t="s">
        <v>1096</v>
      </c>
      <c r="B2980" s="134" t="s">
        <v>18</v>
      </c>
      <c r="C2980" s="134" t="s">
        <v>84</v>
      </c>
      <c r="D2980" s="279" t="s">
        <v>1092</v>
      </c>
      <c r="E2980" s="240">
        <v>43491.0</v>
      </c>
      <c r="F2980" s="21" t="str">
        <f t="shared" si="234"/>
        <v>Jan-2019</v>
      </c>
      <c r="G2980" s="19" t="s">
        <v>25</v>
      </c>
      <c r="H2980" s="16" t="s">
        <v>287</v>
      </c>
      <c r="I2980" s="16" t="s">
        <v>194</v>
      </c>
      <c r="J2980" s="16" t="s">
        <v>23</v>
      </c>
      <c r="K2980" s="16" t="s">
        <v>9</v>
      </c>
      <c r="L2980" s="16" t="s">
        <v>24</v>
      </c>
      <c r="M2980" s="16"/>
      <c r="N2980" s="16" t="s">
        <v>106</v>
      </c>
      <c r="O2980" s="101"/>
      <c r="P2980" s="101"/>
      <c r="Q2980" s="102"/>
    </row>
    <row r="2981">
      <c r="A2981" s="176" t="s">
        <v>1097</v>
      </c>
      <c r="B2981" s="134" t="s">
        <v>18</v>
      </c>
      <c r="C2981" s="134" t="s">
        <v>84</v>
      </c>
      <c r="D2981" s="279" t="s">
        <v>1092</v>
      </c>
      <c r="E2981" s="240">
        <v>43491.0</v>
      </c>
      <c r="F2981" s="21" t="str">
        <f t="shared" si="234"/>
        <v>Jan-2019</v>
      </c>
      <c r="G2981" s="32" t="s">
        <v>20</v>
      </c>
      <c r="H2981" s="25" t="s">
        <v>287</v>
      </c>
      <c r="I2981" s="25" t="s">
        <v>302</v>
      </c>
      <c r="J2981" s="25" t="s">
        <v>27</v>
      </c>
      <c r="K2981" s="25" t="s">
        <v>9</v>
      </c>
      <c r="L2981" s="25" t="s">
        <v>30</v>
      </c>
      <c r="M2981" s="25" t="s">
        <v>30</v>
      </c>
      <c r="N2981" s="25" t="s">
        <v>29</v>
      </c>
      <c r="Q2981" s="99"/>
    </row>
    <row r="2982">
      <c r="A2982" s="140"/>
      <c r="B2982" s="134" t="s">
        <v>18</v>
      </c>
      <c r="C2982" s="134" t="s">
        <v>84</v>
      </c>
      <c r="D2982" s="279" t="s">
        <v>1092</v>
      </c>
      <c r="E2982" s="240">
        <v>43491.0</v>
      </c>
      <c r="F2982" s="21" t="str">
        <f t="shared" si="234"/>
        <v>Jan-2019</v>
      </c>
      <c r="G2982" s="32" t="s">
        <v>25</v>
      </c>
      <c r="H2982" s="25" t="s">
        <v>287</v>
      </c>
      <c r="I2982" s="25" t="s">
        <v>302</v>
      </c>
      <c r="J2982" s="25" t="s">
        <v>27</v>
      </c>
      <c r="K2982" s="25" t="s">
        <v>9</v>
      </c>
      <c r="L2982" s="25" t="s">
        <v>30</v>
      </c>
      <c r="M2982" s="25"/>
      <c r="N2982" s="25" t="s">
        <v>69</v>
      </c>
      <c r="Q2982" s="99"/>
    </row>
    <row r="2983">
      <c r="A2983" s="140"/>
      <c r="B2983" s="134" t="s">
        <v>18</v>
      </c>
      <c r="C2983" s="134" t="s">
        <v>84</v>
      </c>
      <c r="D2983" s="279" t="s">
        <v>1092</v>
      </c>
      <c r="E2983" s="240">
        <v>43491.0</v>
      </c>
      <c r="F2983" s="21" t="str">
        <f t="shared" si="234"/>
        <v>Jan-2019</v>
      </c>
      <c r="G2983" s="19" t="s">
        <v>20</v>
      </c>
      <c r="H2983" s="16" t="s">
        <v>287</v>
      </c>
      <c r="I2983" s="16" t="s">
        <v>716</v>
      </c>
      <c r="J2983" s="16" t="s">
        <v>9</v>
      </c>
      <c r="K2983" s="16" t="s">
        <v>9</v>
      </c>
      <c r="L2983" s="16" t="s">
        <v>24</v>
      </c>
      <c r="M2983" s="16" t="s">
        <v>24</v>
      </c>
      <c r="N2983" s="16" t="s">
        <v>69</v>
      </c>
      <c r="O2983" s="101"/>
      <c r="P2983" s="101"/>
      <c r="Q2983" s="102"/>
      <c r="R2983" s="25" t="s">
        <v>1098</v>
      </c>
    </row>
    <row r="2984">
      <c r="A2984" s="140"/>
      <c r="B2984" s="134" t="s">
        <v>18</v>
      </c>
      <c r="C2984" s="134" t="s">
        <v>84</v>
      </c>
      <c r="D2984" s="279" t="s">
        <v>1092</v>
      </c>
      <c r="E2984" s="240">
        <v>43491.0</v>
      </c>
      <c r="F2984" s="21" t="str">
        <f t="shared" si="234"/>
        <v>Jan-2019</v>
      </c>
      <c r="G2984" s="19" t="s">
        <v>25</v>
      </c>
      <c r="H2984" s="16" t="s">
        <v>287</v>
      </c>
      <c r="I2984" s="16" t="s">
        <v>716</v>
      </c>
      <c r="J2984" s="16" t="s">
        <v>9</v>
      </c>
      <c r="K2984" s="16" t="s">
        <v>9</v>
      </c>
      <c r="L2984" s="16" t="s">
        <v>24</v>
      </c>
      <c r="M2984" s="16"/>
      <c r="N2984" s="16" t="s">
        <v>69</v>
      </c>
      <c r="O2984" s="101"/>
      <c r="P2984" s="101"/>
      <c r="Q2984" s="102"/>
      <c r="R2984" s="25" t="s">
        <v>1098</v>
      </c>
    </row>
    <row r="2985">
      <c r="A2985" s="140"/>
      <c r="B2985" s="134" t="s">
        <v>18</v>
      </c>
      <c r="C2985" s="134" t="s">
        <v>84</v>
      </c>
      <c r="D2985" s="279" t="s">
        <v>1092</v>
      </c>
      <c r="E2985" s="240">
        <v>43491.0</v>
      </c>
      <c r="F2985" s="21" t="str">
        <f t="shared" si="234"/>
        <v>Jan-2019</v>
      </c>
      <c r="G2985" s="32" t="s">
        <v>20</v>
      </c>
      <c r="H2985" s="25" t="s">
        <v>287</v>
      </c>
      <c r="I2985" s="25" t="s">
        <v>633</v>
      </c>
      <c r="J2985" s="25" t="s">
        <v>27</v>
      </c>
      <c r="K2985" s="25" t="s">
        <v>9</v>
      </c>
      <c r="L2985" s="25" t="s">
        <v>24</v>
      </c>
      <c r="M2985" s="25" t="s">
        <v>30</v>
      </c>
      <c r="N2985" s="25" t="s">
        <v>37</v>
      </c>
      <c r="Q2985" s="99"/>
    </row>
    <row r="2986">
      <c r="A2986" s="140"/>
      <c r="B2986" s="134" t="s">
        <v>18</v>
      </c>
      <c r="C2986" s="134" t="s">
        <v>84</v>
      </c>
      <c r="D2986" s="279" t="s">
        <v>1092</v>
      </c>
      <c r="E2986" s="240">
        <v>43491.0</v>
      </c>
      <c r="F2986" s="21" t="str">
        <f t="shared" si="234"/>
        <v>Jan-2019</v>
      </c>
      <c r="G2986" s="32" t="s">
        <v>25</v>
      </c>
      <c r="H2986" s="25" t="s">
        <v>287</v>
      </c>
      <c r="I2986" s="25" t="s">
        <v>633</v>
      </c>
      <c r="J2986" s="25" t="s">
        <v>27</v>
      </c>
      <c r="K2986" s="25" t="s">
        <v>9</v>
      </c>
      <c r="L2986" s="25" t="s">
        <v>30</v>
      </c>
      <c r="M2986" s="25"/>
      <c r="N2986" s="25" t="s">
        <v>106</v>
      </c>
      <c r="Q2986" s="99"/>
    </row>
    <row r="2987">
      <c r="A2987" s="140"/>
      <c r="B2987" s="134" t="s">
        <v>18</v>
      </c>
      <c r="C2987" s="134" t="s">
        <v>84</v>
      </c>
      <c r="D2987" s="279" t="s">
        <v>1092</v>
      </c>
      <c r="E2987" s="240">
        <v>43491.0</v>
      </c>
      <c r="F2987" s="21" t="str">
        <f t="shared" si="234"/>
        <v>Jan-2019</v>
      </c>
      <c r="G2987" s="32" t="s">
        <v>32</v>
      </c>
      <c r="H2987" s="25" t="s">
        <v>287</v>
      </c>
      <c r="I2987" s="25" t="s">
        <v>633</v>
      </c>
      <c r="J2987" s="25" t="s">
        <v>27</v>
      </c>
      <c r="K2987" s="25" t="s">
        <v>9</v>
      </c>
      <c r="L2987" s="25" t="s">
        <v>30</v>
      </c>
      <c r="M2987" s="25"/>
      <c r="N2987" s="25" t="s">
        <v>69</v>
      </c>
      <c r="Q2987" s="99"/>
    </row>
    <row r="2988">
      <c r="A2988" s="140"/>
      <c r="B2988" s="134" t="s">
        <v>18</v>
      </c>
      <c r="C2988" s="134" t="s">
        <v>84</v>
      </c>
      <c r="D2988" s="279" t="s">
        <v>1092</v>
      </c>
      <c r="E2988" s="240">
        <v>43491.0</v>
      </c>
      <c r="F2988" s="21" t="str">
        <f t="shared" si="234"/>
        <v>Jan-2019</v>
      </c>
      <c r="G2988" s="19" t="s">
        <v>20</v>
      </c>
      <c r="H2988" s="16" t="s">
        <v>35</v>
      </c>
      <c r="I2988" s="16" t="s">
        <v>471</v>
      </c>
      <c r="J2988" s="16" t="s">
        <v>71</v>
      </c>
      <c r="K2988" s="16" t="s">
        <v>9</v>
      </c>
      <c r="L2988" s="16" t="s">
        <v>24</v>
      </c>
      <c r="M2988" s="16" t="s">
        <v>24</v>
      </c>
      <c r="N2988" s="16" t="s">
        <v>99</v>
      </c>
      <c r="O2988" s="101"/>
      <c r="P2988" s="101"/>
      <c r="Q2988" s="102"/>
    </row>
    <row r="2989">
      <c r="A2989" s="140"/>
      <c r="B2989" s="134" t="s">
        <v>18</v>
      </c>
      <c r="C2989" s="134" t="s">
        <v>84</v>
      </c>
      <c r="D2989" s="279" t="s">
        <v>1092</v>
      </c>
      <c r="E2989" s="240">
        <v>43491.0</v>
      </c>
      <c r="F2989" s="21" t="str">
        <f t="shared" si="234"/>
        <v>Jan-2019</v>
      </c>
      <c r="G2989" s="19" t="s">
        <v>25</v>
      </c>
      <c r="H2989" s="16" t="s">
        <v>35</v>
      </c>
      <c r="I2989" s="16" t="s">
        <v>471</v>
      </c>
      <c r="J2989" s="16" t="s">
        <v>71</v>
      </c>
      <c r="K2989" s="16" t="s">
        <v>9</v>
      </c>
      <c r="L2989" s="16" t="s">
        <v>24</v>
      </c>
      <c r="M2989" s="16"/>
      <c r="N2989" s="16" t="s">
        <v>106</v>
      </c>
      <c r="O2989" s="101"/>
      <c r="P2989" s="101"/>
      <c r="Q2989" s="102"/>
    </row>
    <row r="2990">
      <c r="A2990" s="140"/>
      <c r="B2990" s="134" t="s">
        <v>18</v>
      </c>
      <c r="C2990" s="134" t="s">
        <v>84</v>
      </c>
      <c r="D2990" s="279" t="s">
        <v>1092</v>
      </c>
      <c r="E2990" s="240">
        <v>43491.0</v>
      </c>
      <c r="F2990" s="21" t="str">
        <f t="shared" si="234"/>
        <v>Jan-2019</v>
      </c>
      <c r="G2990" s="32" t="s">
        <v>20</v>
      </c>
      <c r="H2990" s="25" t="s">
        <v>35</v>
      </c>
      <c r="I2990" s="25" t="s">
        <v>1099</v>
      </c>
      <c r="J2990" s="25" t="s">
        <v>9</v>
      </c>
      <c r="K2990" s="25" t="s">
        <v>9</v>
      </c>
      <c r="L2990" s="25" t="s">
        <v>30</v>
      </c>
      <c r="M2990" s="25" t="s">
        <v>30</v>
      </c>
      <c r="N2990" s="25" t="s">
        <v>98</v>
      </c>
      <c r="Q2990" s="99"/>
    </row>
    <row r="2991">
      <c r="A2991" s="140"/>
      <c r="B2991" s="134" t="s">
        <v>18</v>
      </c>
      <c r="C2991" s="134" t="s">
        <v>84</v>
      </c>
      <c r="D2991" s="279" t="s">
        <v>1092</v>
      </c>
      <c r="E2991" s="240">
        <v>43491.0</v>
      </c>
      <c r="F2991" s="21" t="str">
        <f t="shared" si="234"/>
        <v>Jan-2019</v>
      </c>
      <c r="G2991" s="32" t="s">
        <v>25</v>
      </c>
      <c r="H2991" s="25" t="s">
        <v>35</v>
      </c>
      <c r="I2991" s="25" t="s">
        <v>1099</v>
      </c>
      <c r="J2991" s="25" t="s">
        <v>9</v>
      </c>
      <c r="K2991" s="25" t="s">
        <v>9</v>
      </c>
      <c r="L2991" s="25" t="s">
        <v>30</v>
      </c>
      <c r="M2991" s="25"/>
      <c r="N2991" s="25" t="s">
        <v>29</v>
      </c>
      <c r="Q2991" s="99"/>
    </row>
    <row r="2992">
      <c r="A2992" s="140"/>
      <c r="B2992" s="134" t="s">
        <v>18</v>
      </c>
      <c r="C2992" s="134" t="s">
        <v>84</v>
      </c>
      <c r="D2992" s="279" t="s">
        <v>1092</v>
      </c>
      <c r="E2992" s="240">
        <v>43491.0</v>
      </c>
      <c r="F2992" s="21" t="str">
        <f t="shared" si="234"/>
        <v>Jan-2019</v>
      </c>
      <c r="G2992" s="101" t="s">
        <v>146</v>
      </c>
      <c r="H2992" s="16" t="s">
        <v>35</v>
      </c>
      <c r="I2992" s="16" t="s">
        <v>989</v>
      </c>
      <c r="J2992" s="16" t="s">
        <v>86</v>
      </c>
      <c r="K2992" s="16" t="s">
        <v>9</v>
      </c>
      <c r="L2992" s="16" t="s">
        <v>24</v>
      </c>
      <c r="M2992" s="16" t="s">
        <v>24</v>
      </c>
      <c r="N2992" s="16" t="s">
        <v>69</v>
      </c>
      <c r="O2992" s="101"/>
      <c r="P2992" s="101"/>
      <c r="Q2992" s="102"/>
    </row>
    <row r="2993">
      <c r="A2993" s="140"/>
      <c r="B2993" s="134" t="s">
        <v>18</v>
      </c>
      <c r="C2993" s="134" t="s">
        <v>84</v>
      </c>
      <c r="D2993" s="279" t="s">
        <v>1092</v>
      </c>
      <c r="E2993" s="240">
        <v>43491.0</v>
      </c>
      <c r="F2993" s="21" t="str">
        <f t="shared" si="234"/>
        <v>Jan-2019</v>
      </c>
      <c r="G2993" s="101" t="s">
        <v>149</v>
      </c>
      <c r="H2993" s="16" t="s">
        <v>35</v>
      </c>
      <c r="I2993" s="16" t="s">
        <v>989</v>
      </c>
      <c r="J2993" s="16" t="s">
        <v>86</v>
      </c>
      <c r="K2993" s="16" t="s">
        <v>9</v>
      </c>
      <c r="L2993" s="16" t="s">
        <v>24</v>
      </c>
      <c r="M2993" s="16"/>
      <c r="N2993" s="16" t="s">
        <v>29</v>
      </c>
      <c r="O2993" s="101"/>
      <c r="P2993" s="101"/>
      <c r="Q2993" s="102"/>
    </row>
    <row r="2994">
      <c r="A2994" s="141"/>
      <c r="B2994" s="134" t="s">
        <v>18</v>
      </c>
      <c r="C2994" s="134" t="s">
        <v>84</v>
      </c>
      <c r="D2994" s="280" t="s">
        <v>1092</v>
      </c>
      <c r="E2994" s="241">
        <v>43491.0</v>
      </c>
      <c r="F2994" s="51" t="str">
        <f t="shared" si="234"/>
        <v>Jan-2019</v>
      </c>
      <c r="G2994" s="105" t="s">
        <v>222</v>
      </c>
      <c r="H2994" s="38" t="s">
        <v>35</v>
      </c>
      <c r="I2994" s="38" t="s">
        <v>989</v>
      </c>
      <c r="J2994" s="38" t="s">
        <v>86</v>
      </c>
      <c r="K2994" s="38" t="s">
        <v>9</v>
      </c>
      <c r="L2994" s="38" t="s">
        <v>24</v>
      </c>
      <c r="M2994" s="38"/>
      <c r="N2994" s="38" t="s">
        <v>29</v>
      </c>
      <c r="O2994" s="105"/>
      <c r="P2994" s="105"/>
      <c r="Q2994" s="106"/>
    </row>
    <row r="2995">
      <c r="A2995" s="94"/>
      <c r="F2995" s="21"/>
    </row>
    <row r="2996">
      <c r="A2996" s="133" t="s">
        <v>1100</v>
      </c>
      <c r="B2996" s="134" t="s">
        <v>527</v>
      </c>
      <c r="C2996" s="134" t="s">
        <v>19</v>
      </c>
      <c r="D2996" s="278" t="s">
        <v>1100</v>
      </c>
      <c r="E2996" s="239">
        <v>43505.0</v>
      </c>
      <c r="F2996" s="70" t="str">
        <f t="shared" ref="F2996:F3017" si="235">TEXT(E2988:E2996, "mmm") &amp; "-" &amp; TEXT(E2988:E2996, "yyyy") </f>
        <v>Feb-2019</v>
      </c>
      <c r="G2996" s="274" t="s">
        <v>20</v>
      </c>
      <c r="H2996" s="73" t="s">
        <v>1101</v>
      </c>
      <c r="I2996" s="73" t="s">
        <v>187</v>
      </c>
      <c r="J2996" s="73" t="s">
        <v>27</v>
      </c>
      <c r="K2996" s="73" t="s">
        <v>9</v>
      </c>
      <c r="L2996" s="73" t="s">
        <v>30</v>
      </c>
      <c r="M2996" s="73" t="s">
        <v>30</v>
      </c>
      <c r="N2996" s="73" t="s">
        <v>98</v>
      </c>
      <c r="O2996" s="165"/>
      <c r="P2996" s="165"/>
      <c r="Q2996" s="166"/>
    </row>
    <row r="2997">
      <c r="A2997" s="134" t="s">
        <v>527</v>
      </c>
      <c r="B2997" s="134" t="s">
        <v>527</v>
      </c>
      <c r="C2997" s="134" t="s">
        <v>19</v>
      </c>
      <c r="D2997" s="279" t="s">
        <v>1100</v>
      </c>
      <c r="E2997" s="240">
        <v>43505.0</v>
      </c>
      <c r="F2997" s="21" t="str">
        <f t="shared" si="235"/>
        <v>Feb-2019</v>
      </c>
      <c r="G2997" s="32" t="s">
        <v>25</v>
      </c>
      <c r="H2997" s="25" t="s">
        <v>1101</v>
      </c>
      <c r="I2997" s="25" t="s">
        <v>187</v>
      </c>
      <c r="J2997" s="25" t="s">
        <v>27</v>
      </c>
      <c r="K2997" s="25" t="s">
        <v>9</v>
      </c>
      <c r="L2997" s="25" t="s">
        <v>30</v>
      </c>
      <c r="M2997" s="25"/>
      <c r="N2997" s="25" t="s">
        <v>69</v>
      </c>
      <c r="Q2997" s="99"/>
    </row>
    <row r="2998">
      <c r="A2998" s="134" t="s">
        <v>529</v>
      </c>
      <c r="B2998" s="134" t="s">
        <v>527</v>
      </c>
      <c r="C2998" s="134" t="s">
        <v>19</v>
      </c>
      <c r="D2998" s="279" t="s">
        <v>1100</v>
      </c>
      <c r="E2998" s="240">
        <v>43505.0</v>
      </c>
      <c r="F2998" s="21" t="str">
        <f t="shared" si="235"/>
        <v>Feb-2019</v>
      </c>
      <c r="G2998" s="19" t="s">
        <v>20</v>
      </c>
      <c r="H2998" s="16" t="s">
        <v>1101</v>
      </c>
      <c r="I2998" s="16" t="s">
        <v>364</v>
      </c>
      <c r="J2998" s="16" t="s">
        <v>86</v>
      </c>
      <c r="K2998" s="16" t="s">
        <v>9</v>
      </c>
      <c r="L2998" s="16" t="s">
        <v>24</v>
      </c>
      <c r="M2998" s="16" t="s">
        <v>24</v>
      </c>
      <c r="N2998" s="16" t="s">
        <v>69</v>
      </c>
      <c r="O2998" s="101"/>
      <c r="P2998" s="101"/>
      <c r="Q2998" s="102"/>
    </row>
    <row r="2999">
      <c r="A2999" s="168">
        <v>43505.0</v>
      </c>
      <c r="B2999" s="134" t="s">
        <v>527</v>
      </c>
      <c r="C2999" s="134" t="s">
        <v>19</v>
      </c>
      <c r="D2999" s="279" t="s">
        <v>1100</v>
      </c>
      <c r="E2999" s="240">
        <v>43505.0</v>
      </c>
      <c r="F2999" s="21" t="str">
        <f t="shared" si="235"/>
        <v>Feb-2019</v>
      </c>
      <c r="G2999" s="19" t="s">
        <v>25</v>
      </c>
      <c r="H2999" s="16" t="s">
        <v>1101</v>
      </c>
      <c r="I2999" s="16" t="s">
        <v>364</v>
      </c>
      <c r="J2999" s="16" t="s">
        <v>86</v>
      </c>
      <c r="K2999" s="16" t="s">
        <v>9</v>
      </c>
      <c r="L2999" s="16" t="s">
        <v>24</v>
      </c>
      <c r="M2999" s="16"/>
      <c r="N2999" s="16" t="s">
        <v>99</v>
      </c>
      <c r="O2999" s="101"/>
      <c r="P2999" s="101"/>
      <c r="Q2999" s="102"/>
    </row>
    <row r="3000">
      <c r="A3000" s="134" t="s">
        <v>19</v>
      </c>
      <c r="B3000" s="134" t="s">
        <v>527</v>
      </c>
      <c r="C3000" s="134" t="s">
        <v>19</v>
      </c>
      <c r="D3000" s="279" t="s">
        <v>1100</v>
      </c>
      <c r="E3000" s="240">
        <v>43505.0</v>
      </c>
      <c r="F3000" s="21" t="str">
        <f t="shared" si="235"/>
        <v>Feb-2019</v>
      </c>
      <c r="G3000" s="32" t="s">
        <v>20</v>
      </c>
      <c r="H3000" s="25" t="s">
        <v>1101</v>
      </c>
      <c r="I3000" s="25" t="s">
        <v>996</v>
      </c>
      <c r="J3000" s="25" t="s">
        <v>64</v>
      </c>
      <c r="K3000" s="25" t="s">
        <v>9</v>
      </c>
      <c r="L3000" s="25" t="s">
        <v>24</v>
      </c>
      <c r="M3000" s="25" t="s">
        <v>30</v>
      </c>
      <c r="N3000" s="25" t="s">
        <v>98</v>
      </c>
      <c r="Q3000" s="99"/>
    </row>
    <row r="3001">
      <c r="A3001" s="176" t="s">
        <v>1102</v>
      </c>
      <c r="B3001" s="134" t="s">
        <v>527</v>
      </c>
      <c r="C3001" s="134" t="s">
        <v>19</v>
      </c>
      <c r="D3001" s="279" t="s">
        <v>1100</v>
      </c>
      <c r="E3001" s="240">
        <v>43505.0</v>
      </c>
      <c r="F3001" s="21" t="str">
        <f t="shared" si="235"/>
        <v>Feb-2019</v>
      </c>
      <c r="G3001" s="32" t="s">
        <v>25</v>
      </c>
      <c r="H3001" s="25" t="s">
        <v>1101</v>
      </c>
      <c r="I3001" s="25" t="s">
        <v>996</v>
      </c>
      <c r="J3001" s="25" t="s">
        <v>64</v>
      </c>
      <c r="K3001" s="25" t="s">
        <v>9</v>
      </c>
      <c r="L3001" s="25" t="s">
        <v>30</v>
      </c>
      <c r="M3001" s="25"/>
      <c r="N3001" s="25" t="s">
        <v>106</v>
      </c>
      <c r="Q3001" s="99"/>
    </row>
    <row r="3002">
      <c r="A3002" s="140"/>
      <c r="B3002" s="134" t="s">
        <v>527</v>
      </c>
      <c r="C3002" s="134" t="s">
        <v>19</v>
      </c>
      <c r="D3002" s="279" t="s">
        <v>1100</v>
      </c>
      <c r="E3002" s="240">
        <v>43505.0</v>
      </c>
      <c r="F3002" s="21" t="str">
        <f t="shared" si="235"/>
        <v>Feb-2019</v>
      </c>
      <c r="G3002" s="32" t="s">
        <v>32</v>
      </c>
      <c r="H3002" s="25" t="s">
        <v>1101</v>
      </c>
      <c r="I3002" s="25" t="s">
        <v>996</v>
      </c>
      <c r="J3002" s="25" t="s">
        <v>64</v>
      </c>
      <c r="K3002" s="25" t="s">
        <v>9</v>
      </c>
      <c r="L3002" s="25" t="s">
        <v>30</v>
      </c>
      <c r="M3002" s="25"/>
      <c r="N3002" s="25" t="s">
        <v>69</v>
      </c>
      <c r="Q3002" s="99"/>
    </row>
    <row r="3003">
      <c r="A3003" s="134" t="s">
        <v>1103</v>
      </c>
      <c r="B3003" s="134" t="s">
        <v>527</v>
      </c>
      <c r="C3003" s="134" t="s">
        <v>19</v>
      </c>
      <c r="D3003" s="279" t="s">
        <v>1100</v>
      </c>
      <c r="E3003" s="240">
        <v>43505.0</v>
      </c>
      <c r="F3003" s="21" t="str">
        <f t="shared" si="235"/>
        <v>Feb-2019</v>
      </c>
      <c r="G3003" s="19" t="s">
        <v>20</v>
      </c>
      <c r="H3003" s="16" t="s">
        <v>1101</v>
      </c>
      <c r="I3003" s="16" t="s">
        <v>302</v>
      </c>
      <c r="J3003" s="16" t="s">
        <v>27</v>
      </c>
      <c r="K3003" s="16" t="s">
        <v>9</v>
      </c>
      <c r="L3003" s="16" t="s">
        <v>30</v>
      </c>
      <c r="M3003" s="16" t="s">
        <v>30</v>
      </c>
      <c r="N3003" s="16" t="s">
        <v>69</v>
      </c>
      <c r="O3003" s="101"/>
      <c r="P3003" s="101"/>
      <c r="Q3003" s="102"/>
    </row>
    <row r="3004">
      <c r="A3004" s="140"/>
      <c r="B3004" s="134" t="s">
        <v>527</v>
      </c>
      <c r="C3004" s="134" t="s">
        <v>19</v>
      </c>
      <c r="D3004" s="279" t="s">
        <v>1100</v>
      </c>
      <c r="E3004" s="240">
        <v>43505.0</v>
      </c>
      <c r="F3004" s="21" t="str">
        <f t="shared" si="235"/>
        <v>Feb-2019</v>
      </c>
      <c r="G3004" s="19" t="s">
        <v>25</v>
      </c>
      <c r="H3004" s="16" t="s">
        <v>1101</v>
      </c>
      <c r="I3004" s="16" t="s">
        <v>302</v>
      </c>
      <c r="J3004" s="16" t="s">
        <v>27</v>
      </c>
      <c r="K3004" s="16" t="s">
        <v>9</v>
      </c>
      <c r="L3004" s="16" t="s">
        <v>30</v>
      </c>
      <c r="M3004" s="16"/>
      <c r="N3004" s="16" t="s">
        <v>98</v>
      </c>
      <c r="O3004" s="101"/>
      <c r="P3004" s="101"/>
      <c r="Q3004" s="102"/>
    </row>
    <row r="3005">
      <c r="A3005" s="140"/>
      <c r="B3005" s="134" t="s">
        <v>527</v>
      </c>
      <c r="C3005" s="134" t="s">
        <v>19</v>
      </c>
      <c r="D3005" s="279" t="s">
        <v>1100</v>
      </c>
      <c r="E3005" s="240">
        <v>43505.0</v>
      </c>
      <c r="F3005" s="21" t="str">
        <f t="shared" si="235"/>
        <v>Feb-2019</v>
      </c>
      <c r="G3005" s="32" t="s">
        <v>20</v>
      </c>
      <c r="H3005" s="25" t="s">
        <v>1101</v>
      </c>
      <c r="I3005" s="25" t="s">
        <v>462</v>
      </c>
      <c r="J3005" s="25" t="s">
        <v>48</v>
      </c>
      <c r="K3005" s="25" t="s">
        <v>9</v>
      </c>
      <c r="L3005" s="25" t="s">
        <v>30</v>
      </c>
      <c r="M3005" s="25" t="s">
        <v>30</v>
      </c>
      <c r="N3005" s="25" t="s">
        <v>98</v>
      </c>
      <c r="Q3005" s="99"/>
    </row>
    <row r="3006">
      <c r="A3006" s="140"/>
      <c r="B3006" s="134" t="s">
        <v>527</v>
      </c>
      <c r="C3006" s="134" t="s">
        <v>19</v>
      </c>
      <c r="D3006" s="279" t="s">
        <v>1100</v>
      </c>
      <c r="E3006" s="240">
        <v>43505.0</v>
      </c>
      <c r="F3006" s="21" t="str">
        <f t="shared" si="235"/>
        <v>Feb-2019</v>
      </c>
      <c r="G3006" s="32" t="s">
        <v>25</v>
      </c>
      <c r="H3006" s="25" t="s">
        <v>1101</v>
      </c>
      <c r="I3006" s="25" t="s">
        <v>462</v>
      </c>
      <c r="J3006" s="25" t="s">
        <v>48</v>
      </c>
      <c r="K3006" s="25" t="s">
        <v>9</v>
      </c>
      <c r="L3006" s="25" t="s">
        <v>24</v>
      </c>
      <c r="M3006" s="25"/>
      <c r="N3006" s="25" t="s">
        <v>99</v>
      </c>
      <c r="Q3006" s="99"/>
    </row>
    <row r="3007">
      <c r="A3007" s="140"/>
      <c r="B3007" s="134" t="s">
        <v>527</v>
      </c>
      <c r="C3007" s="134" t="s">
        <v>19</v>
      </c>
      <c r="D3007" s="279" t="s">
        <v>1100</v>
      </c>
      <c r="E3007" s="240">
        <v>43505.0</v>
      </c>
      <c r="F3007" s="21" t="str">
        <f t="shared" si="235"/>
        <v>Feb-2019</v>
      </c>
      <c r="G3007" s="32" t="s">
        <v>32</v>
      </c>
      <c r="H3007" s="25" t="s">
        <v>1101</v>
      </c>
      <c r="I3007" s="25" t="s">
        <v>462</v>
      </c>
      <c r="J3007" s="25" t="s">
        <v>48</v>
      </c>
      <c r="K3007" s="25" t="s">
        <v>9</v>
      </c>
      <c r="L3007" s="25" t="s">
        <v>30</v>
      </c>
      <c r="M3007" s="25"/>
      <c r="N3007" s="25" t="s">
        <v>106</v>
      </c>
      <c r="Q3007" s="99"/>
    </row>
    <row r="3008">
      <c r="A3008" s="140"/>
      <c r="B3008" s="134" t="s">
        <v>527</v>
      </c>
      <c r="C3008" s="134" t="s">
        <v>19</v>
      </c>
      <c r="D3008" s="279" t="s">
        <v>1100</v>
      </c>
      <c r="E3008" s="240">
        <v>43505.0</v>
      </c>
      <c r="F3008" s="21" t="str">
        <f t="shared" si="235"/>
        <v>Feb-2019</v>
      </c>
      <c r="G3008" s="19" t="s">
        <v>20</v>
      </c>
      <c r="H3008" s="16" t="s">
        <v>1101</v>
      </c>
      <c r="I3008" s="16" t="s">
        <v>1104</v>
      </c>
      <c r="J3008" s="16" t="s">
        <v>44</v>
      </c>
      <c r="K3008" s="16" t="s">
        <v>9</v>
      </c>
      <c r="L3008" s="16" t="s">
        <v>24</v>
      </c>
      <c r="M3008" s="16" t="s">
        <v>24</v>
      </c>
      <c r="N3008" s="16" t="s">
        <v>69</v>
      </c>
      <c r="O3008" s="101"/>
      <c r="P3008" s="101"/>
      <c r="Q3008" s="102"/>
    </row>
    <row r="3009">
      <c r="A3009" s="140"/>
      <c r="B3009" s="134" t="s">
        <v>527</v>
      </c>
      <c r="C3009" s="134" t="s">
        <v>19</v>
      </c>
      <c r="D3009" s="279" t="s">
        <v>1100</v>
      </c>
      <c r="E3009" s="240">
        <v>43505.0</v>
      </c>
      <c r="F3009" s="21" t="str">
        <f t="shared" si="235"/>
        <v>Feb-2019</v>
      </c>
      <c r="G3009" s="19" t="s">
        <v>25</v>
      </c>
      <c r="H3009" s="16" t="s">
        <v>1101</v>
      </c>
      <c r="I3009" s="16" t="s">
        <v>1104</v>
      </c>
      <c r="J3009" s="16" t="s">
        <v>44</v>
      </c>
      <c r="K3009" s="16" t="s">
        <v>9</v>
      </c>
      <c r="L3009" s="16" t="s">
        <v>24</v>
      </c>
      <c r="M3009" s="16"/>
      <c r="N3009" s="16" t="s">
        <v>106</v>
      </c>
      <c r="O3009" s="101"/>
      <c r="P3009" s="101"/>
      <c r="Q3009" s="102"/>
    </row>
    <row r="3010">
      <c r="A3010" s="140"/>
      <c r="B3010" s="134" t="s">
        <v>527</v>
      </c>
      <c r="C3010" s="134" t="s">
        <v>19</v>
      </c>
      <c r="D3010" s="279" t="s">
        <v>1100</v>
      </c>
      <c r="E3010" s="240">
        <v>43505.0</v>
      </c>
      <c r="F3010" s="21" t="str">
        <f t="shared" si="235"/>
        <v>Feb-2019</v>
      </c>
      <c r="G3010" s="32" t="s">
        <v>146</v>
      </c>
      <c r="H3010" s="25" t="s">
        <v>35</v>
      </c>
      <c r="I3010" s="25" t="s">
        <v>465</v>
      </c>
      <c r="J3010" s="25" t="s">
        <v>139</v>
      </c>
      <c r="K3010" s="25" t="s">
        <v>9</v>
      </c>
      <c r="L3010" s="25" t="s">
        <v>24</v>
      </c>
      <c r="M3010" s="25" t="s">
        <v>24</v>
      </c>
      <c r="N3010" s="25" t="s">
        <v>98</v>
      </c>
      <c r="Q3010" s="99"/>
    </row>
    <row r="3011">
      <c r="A3011" s="140"/>
      <c r="B3011" s="134" t="s">
        <v>527</v>
      </c>
      <c r="C3011" s="134" t="s">
        <v>19</v>
      </c>
      <c r="D3011" s="279" t="s">
        <v>1100</v>
      </c>
      <c r="E3011" s="240">
        <v>43505.0</v>
      </c>
      <c r="F3011" s="21" t="str">
        <f t="shared" si="235"/>
        <v>Feb-2019</v>
      </c>
      <c r="G3011" t="s">
        <v>149</v>
      </c>
      <c r="H3011" s="25" t="s">
        <v>35</v>
      </c>
      <c r="I3011" s="25" t="s">
        <v>465</v>
      </c>
      <c r="J3011" s="25" t="s">
        <v>139</v>
      </c>
      <c r="K3011" s="25" t="s">
        <v>9</v>
      </c>
      <c r="L3011" s="25" t="s">
        <v>24</v>
      </c>
      <c r="M3011" s="25"/>
      <c r="N3011" s="25" t="s">
        <v>106</v>
      </c>
      <c r="Q3011" s="99"/>
    </row>
    <row r="3012">
      <c r="A3012" s="140"/>
      <c r="B3012" s="134" t="s">
        <v>527</v>
      </c>
      <c r="C3012" s="134" t="s">
        <v>19</v>
      </c>
      <c r="D3012" s="279" t="s">
        <v>1100</v>
      </c>
      <c r="E3012" s="240">
        <v>43505.0</v>
      </c>
      <c r="F3012" s="21" t="str">
        <f t="shared" si="235"/>
        <v>Feb-2019</v>
      </c>
      <c r="G3012" t="s">
        <v>222</v>
      </c>
      <c r="H3012" s="25" t="s">
        <v>35</v>
      </c>
      <c r="I3012" s="25" t="s">
        <v>465</v>
      </c>
      <c r="J3012" s="25" t="s">
        <v>139</v>
      </c>
      <c r="K3012" s="25" t="s">
        <v>9</v>
      </c>
      <c r="L3012" s="25" t="s">
        <v>24</v>
      </c>
      <c r="M3012" s="25"/>
      <c r="N3012" s="25" t="s">
        <v>106</v>
      </c>
      <c r="Q3012" s="99"/>
    </row>
    <row r="3013">
      <c r="A3013" s="140"/>
      <c r="B3013" s="134" t="s">
        <v>527</v>
      </c>
      <c r="C3013" s="134" t="s">
        <v>19</v>
      </c>
      <c r="D3013" s="279" t="s">
        <v>1100</v>
      </c>
      <c r="E3013" s="240">
        <v>43505.0</v>
      </c>
      <c r="F3013" s="21" t="str">
        <f t="shared" si="235"/>
        <v>Feb-2019</v>
      </c>
      <c r="G3013" s="101" t="s">
        <v>146</v>
      </c>
      <c r="H3013" s="16" t="s">
        <v>35</v>
      </c>
      <c r="I3013" s="16" t="s">
        <v>165</v>
      </c>
      <c r="J3013" s="16" t="s">
        <v>9</v>
      </c>
      <c r="K3013" s="16" t="s">
        <v>9</v>
      </c>
      <c r="L3013" s="16" t="s">
        <v>30</v>
      </c>
      <c r="M3013" s="16" t="s">
        <v>24</v>
      </c>
      <c r="N3013" s="16" t="s">
        <v>69</v>
      </c>
      <c r="O3013" s="101"/>
      <c r="P3013" s="101"/>
      <c r="Q3013" s="102"/>
    </row>
    <row r="3014">
      <c r="A3014" s="140"/>
      <c r="B3014" s="134" t="s">
        <v>527</v>
      </c>
      <c r="C3014" s="134" t="s">
        <v>19</v>
      </c>
      <c r="D3014" s="279" t="s">
        <v>1100</v>
      </c>
      <c r="E3014" s="240">
        <v>43505.0</v>
      </c>
      <c r="F3014" s="21" t="str">
        <f t="shared" si="235"/>
        <v>Feb-2019</v>
      </c>
      <c r="G3014" s="101" t="s">
        <v>149</v>
      </c>
      <c r="H3014" s="16" t="s">
        <v>35</v>
      </c>
      <c r="I3014" s="16" t="s">
        <v>165</v>
      </c>
      <c r="J3014" s="16" t="s">
        <v>9</v>
      </c>
      <c r="K3014" s="16" t="s">
        <v>9</v>
      </c>
      <c r="L3014" s="16" t="s">
        <v>24</v>
      </c>
      <c r="M3014" s="16"/>
      <c r="N3014" s="16" t="s">
        <v>69</v>
      </c>
      <c r="O3014" s="101"/>
      <c r="P3014" s="101"/>
      <c r="Q3014" s="102"/>
    </row>
    <row r="3015">
      <c r="A3015" s="140"/>
      <c r="B3015" s="134" t="s">
        <v>527</v>
      </c>
      <c r="C3015" s="134" t="s">
        <v>19</v>
      </c>
      <c r="D3015" s="279" t="s">
        <v>1100</v>
      </c>
      <c r="E3015" s="240">
        <v>43505.0</v>
      </c>
      <c r="F3015" s="21" t="str">
        <f t="shared" si="235"/>
        <v>Feb-2019</v>
      </c>
      <c r="G3015" s="101" t="s">
        <v>222</v>
      </c>
      <c r="H3015" s="16" t="s">
        <v>35</v>
      </c>
      <c r="I3015" s="16" t="s">
        <v>165</v>
      </c>
      <c r="J3015" s="16" t="s">
        <v>9</v>
      </c>
      <c r="K3015" s="16" t="s">
        <v>9</v>
      </c>
      <c r="L3015" s="16" t="s">
        <v>30</v>
      </c>
      <c r="M3015" s="16"/>
      <c r="N3015" s="16" t="s">
        <v>106</v>
      </c>
      <c r="O3015" s="101"/>
      <c r="P3015" s="101"/>
      <c r="Q3015" s="102"/>
    </row>
    <row r="3016">
      <c r="A3016" s="140"/>
      <c r="B3016" s="134" t="s">
        <v>527</v>
      </c>
      <c r="C3016" s="134" t="s">
        <v>19</v>
      </c>
      <c r="D3016" s="279" t="s">
        <v>1100</v>
      </c>
      <c r="E3016" s="240">
        <v>43505.0</v>
      </c>
      <c r="F3016" s="21" t="str">
        <f t="shared" si="235"/>
        <v>Feb-2019</v>
      </c>
      <c r="G3016" s="101" t="s">
        <v>467</v>
      </c>
      <c r="H3016" s="16" t="s">
        <v>35</v>
      </c>
      <c r="I3016" s="16" t="s">
        <v>165</v>
      </c>
      <c r="J3016" s="16" t="s">
        <v>9</v>
      </c>
      <c r="K3016" s="16" t="s">
        <v>9</v>
      </c>
      <c r="L3016" s="16" t="s">
        <v>24</v>
      </c>
      <c r="M3016" s="16"/>
      <c r="N3016" s="16" t="s">
        <v>98</v>
      </c>
      <c r="O3016" s="101"/>
      <c r="P3016" s="101"/>
      <c r="Q3016" s="102"/>
    </row>
    <row r="3017">
      <c r="A3017" s="141"/>
      <c r="B3017" s="134" t="s">
        <v>527</v>
      </c>
      <c r="C3017" s="134" t="s">
        <v>19</v>
      </c>
      <c r="D3017" s="280" t="s">
        <v>1100</v>
      </c>
      <c r="E3017" s="241">
        <v>43505.0</v>
      </c>
      <c r="F3017" s="51" t="str">
        <f t="shared" si="235"/>
        <v>Feb-2019</v>
      </c>
      <c r="G3017" s="265" t="s">
        <v>480</v>
      </c>
      <c r="H3017" s="38" t="s">
        <v>35</v>
      </c>
      <c r="I3017" s="38" t="s">
        <v>165</v>
      </c>
      <c r="J3017" s="38" t="s">
        <v>9</v>
      </c>
      <c r="K3017" s="38" t="s">
        <v>9</v>
      </c>
      <c r="L3017" s="38" t="s">
        <v>24</v>
      </c>
      <c r="M3017" s="38"/>
      <c r="N3017" s="38" t="s">
        <v>99</v>
      </c>
      <c r="O3017" s="105"/>
      <c r="P3017" s="105"/>
      <c r="Q3017" s="106"/>
    </row>
    <row r="3018">
      <c r="A3018" s="94"/>
    </row>
    <row r="3019">
      <c r="A3019" s="133" t="s">
        <v>1105</v>
      </c>
      <c r="B3019" s="134" t="s">
        <v>18</v>
      </c>
      <c r="C3019" s="134" t="s">
        <v>74</v>
      </c>
      <c r="D3019" s="278" t="s">
        <v>1105</v>
      </c>
      <c r="E3019" s="239">
        <v>43511.0</v>
      </c>
      <c r="F3019" s="70" t="str">
        <f t="shared" ref="F3019:F3033" si="236">TEXT(E3011:E3019, "mmm") &amp; "-" &amp; TEXT(E3011:E3019, "yyyy") </f>
        <v>Feb-2019</v>
      </c>
      <c r="G3019" s="274" t="s">
        <v>20</v>
      </c>
      <c r="H3019" s="73" t="s">
        <v>35</v>
      </c>
      <c r="I3019" s="73" t="s">
        <v>1093</v>
      </c>
      <c r="J3019" s="73" t="s">
        <v>86</v>
      </c>
      <c r="K3019" s="73" t="s">
        <v>9</v>
      </c>
      <c r="L3019" s="73" t="s">
        <v>30</v>
      </c>
      <c r="M3019" s="73" t="s">
        <v>30</v>
      </c>
      <c r="N3019" s="73" t="s">
        <v>99</v>
      </c>
      <c r="O3019" s="165"/>
      <c r="P3019" s="165"/>
      <c r="Q3019" s="166"/>
    </row>
    <row r="3020">
      <c r="A3020" s="134" t="s">
        <v>18</v>
      </c>
      <c r="B3020" s="134" t="s">
        <v>18</v>
      </c>
      <c r="C3020" s="134" t="s">
        <v>74</v>
      </c>
      <c r="D3020" s="279" t="s">
        <v>1105</v>
      </c>
      <c r="E3020" s="240">
        <v>43511.0</v>
      </c>
      <c r="F3020" s="21" t="str">
        <f t="shared" si="236"/>
        <v>Feb-2019</v>
      </c>
      <c r="G3020" s="32" t="s">
        <v>25</v>
      </c>
      <c r="H3020" s="25" t="s">
        <v>35</v>
      </c>
      <c r="I3020" s="25" t="s">
        <v>1093</v>
      </c>
      <c r="J3020" s="25" t="s">
        <v>86</v>
      </c>
      <c r="K3020" s="25" t="s">
        <v>9</v>
      </c>
      <c r="L3020" s="25" t="s">
        <v>24</v>
      </c>
      <c r="M3020" s="25"/>
      <c r="N3020" s="25" t="s">
        <v>98</v>
      </c>
      <c r="Q3020" s="99"/>
    </row>
    <row r="3021">
      <c r="A3021" s="134" t="s">
        <v>1106</v>
      </c>
      <c r="B3021" s="134" t="s">
        <v>18</v>
      </c>
      <c r="C3021" s="134" t="s">
        <v>74</v>
      </c>
      <c r="D3021" s="279" t="s">
        <v>1105</v>
      </c>
      <c r="E3021" s="240">
        <v>43511.0</v>
      </c>
      <c r="F3021" s="21" t="str">
        <f t="shared" si="236"/>
        <v>Feb-2019</v>
      </c>
      <c r="G3021" s="32" t="s">
        <v>32</v>
      </c>
      <c r="H3021" s="25" t="s">
        <v>35</v>
      </c>
      <c r="I3021" s="25" t="s">
        <v>1093</v>
      </c>
      <c r="J3021" s="25" t="s">
        <v>86</v>
      </c>
      <c r="K3021" s="25" t="s">
        <v>9</v>
      </c>
      <c r="L3021" s="25" t="s">
        <v>30</v>
      </c>
      <c r="M3021" s="25"/>
      <c r="N3021" s="25" t="s">
        <v>69</v>
      </c>
      <c r="Q3021" s="99"/>
    </row>
    <row r="3022">
      <c r="A3022" s="168">
        <v>43511.0</v>
      </c>
      <c r="B3022" s="134" t="s">
        <v>18</v>
      </c>
      <c r="C3022" s="134" t="s">
        <v>74</v>
      </c>
      <c r="D3022" s="279" t="s">
        <v>1105</v>
      </c>
      <c r="E3022" s="240">
        <v>43511.0</v>
      </c>
      <c r="F3022" s="21" t="str">
        <f t="shared" si="236"/>
        <v>Feb-2019</v>
      </c>
      <c r="G3022" s="19" t="s">
        <v>20</v>
      </c>
      <c r="H3022" s="16" t="s">
        <v>35</v>
      </c>
      <c r="I3022" s="16" t="s">
        <v>989</v>
      </c>
      <c r="J3022" s="16" t="s">
        <v>86</v>
      </c>
      <c r="K3022" s="16" t="s">
        <v>9</v>
      </c>
      <c r="L3022" s="16" t="s">
        <v>30</v>
      </c>
      <c r="M3022" s="16" t="s">
        <v>30</v>
      </c>
      <c r="N3022" s="16" t="s">
        <v>69</v>
      </c>
      <c r="O3022" s="101"/>
      <c r="P3022" s="101"/>
      <c r="Q3022" s="102"/>
    </row>
    <row r="3023">
      <c r="A3023" s="176" t="s">
        <v>1107</v>
      </c>
      <c r="B3023" s="134" t="s">
        <v>18</v>
      </c>
      <c r="C3023" s="134" t="s">
        <v>74</v>
      </c>
      <c r="D3023" s="279" t="s">
        <v>1105</v>
      </c>
      <c r="E3023" s="240">
        <v>43511.0</v>
      </c>
      <c r="F3023" s="21" t="str">
        <f t="shared" si="236"/>
        <v>Feb-2019</v>
      </c>
      <c r="G3023" s="19" t="s">
        <v>25</v>
      </c>
      <c r="H3023" s="16" t="s">
        <v>35</v>
      </c>
      <c r="I3023" s="16" t="s">
        <v>989</v>
      </c>
      <c r="J3023" s="16" t="s">
        <v>86</v>
      </c>
      <c r="K3023" s="16" t="s">
        <v>9</v>
      </c>
      <c r="L3023" s="16" t="s">
        <v>30</v>
      </c>
      <c r="M3023" s="16"/>
      <c r="N3023" s="16" t="s">
        <v>98</v>
      </c>
      <c r="O3023" s="101"/>
      <c r="P3023" s="101"/>
      <c r="Q3023" s="102"/>
    </row>
    <row r="3024">
      <c r="A3024" s="134" t="s">
        <v>74</v>
      </c>
      <c r="B3024" s="134" t="s">
        <v>18</v>
      </c>
      <c r="C3024" s="134" t="s">
        <v>74</v>
      </c>
      <c r="D3024" s="279" t="s">
        <v>1105</v>
      </c>
      <c r="E3024" s="240">
        <v>43511.0</v>
      </c>
      <c r="F3024" s="21" t="str">
        <f t="shared" si="236"/>
        <v>Feb-2019</v>
      </c>
      <c r="G3024" t="s">
        <v>146</v>
      </c>
      <c r="H3024" s="25" t="s">
        <v>35</v>
      </c>
      <c r="I3024" s="25" t="s">
        <v>194</v>
      </c>
      <c r="J3024" s="25" t="s">
        <v>23</v>
      </c>
      <c r="K3024" s="25" t="s">
        <v>9</v>
      </c>
      <c r="L3024" s="25" t="s">
        <v>24</v>
      </c>
      <c r="M3024" s="25" t="s">
        <v>24</v>
      </c>
      <c r="N3024" s="25" t="s">
        <v>37</v>
      </c>
      <c r="Q3024" s="99"/>
    </row>
    <row r="3025">
      <c r="A3025" s="140"/>
      <c r="B3025" s="134" t="s">
        <v>18</v>
      </c>
      <c r="C3025" s="134" t="s">
        <v>74</v>
      </c>
      <c r="D3025" s="279" t="s">
        <v>1105</v>
      </c>
      <c r="E3025" s="240">
        <v>43511.0</v>
      </c>
      <c r="F3025" s="21" t="str">
        <f t="shared" si="236"/>
        <v>Feb-2019</v>
      </c>
      <c r="G3025" t="s">
        <v>149</v>
      </c>
      <c r="H3025" s="25" t="s">
        <v>35</v>
      </c>
      <c r="I3025" s="25" t="s">
        <v>194</v>
      </c>
      <c r="J3025" s="25" t="s">
        <v>23</v>
      </c>
      <c r="K3025" s="25" t="s">
        <v>9</v>
      </c>
      <c r="L3025" s="25" t="s">
        <v>24</v>
      </c>
      <c r="M3025" s="25"/>
      <c r="N3025" s="25" t="s">
        <v>29</v>
      </c>
      <c r="Q3025" s="99"/>
    </row>
    <row r="3026">
      <c r="A3026" s="140"/>
      <c r="B3026" s="134" t="s">
        <v>18</v>
      </c>
      <c r="C3026" s="134" t="s">
        <v>74</v>
      </c>
      <c r="D3026" s="279" t="s">
        <v>1105</v>
      </c>
      <c r="E3026" s="240">
        <v>43511.0</v>
      </c>
      <c r="F3026" s="21" t="str">
        <f t="shared" si="236"/>
        <v>Feb-2019</v>
      </c>
      <c r="G3026" t="s">
        <v>222</v>
      </c>
      <c r="H3026" s="25" t="s">
        <v>35</v>
      </c>
      <c r="I3026" s="25" t="s">
        <v>194</v>
      </c>
      <c r="J3026" s="25" t="s">
        <v>23</v>
      </c>
      <c r="K3026" s="25" t="s">
        <v>9</v>
      </c>
      <c r="L3026" s="25" t="s">
        <v>24</v>
      </c>
      <c r="M3026" s="25"/>
      <c r="N3026" s="25" t="s">
        <v>106</v>
      </c>
      <c r="Q3026" s="99"/>
    </row>
    <row r="3027">
      <c r="A3027" s="140"/>
      <c r="B3027" s="134" t="s">
        <v>18</v>
      </c>
      <c r="C3027" s="134" t="s">
        <v>74</v>
      </c>
      <c r="D3027" s="279" t="s">
        <v>1105</v>
      </c>
      <c r="E3027" s="240">
        <v>43511.0</v>
      </c>
      <c r="F3027" s="21" t="str">
        <f t="shared" si="236"/>
        <v>Feb-2019</v>
      </c>
      <c r="G3027" s="101" t="s">
        <v>146</v>
      </c>
      <c r="H3027" s="16" t="s">
        <v>35</v>
      </c>
      <c r="I3027" s="16" t="s">
        <v>804</v>
      </c>
      <c r="J3027" s="16" t="s">
        <v>23</v>
      </c>
      <c r="K3027" s="16" t="s">
        <v>9</v>
      </c>
      <c r="L3027" s="16" t="s">
        <v>30</v>
      </c>
      <c r="M3027" s="16" t="s">
        <v>30</v>
      </c>
      <c r="N3027" s="16" t="s">
        <v>37</v>
      </c>
      <c r="O3027" s="101"/>
      <c r="P3027" s="101"/>
      <c r="Q3027" s="102"/>
    </row>
    <row r="3028">
      <c r="A3028" s="140"/>
      <c r="B3028" s="134" t="s">
        <v>18</v>
      </c>
      <c r="C3028" s="134" t="s">
        <v>74</v>
      </c>
      <c r="D3028" s="279" t="s">
        <v>1105</v>
      </c>
      <c r="E3028" s="240">
        <v>43511.0</v>
      </c>
      <c r="F3028" s="21" t="str">
        <f t="shared" si="236"/>
        <v>Feb-2019</v>
      </c>
      <c r="G3028" s="101" t="s">
        <v>149</v>
      </c>
      <c r="H3028" s="16" t="s">
        <v>35</v>
      </c>
      <c r="I3028" s="16" t="s">
        <v>804</v>
      </c>
      <c r="J3028" s="16" t="s">
        <v>23</v>
      </c>
      <c r="K3028" s="16" t="s">
        <v>9</v>
      </c>
      <c r="L3028" s="16" t="s">
        <v>30</v>
      </c>
      <c r="M3028" s="16"/>
      <c r="N3028" s="16" t="s">
        <v>98</v>
      </c>
      <c r="O3028" s="101"/>
      <c r="P3028" s="101"/>
      <c r="Q3028" s="102"/>
    </row>
    <row r="3029">
      <c r="A3029" s="140"/>
      <c r="B3029" s="134" t="s">
        <v>18</v>
      </c>
      <c r="C3029" s="134" t="s">
        <v>74</v>
      </c>
      <c r="D3029" s="279" t="s">
        <v>1105</v>
      </c>
      <c r="E3029" s="240">
        <v>43511.0</v>
      </c>
      <c r="F3029" s="21" t="str">
        <f t="shared" si="236"/>
        <v>Feb-2019</v>
      </c>
      <c r="G3029" s="101" t="s">
        <v>222</v>
      </c>
      <c r="H3029" s="16" t="s">
        <v>35</v>
      </c>
      <c r="I3029" s="16" t="s">
        <v>804</v>
      </c>
      <c r="J3029" s="16" t="s">
        <v>23</v>
      </c>
      <c r="K3029" s="16" t="s">
        <v>9</v>
      </c>
      <c r="L3029" s="16" t="s">
        <v>30</v>
      </c>
      <c r="M3029" s="16"/>
      <c r="N3029" s="16" t="s">
        <v>98</v>
      </c>
      <c r="O3029" s="101"/>
      <c r="P3029" s="101"/>
      <c r="Q3029" s="102"/>
    </row>
    <row r="3030">
      <c r="A3030" s="140"/>
      <c r="B3030" s="134" t="s">
        <v>18</v>
      </c>
      <c r="C3030" s="134" t="s">
        <v>74</v>
      </c>
      <c r="D3030" s="279" t="s">
        <v>1105</v>
      </c>
      <c r="E3030" s="240">
        <v>43511.0</v>
      </c>
      <c r="F3030" s="21" t="str">
        <f t="shared" si="236"/>
        <v>Feb-2019</v>
      </c>
      <c r="G3030" s="32" t="s">
        <v>146</v>
      </c>
      <c r="H3030" s="25" t="s">
        <v>35</v>
      </c>
      <c r="I3030" s="25" t="s">
        <v>90</v>
      </c>
      <c r="J3030" s="25" t="s">
        <v>9</v>
      </c>
      <c r="K3030" s="25" t="s">
        <v>9</v>
      </c>
      <c r="L3030" s="25" t="s">
        <v>24</v>
      </c>
      <c r="M3030" s="25" t="s">
        <v>24</v>
      </c>
      <c r="N3030" s="25" t="s">
        <v>69</v>
      </c>
      <c r="Q3030" s="99"/>
    </row>
    <row r="3031">
      <c r="A3031" s="140"/>
      <c r="B3031" s="134" t="s">
        <v>18</v>
      </c>
      <c r="C3031" s="134" t="s">
        <v>74</v>
      </c>
      <c r="D3031" s="279" t="s">
        <v>1105</v>
      </c>
      <c r="E3031" s="240">
        <v>43511.0</v>
      </c>
      <c r="F3031" s="21" t="str">
        <f t="shared" si="236"/>
        <v>Feb-2019</v>
      </c>
      <c r="G3031" s="32" t="s">
        <v>149</v>
      </c>
      <c r="H3031" s="25" t="s">
        <v>35</v>
      </c>
      <c r="I3031" s="25" t="s">
        <v>90</v>
      </c>
      <c r="J3031" s="25" t="s">
        <v>9</v>
      </c>
      <c r="K3031" s="25" t="s">
        <v>9</v>
      </c>
      <c r="L3031" s="25" t="s">
        <v>30</v>
      </c>
      <c r="M3031" s="25"/>
      <c r="N3031" s="25" t="s">
        <v>106</v>
      </c>
      <c r="Q3031" s="99"/>
    </row>
    <row r="3032">
      <c r="A3032" s="140"/>
      <c r="B3032" s="134" t="s">
        <v>18</v>
      </c>
      <c r="C3032" s="134" t="s">
        <v>74</v>
      </c>
      <c r="D3032" s="279" t="s">
        <v>1105</v>
      </c>
      <c r="E3032" s="240">
        <v>43511.0</v>
      </c>
      <c r="F3032" s="21" t="str">
        <f t="shared" si="236"/>
        <v>Feb-2019</v>
      </c>
      <c r="G3032" s="32" t="s">
        <v>222</v>
      </c>
      <c r="H3032" s="25" t="s">
        <v>35</v>
      </c>
      <c r="I3032" s="25" t="s">
        <v>90</v>
      </c>
      <c r="J3032" s="25" t="s">
        <v>9</v>
      </c>
      <c r="K3032" s="25" t="s">
        <v>9</v>
      </c>
      <c r="L3032" s="25" t="s">
        <v>24</v>
      </c>
      <c r="M3032" s="25"/>
      <c r="N3032" s="25" t="s">
        <v>29</v>
      </c>
      <c r="Q3032" s="99"/>
    </row>
    <row r="3033">
      <c r="A3033" s="141"/>
      <c r="B3033" s="134" t="s">
        <v>18</v>
      </c>
      <c r="C3033" s="134" t="s">
        <v>74</v>
      </c>
      <c r="D3033" s="280" t="s">
        <v>1105</v>
      </c>
      <c r="E3033" s="241">
        <v>43511.0</v>
      </c>
      <c r="F3033" s="51" t="str">
        <f t="shared" si="236"/>
        <v>Feb-2019</v>
      </c>
      <c r="G3033" s="43" t="s">
        <v>467</v>
      </c>
      <c r="H3033" s="55" t="s">
        <v>35</v>
      </c>
      <c r="I3033" s="55" t="s">
        <v>90</v>
      </c>
      <c r="J3033" s="55" t="s">
        <v>9</v>
      </c>
      <c r="K3033" s="55" t="s">
        <v>9</v>
      </c>
      <c r="L3033" s="55" t="s">
        <v>24</v>
      </c>
      <c r="M3033" s="55"/>
      <c r="N3033" s="55" t="s">
        <v>69</v>
      </c>
      <c r="O3033" s="143"/>
      <c r="P3033" s="143"/>
      <c r="Q3033" s="144"/>
    </row>
    <row r="3034">
      <c r="A3034" s="94"/>
      <c r="G3034" s="32"/>
    </row>
    <row r="3035">
      <c r="A3035" s="133" t="s">
        <v>1108</v>
      </c>
      <c r="B3035" s="134" t="s">
        <v>34</v>
      </c>
      <c r="C3035" s="134" t="s">
        <v>74</v>
      </c>
      <c r="D3035" s="278" t="s">
        <v>1108</v>
      </c>
      <c r="E3035" s="239">
        <v>43517.0</v>
      </c>
      <c r="F3035" s="70" t="str">
        <f t="shared" ref="F3035:F3048" si="237">TEXT(E3027:E3035, "mmm") &amp; "-" &amp; TEXT(E3027:E3035, "yyyy") </f>
        <v>Feb-2019</v>
      </c>
      <c r="G3035" s="152" t="s">
        <v>20</v>
      </c>
      <c r="H3035" s="47" t="s">
        <v>35</v>
      </c>
      <c r="I3035" s="47" t="s">
        <v>247</v>
      </c>
      <c r="J3035" s="47" t="s">
        <v>27</v>
      </c>
      <c r="K3035" s="47" t="s">
        <v>9</v>
      </c>
      <c r="L3035" s="47" t="s">
        <v>30</v>
      </c>
      <c r="M3035" s="47" t="s">
        <v>30</v>
      </c>
      <c r="N3035" s="47" t="s">
        <v>69</v>
      </c>
      <c r="O3035" s="152"/>
      <c r="P3035" s="152"/>
      <c r="Q3035" s="153"/>
    </row>
    <row r="3036">
      <c r="A3036" s="134" t="s">
        <v>34</v>
      </c>
      <c r="B3036" s="134" t="s">
        <v>34</v>
      </c>
      <c r="C3036" s="134" t="s">
        <v>74</v>
      </c>
      <c r="D3036" s="279" t="s">
        <v>1108</v>
      </c>
      <c r="E3036" s="240">
        <v>43517.0</v>
      </c>
      <c r="F3036" s="21" t="str">
        <f t="shared" si="237"/>
        <v>Feb-2019</v>
      </c>
      <c r="G3036" s="101" t="s">
        <v>25</v>
      </c>
      <c r="H3036" s="16" t="s">
        <v>35</v>
      </c>
      <c r="I3036" s="16" t="s">
        <v>247</v>
      </c>
      <c r="J3036" s="16" t="s">
        <v>27</v>
      </c>
      <c r="K3036" s="16" t="s">
        <v>9</v>
      </c>
      <c r="L3036" s="16" t="s">
        <v>30</v>
      </c>
      <c r="M3036" s="16"/>
      <c r="N3036" s="16" t="s">
        <v>98</v>
      </c>
      <c r="O3036" s="101"/>
      <c r="P3036" s="101"/>
      <c r="Q3036" s="102"/>
    </row>
    <row r="3037">
      <c r="A3037" s="134" t="s">
        <v>1109</v>
      </c>
      <c r="B3037" s="134" t="s">
        <v>34</v>
      </c>
      <c r="C3037" s="134" t="s">
        <v>74</v>
      </c>
      <c r="D3037" s="279" t="s">
        <v>1108</v>
      </c>
      <c r="E3037" s="240">
        <v>43517.0</v>
      </c>
      <c r="F3037" s="21" t="str">
        <f t="shared" si="237"/>
        <v>Feb-2019</v>
      </c>
      <c r="G3037" t="s">
        <v>20</v>
      </c>
      <c r="H3037" s="25" t="s">
        <v>35</v>
      </c>
      <c r="I3037" s="25" t="s">
        <v>296</v>
      </c>
      <c r="J3037" s="25" t="s">
        <v>9</v>
      </c>
      <c r="K3037" s="25" t="s">
        <v>9</v>
      </c>
      <c r="L3037" s="25" t="s">
        <v>24</v>
      </c>
      <c r="M3037" s="25" t="s">
        <v>24</v>
      </c>
      <c r="N3037" s="25" t="s">
        <v>98</v>
      </c>
      <c r="Q3037" s="99"/>
    </row>
    <row r="3038">
      <c r="A3038" s="168">
        <v>43517.0</v>
      </c>
      <c r="B3038" s="134" t="s">
        <v>34</v>
      </c>
      <c r="C3038" s="134" t="s">
        <v>74</v>
      </c>
      <c r="D3038" s="279" t="s">
        <v>1108</v>
      </c>
      <c r="E3038" s="240">
        <v>43517.0</v>
      </c>
      <c r="F3038" s="21" t="str">
        <f t="shared" si="237"/>
        <v>Feb-2019</v>
      </c>
      <c r="G3038" t="s">
        <v>25</v>
      </c>
      <c r="H3038" s="25" t="s">
        <v>35</v>
      </c>
      <c r="I3038" s="25" t="s">
        <v>296</v>
      </c>
      <c r="J3038" s="25" t="s">
        <v>9</v>
      </c>
      <c r="K3038" s="25" t="s">
        <v>9</v>
      </c>
      <c r="L3038" s="25" t="s">
        <v>24</v>
      </c>
      <c r="M3038" s="25"/>
      <c r="N3038" s="25" t="s">
        <v>106</v>
      </c>
      <c r="Q3038" s="99"/>
    </row>
    <row r="3039">
      <c r="A3039" s="134" t="s">
        <v>74</v>
      </c>
      <c r="B3039" s="134" t="s">
        <v>34</v>
      </c>
      <c r="C3039" s="134" t="s">
        <v>74</v>
      </c>
      <c r="D3039" s="279" t="s">
        <v>1108</v>
      </c>
      <c r="E3039" s="240">
        <v>43517.0</v>
      </c>
      <c r="F3039" s="21" t="str">
        <f t="shared" si="237"/>
        <v>Feb-2019</v>
      </c>
      <c r="G3039" s="19" t="s">
        <v>20</v>
      </c>
      <c r="H3039" s="16" t="s">
        <v>35</v>
      </c>
      <c r="I3039" s="16">
        <v>248.0</v>
      </c>
      <c r="J3039" s="16" t="s">
        <v>27</v>
      </c>
      <c r="K3039" s="16" t="s">
        <v>9</v>
      </c>
      <c r="L3039" s="16" t="s">
        <v>30</v>
      </c>
      <c r="M3039" s="16" t="s">
        <v>30</v>
      </c>
      <c r="N3039" s="16" t="s">
        <v>37</v>
      </c>
      <c r="O3039" s="101"/>
      <c r="P3039" s="101"/>
      <c r="Q3039" s="102"/>
    </row>
    <row r="3040">
      <c r="A3040" s="176" t="s">
        <v>1110</v>
      </c>
      <c r="B3040" s="134" t="s">
        <v>34</v>
      </c>
      <c r="C3040" s="134" t="s">
        <v>74</v>
      </c>
      <c r="D3040" s="279" t="s">
        <v>1108</v>
      </c>
      <c r="E3040" s="240">
        <v>43517.0</v>
      </c>
      <c r="F3040" s="21" t="str">
        <f t="shared" si="237"/>
        <v>Feb-2019</v>
      </c>
      <c r="G3040" s="19" t="s">
        <v>25</v>
      </c>
      <c r="H3040" s="16" t="s">
        <v>35</v>
      </c>
      <c r="I3040" s="16">
        <v>248.0</v>
      </c>
      <c r="J3040" s="16" t="s">
        <v>27</v>
      </c>
      <c r="K3040" s="16" t="s">
        <v>9</v>
      </c>
      <c r="L3040" s="16" t="s">
        <v>30</v>
      </c>
      <c r="M3040" s="16"/>
      <c r="N3040" s="16" t="s">
        <v>29</v>
      </c>
      <c r="O3040" s="101"/>
      <c r="P3040" s="101"/>
      <c r="Q3040" s="102"/>
    </row>
    <row r="3041">
      <c r="A3041" s="140"/>
      <c r="B3041" s="134" t="s">
        <v>34</v>
      </c>
      <c r="C3041" s="134" t="s">
        <v>74</v>
      </c>
      <c r="D3041" s="279" t="s">
        <v>1108</v>
      </c>
      <c r="E3041" s="240">
        <v>43517.0</v>
      </c>
      <c r="F3041" s="21" t="str">
        <f t="shared" si="237"/>
        <v>Feb-2019</v>
      </c>
      <c r="G3041" s="32" t="s">
        <v>146</v>
      </c>
      <c r="H3041" s="25" t="s">
        <v>35</v>
      </c>
      <c r="I3041" s="25" t="s">
        <v>1111</v>
      </c>
      <c r="J3041" s="25" t="s">
        <v>44</v>
      </c>
      <c r="K3041" s="25" t="s">
        <v>9</v>
      </c>
      <c r="L3041" s="25" t="s">
        <v>30</v>
      </c>
      <c r="M3041" s="25" t="s">
        <v>30</v>
      </c>
      <c r="N3041" s="25" t="s">
        <v>98</v>
      </c>
      <c r="Q3041" s="99"/>
    </row>
    <row r="3042">
      <c r="A3042" s="140"/>
      <c r="B3042" s="134" t="s">
        <v>34</v>
      </c>
      <c r="C3042" s="134" t="s">
        <v>74</v>
      </c>
      <c r="D3042" s="279" t="s">
        <v>1108</v>
      </c>
      <c r="E3042" s="240">
        <v>43517.0</v>
      </c>
      <c r="F3042" s="21" t="str">
        <f t="shared" si="237"/>
        <v>Feb-2019</v>
      </c>
      <c r="G3042" s="32" t="s">
        <v>149</v>
      </c>
      <c r="H3042" s="25" t="s">
        <v>35</v>
      </c>
      <c r="I3042" s="25" t="s">
        <v>1111</v>
      </c>
      <c r="J3042" s="25" t="s">
        <v>44</v>
      </c>
      <c r="K3042" s="25" t="s">
        <v>9</v>
      </c>
      <c r="L3042" s="25" t="s">
        <v>30</v>
      </c>
      <c r="M3042" s="25"/>
      <c r="N3042" s="25" t="s">
        <v>29</v>
      </c>
      <c r="Q3042" s="99"/>
    </row>
    <row r="3043">
      <c r="A3043" s="140"/>
      <c r="B3043" s="134" t="s">
        <v>34</v>
      </c>
      <c r="C3043" s="134" t="s">
        <v>74</v>
      </c>
      <c r="D3043" s="279" t="s">
        <v>1108</v>
      </c>
      <c r="E3043" s="240">
        <v>43517.0</v>
      </c>
      <c r="F3043" s="21" t="str">
        <f t="shared" si="237"/>
        <v>Feb-2019</v>
      </c>
      <c r="G3043" s="32" t="s">
        <v>222</v>
      </c>
      <c r="H3043" s="25" t="s">
        <v>35</v>
      </c>
      <c r="I3043" s="25" t="s">
        <v>1111</v>
      </c>
      <c r="J3043" s="25" t="s">
        <v>44</v>
      </c>
      <c r="K3043" s="25" t="s">
        <v>9</v>
      </c>
      <c r="L3043" s="25" t="s">
        <v>30</v>
      </c>
      <c r="M3043" s="25"/>
      <c r="N3043" s="25" t="s">
        <v>29</v>
      </c>
      <c r="Q3043" s="99"/>
    </row>
    <row r="3044">
      <c r="A3044" s="140"/>
      <c r="B3044" s="134" t="s">
        <v>34</v>
      </c>
      <c r="C3044" s="134" t="s">
        <v>74</v>
      </c>
      <c r="D3044" s="279" t="s">
        <v>1108</v>
      </c>
      <c r="E3044" s="240">
        <v>43517.0</v>
      </c>
      <c r="F3044" s="21" t="str">
        <f t="shared" si="237"/>
        <v>Feb-2019</v>
      </c>
      <c r="G3044" s="101" t="s">
        <v>146</v>
      </c>
      <c r="H3044" s="16" t="s">
        <v>35</v>
      </c>
      <c r="I3044" s="16" t="s">
        <v>497</v>
      </c>
      <c r="J3044" s="16" t="s">
        <v>9</v>
      </c>
      <c r="K3044" s="16" t="s">
        <v>9</v>
      </c>
      <c r="L3044" s="16" t="s">
        <v>30</v>
      </c>
      <c r="M3044" s="16" t="s">
        <v>24</v>
      </c>
      <c r="N3044" s="16" t="s">
        <v>98</v>
      </c>
      <c r="O3044" s="101"/>
      <c r="P3044" s="101"/>
      <c r="Q3044" s="102"/>
    </row>
    <row r="3045">
      <c r="A3045" s="140"/>
      <c r="B3045" s="134" t="s">
        <v>34</v>
      </c>
      <c r="C3045" s="134" t="s">
        <v>74</v>
      </c>
      <c r="D3045" s="279" t="s">
        <v>1108</v>
      </c>
      <c r="E3045" s="240">
        <v>43517.0</v>
      </c>
      <c r="F3045" s="21" t="str">
        <f t="shared" si="237"/>
        <v>Feb-2019</v>
      </c>
      <c r="G3045" s="101" t="s">
        <v>149</v>
      </c>
      <c r="H3045" s="16" t="s">
        <v>35</v>
      </c>
      <c r="I3045" s="16" t="s">
        <v>497</v>
      </c>
      <c r="J3045" s="16" t="s">
        <v>9</v>
      </c>
      <c r="K3045" s="16" t="s">
        <v>9</v>
      </c>
      <c r="L3045" s="16" t="s">
        <v>24</v>
      </c>
      <c r="M3045" s="16"/>
      <c r="N3045" s="16" t="s">
        <v>106</v>
      </c>
      <c r="O3045" s="101"/>
      <c r="P3045" s="101"/>
      <c r="Q3045" s="102"/>
    </row>
    <row r="3046">
      <c r="A3046" s="140"/>
      <c r="B3046" s="134" t="s">
        <v>34</v>
      </c>
      <c r="C3046" s="134" t="s">
        <v>74</v>
      </c>
      <c r="D3046" s="279" t="s">
        <v>1108</v>
      </c>
      <c r="E3046" s="240">
        <v>43517.0</v>
      </c>
      <c r="F3046" s="21" t="str">
        <f t="shared" si="237"/>
        <v>Feb-2019</v>
      </c>
      <c r="G3046" s="101" t="s">
        <v>222</v>
      </c>
      <c r="H3046" s="16" t="s">
        <v>35</v>
      </c>
      <c r="I3046" s="16" t="s">
        <v>497</v>
      </c>
      <c r="J3046" s="16" t="s">
        <v>9</v>
      </c>
      <c r="K3046" s="16" t="s">
        <v>9</v>
      </c>
      <c r="L3046" s="16" t="s">
        <v>24</v>
      </c>
      <c r="M3046" s="16"/>
      <c r="N3046" s="16" t="s">
        <v>69</v>
      </c>
      <c r="O3046" s="101"/>
      <c r="P3046" s="101"/>
      <c r="Q3046" s="102"/>
    </row>
    <row r="3047">
      <c r="A3047" s="140"/>
      <c r="B3047" s="134" t="s">
        <v>34</v>
      </c>
      <c r="C3047" s="134" t="s">
        <v>74</v>
      </c>
      <c r="D3047" s="279" t="s">
        <v>1108</v>
      </c>
      <c r="E3047" s="240">
        <v>43517.0</v>
      </c>
      <c r="F3047" s="21" t="str">
        <f t="shared" si="237"/>
        <v>Feb-2019</v>
      </c>
      <c r="G3047" s="101" t="s">
        <v>467</v>
      </c>
      <c r="H3047" s="16" t="s">
        <v>35</v>
      </c>
      <c r="I3047" s="16" t="s">
        <v>497</v>
      </c>
      <c r="J3047" s="16" t="s">
        <v>9</v>
      </c>
      <c r="K3047" s="16" t="s">
        <v>9</v>
      </c>
      <c r="L3047" s="16" t="s">
        <v>30</v>
      </c>
      <c r="M3047" s="16"/>
      <c r="N3047" s="16" t="s">
        <v>69</v>
      </c>
      <c r="O3047" s="101"/>
      <c r="P3047" s="101"/>
      <c r="Q3047" s="102"/>
    </row>
    <row r="3048">
      <c r="A3048" s="141"/>
      <c r="B3048" s="134" t="s">
        <v>34</v>
      </c>
      <c r="C3048" s="134" t="s">
        <v>74</v>
      </c>
      <c r="D3048" s="280" t="s">
        <v>1108</v>
      </c>
      <c r="E3048" s="241">
        <v>43517.0</v>
      </c>
      <c r="F3048" s="51" t="str">
        <f t="shared" si="237"/>
        <v>Feb-2019</v>
      </c>
      <c r="G3048" s="265" t="s">
        <v>480</v>
      </c>
      <c r="H3048" s="38" t="s">
        <v>35</v>
      </c>
      <c r="I3048" s="38" t="s">
        <v>497</v>
      </c>
      <c r="J3048" s="38" t="s">
        <v>9</v>
      </c>
      <c r="K3048" s="38" t="s">
        <v>9</v>
      </c>
      <c r="L3048" s="38" t="s">
        <v>24</v>
      </c>
      <c r="M3048" s="38"/>
      <c r="N3048" s="38" t="s">
        <v>37</v>
      </c>
      <c r="O3048" s="105"/>
      <c r="P3048" s="105"/>
      <c r="Q3048" s="106"/>
    </row>
    <row r="3049">
      <c r="A3049" s="94"/>
    </row>
    <row r="3050">
      <c r="A3050" s="133" t="s">
        <v>1112</v>
      </c>
      <c r="B3050" s="134" t="s">
        <v>18</v>
      </c>
      <c r="C3050" s="134" t="s">
        <v>74</v>
      </c>
      <c r="D3050" s="278" t="s">
        <v>1112</v>
      </c>
      <c r="E3050" s="168">
        <v>43518.0</v>
      </c>
      <c r="F3050" s="70" t="str">
        <f t="shared" ref="F3050:F3067" si="238">TEXT(E3042:E3050, "mmm") &amp; "-" &amp; TEXT(E3042:E3050, "yyyy") </f>
        <v>Feb-2019</v>
      </c>
      <c r="G3050" s="165" t="s">
        <v>20</v>
      </c>
      <c r="H3050" s="73" t="s">
        <v>35</v>
      </c>
      <c r="I3050" s="73" t="s">
        <v>1113</v>
      </c>
      <c r="J3050" s="73" t="s">
        <v>64</v>
      </c>
      <c r="K3050" s="269" t="s">
        <v>9</v>
      </c>
      <c r="L3050" s="73" t="s">
        <v>30</v>
      </c>
      <c r="M3050" s="73" t="s">
        <v>30</v>
      </c>
      <c r="N3050" s="73" t="s">
        <v>98</v>
      </c>
      <c r="O3050" s="165"/>
      <c r="P3050" s="165"/>
      <c r="Q3050" s="166"/>
    </row>
    <row r="3051">
      <c r="A3051" s="134" t="s">
        <v>18</v>
      </c>
      <c r="B3051" s="134" t="s">
        <v>18</v>
      </c>
      <c r="C3051" s="134" t="s">
        <v>74</v>
      </c>
      <c r="D3051" s="279" t="s">
        <v>1112</v>
      </c>
      <c r="E3051" s="168">
        <v>43518.0</v>
      </c>
      <c r="F3051" s="21" t="str">
        <f t="shared" si="238"/>
        <v>Feb-2019</v>
      </c>
      <c r="G3051" t="s">
        <v>25</v>
      </c>
      <c r="H3051" s="25" t="s">
        <v>35</v>
      </c>
      <c r="I3051" s="25" t="s">
        <v>1113</v>
      </c>
      <c r="J3051" s="25" t="s">
        <v>64</v>
      </c>
      <c r="K3051" s="264" t="s">
        <v>9</v>
      </c>
      <c r="L3051" s="25" t="s">
        <v>30</v>
      </c>
      <c r="M3051" s="25"/>
      <c r="N3051" s="25" t="s">
        <v>37</v>
      </c>
      <c r="Q3051" s="99"/>
    </row>
    <row r="3052">
      <c r="A3052" s="134" t="s">
        <v>1106</v>
      </c>
      <c r="B3052" s="134" t="s">
        <v>18</v>
      </c>
      <c r="C3052" s="134" t="s">
        <v>74</v>
      </c>
      <c r="D3052" s="279" t="s">
        <v>1112</v>
      </c>
      <c r="E3052" s="168">
        <v>43518.0</v>
      </c>
      <c r="F3052" s="21" t="str">
        <f t="shared" si="238"/>
        <v>Feb-2019</v>
      </c>
      <c r="G3052" s="101" t="s">
        <v>20</v>
      </c>
      <c r="H3052" s="16" t="s">
        <v>35</v>
      </c>
      <c r="I3052" s="16" t="s">
        <v>989</v>
      </c>
      <c r="J3052" s="16" t="s">
        <v>86</v>
      </c>
      <c r="K3052" s="263" t="s">
        <v>9</v>
      </c>
      <c r="L3052" s="16" t="s">
        <v>30</v>
      </c>
      <c r="M3052" s="16" t="s">
        <v>24</v>
      </c>
      <c r="N3052" s="16" t="s">
        <v>69</v>
      </c>
      <c r="O3052" s="101"/>
      <c r="P3052" s="101"/>
      <c r="Q3052" s="102"/>
    </row>
    <row r="3053">
      <c r="A3053" s="168">
        <v>43518.0</v>
      </c>
      <c r="B3053" s="134" t="s">
        <v>18</v>
      </c>
      <c r="C3053" s="134" t="s">
        <v>74</v>
      </c>
      <c r="D3053" s="279" t="s">
        <v>1112</v>
      </c>
      <c r="E3053" s="168">
        <v>43518.0</v>
      </c>
      <c r="F3053" s="21" t="str">
        <f t="shared" si="238"/>
        <v>Feb-2019</v>
      </c>
      <c r="G3053" s="101" t="s">
        <v>25</v>
      </c>
      <c r="H3053" s="16" t="s">
        <v>35</v>
      </c>
      <c r="I3053" s="16" t="s">
        <v>989</v>
      </c>
      <c r="J3053" s="16" t="s">
        <v>86</v>
      </c>
      <c r="K3053" s="263" t="s">
        <v>9</v>
      </c>
      <c r="L3053" s="16" t="s">
        <v>24</v>
      </c>
      <c r="M3053" s="16"/>
      <c r="N3053" s="16" t="s">
        <v>98</v>
      </c>
      <c r="O3053" s="101"/>
      <c r="P3053" s="101"/>
      <c r="Q3053" s="102"/>
    </row>
    <row r="3054">
      <c r="A3054" s="176" t="s">
        <v>1114</v>
      </c>
      <c r="B3054" s="134" t="s">
        <v>18</v>
      </c>
      <c r="C3054" s="134" t="s">
        <v>74</v>
      </c>
      <c r="D3054" s="279" t="s">
        <v>1112</v>
      </c>
      <c r="E3054" s="168">
        <v>43518.0</v>
      </c>
      <c r="F3054" s="21" t="str">
        <f t="shared" si="238"/>
        <v>Feb-2019</v>
      </c>
      <c r="G3054" s="101" t="s">
        <v>32</v>
      </c>
      <c r="H3054" s="16" t="s">
        <v>35</v>
      </c>
      <c r="I3054" s="16" t="s">
        <v>989</v>
      </c>
      <c r="J3054" s="16" t="s">
        <v>86</v>
      </c>
      <c r="K3054" s="263" t="s">
        <v>9</v>
      </c>
      <c r="L3054" s="16" t="s">
        <v>24</v>
      </c>
      <c r="M3054" s="16"/>
      <c r="N3054" s="16" t="s">
        <v>29</v>
      </c>
      <c r="O3054" s="101"/>
      <c r="P3054" s="101"/>
      <c r="Q3054" s="102"/>
    </row>
    <row r="3055">
      <c r="A3055" s="134" t="s">
        <v>74</v>
      </c>
      <c r="B3055" s="134" t="s">
        <v>18</v>
      </c>
      <c r="C3055" s="134" t="s">
        <v>74</v>
      </c>
      <c r="D3055" s="279" t="s">
        <v>1112</v>
      </c>
      <c r="E3055" s="168">
        <v>43518.0</v>
      </c>
      <c r="F3055" s="21" t="str">
        <f t="shared" si="238"/>
        <v>Feb-2019</v>
      </c>
      <c r="G3055" t="s">
        <v>20</v>
      </c>
      <c r="H3055" s="25" t="s">
        <v>35</v>
      </c>
      <c r="I3055" s="25" t="s">
        <v>607</v>
      </c>
      <c r="J3055" s="25" t="s">
        <v>40</v>
      </c>
      <c r="K3055" s="264" t="s">
        <v>9</v>
      </c>
      <c r="L3055" s="25" t="s">
        <v>30</v>
      </c>
      <c r="M3055" s="25" t="s">
        <v>30</v>
      </c>
      <c r="N3055" s="25" t="s">
        <v>69</v>
      </c>
      <c r="Q3055" s="99"/>
    </row>
    <row r="3056">
      <c r="A3056" s="168"/>
      <c r="B3056" s="134" t="s">
        <v>18</v>
      </c>
      <c r="C3056" s="134" t="s">
        <v>74</v>
      </c>
      <c r="D3056" s="279" t="s">
        <v>1112</v>
      </c>
      <c r="E3056" s="168">
        <v>43518.0</v>
      </c>
      <c r="F3056" s="21" t="str">
        <f t="shared" si="238"/>
        <v>Feb-2019</v>
      </c>
      <c r="G3056" t="s">
        <v>25</v>
      </c>
      <c r="H3056" s="25" t="s">
        <v>35</v>
      </c>
      <c r="I3056" s="25" t="s">
        <v>607</v>
      </c>
      <c r="J3056" s="25" t="s">
        <v>40</v>
      </c>
      <c r="K3056" s="264" t="s">
        <v>9</v>
      </c>
      <c r="L3056" s="25" t="s">
        <v>30</v>
      </c>
      <c r="M3056" s="25"/>
      <c r="N3056" s="25" t="s">
        <v>106</v>
      </c>
      <c r="Q3056" s="99"/>
    </row>
    <row r="3057">
      <c r="A3057" s="140"/>
      <c r="B3057" s="134" t="s">
        <v>18</v>
      </c>
      <c r="C3057" s="134" t="s">
        <v>74</v>
      </c>
      <c r="D3057" s="279" t="s">
        <v>1112</v>
      </c>
      <c r="E3057" s="168">
        <v>43518.0</v>
      </c>
      <c r="F3057" s="21" t="str">
        <f t="shared" si="238"/>
        <v>Feb-2019</v>
      </c>
      <c r="G3057" s="101" t="s">
        <v>146</v>
      </c>
      <c r="H3057" s="16" t="s">
        <v>35</v>
      </c>
      <c r="I3057" s="16" t="s">
        <v>127</v>
      </c>
      <c r="J3057" s="16" t="s">
        <v>44</v>
      </c>
      <c r="K3057" s="263" t="s">
        <v>9</v>
      </c>
      <c r="L3057" s="16" t="s">
        <v>30</v>
      </c>
      <c r="M3057" s="16" t="s">
        <v>30</v>
      </c>
      <c r="N3057" s="16" t="s">
        <v>98</v>
      </c>
      <c r="O3057" s="101"/>
      <c r="P3057" s="101"/>
      <c r="Q3057" s="102"/>
    </row>
    <row r="3058">
      <c r="A3058" s="140"/>
      <c r="B3058" s="134" t="s">
        <v>18</v>
      </c>
      <c r="C3058" s="134" t="s">
        <v>74</v>
      </c>
      <c r="D3058" s="279" t="s">
        <v>1112</v>
      </c>
      <c r="E3058" s="168">
        <v>43518.0</v>
      </c>
      <c r="F3058" s="21" t="str">
        <f t="shared" si="238"/>
        <v>Feb-2019</v>
      </c>
      <c r="G3058" s="101" t="s">
        <v>149</v>
      </c>
      <c r="H3058" s="16" t="s">
        <v>35</v>
      </c>
      <c r="I3058" s="16" t="s">
        <v>127</v>
      </c>
      <c r="J3058" s="16" t="s">
        <v>44</v>
      </c>
      <c r="K3058" s="263" t="s">
        <v>9</v>
      </c>
      <c r="L3058" s="16" t="s">
        <v>30</v>
      </c>
      <c r="M3058" s="16"/>
      <c r="N3058" s="16" t="s">
        <v>29</v>
      </c>
      <c r="O3058" s="101"/>
      <c r="P3058" s="101"/>
      <c r="Q3058" s="102"/>
    </row>
    <row r="3059">
      <c r="A3059" s="140"/>
      <c r="B3059" s="134" t="s">
        <v>18</v>
      </c>
      <c r="C3059" s="134" t="s">
        <v>74</v>
      </c>
      <c r="D3059" s="279" t="s">
        <v>1112</v>
      </c>
      <c r="E3059" s="168">
        <v>43518.0</v>
      </c>
      <c r="F3059" s="21" t="str">
        <f t="shared" si="238"/>
        <v>Feb-2019</v>
      </c>
      <c r="G3059" s="101" t="s">
        <v>222</v>
      </c>
      <c r="H3059" s="16" t="s">
        <v>35</v>
      </c>
      <c r="I3059" s="16" t="s">
        <v>127</v>
      </c>
      <c r="J3059" s="16" t="s">
        <v>44</v>
      </c>
      <c r="K3059" s="263" t="s">
        <v>9</v>
      </c>
      <c r="L3059" s="16" t="s">
        <v>30</v>
      </c>
      <c r="M3059" s="16"/>
      <c r="N3059" s="16" t="s">
        <v>29</v>
      </c>
      <c r="O3059" s="101"/>
      <c r="P3059" s="101"/>
      <c r="Q3059" s="102"/>
    </row>
    <row r="3060">
      <c r="A3060" s="140"/>
      <c r="B3060" s="134" t="s">
        <v>18</v>
      </c>
      <c r="C3060" s="134" t="s">
        <v>74</v>
      </c>
      <c r="D3060" s="279" t="s">
        <v>1112</v>
      </c>
      <c r="E3060" s="168">
        <v>43518.0</v>
      </c>
      <c r="F3060" s="21" t="str">
        <f t="shared" si="238"/>
        <v>Feb-2019</v>
      </c>
      <c r="G3060" t="s">
        <v>146</v>
      </c>
      <c r="H3060" s="25" t="s">
        <v>35</v>
      </c>
      <c r="I3060" s="25" t="s">
        <v>804</v>
      </c>
      <c r="J3060" s="25" t="s">
        <v>23</v>
      </c>
      <c r="K3060" s="264" t="s">
        <v>9</v>
      </c>
      <c r="L3060" s="25" t="s">
        <v>30</v>
      </c>
      <c r="M3060" s="25" t="s">
        <v>30</v>
      </c>
      <c r="N3060" s="25" t="s">
        <v>37</v>
      </c>
      <c r="Q3060" s="99"/>
    </row>
    <row r="3061">
      <c r="A3061" s="140"/>
      <c r="B3061" s="134" t="s">
        <v>18</v>
      </c>
      <c r="C3061" s="134" t="s">
        <v>74</v>
      </c>
      <c r="D3061" s="279" t="s">
        <v>1112</v>
      </c>
      <c r="E3061" s="168">
        <v>43518.0</v>
      </c>
      <c r="F3061" s="21" t="str">
        <f t="shared" si="238"/>
        <v>Feb-2019</v>
      </c>
      <c r="G3061" t="s">
        <v>149</v>
      </c>
      <c r="H3061" s="25" t="s">
        <v>35</v>
      </c>
      <c r="I3061" s="25" t="s">
        <v>804</v>
      </c>
      <c r="J3061" s="25" t="s">
        <v>23</v>
      </c>
      <c r="K3061" s="264" t="s">
        <v>9</v>
      </c>
      <c r="L3061" s="25" t="s">
        <v>24</v>
      </c>
      <c r="M3061" s="25"/>
      <c r="N3061" s="25" t="s">
        <v>98</v>
      </c>
      <c r="Q3061" s="99"/>
    </row>
    <row r="3062">
      <c r="A3062" s="140"/>
      <c r="B3062" s="134" t="s">
        <v>18</v>
      </c>
      <c r="C3062" s="134" t="s">
        <v>74</v>
      </c>
      <c r="D3062" s="279" t="s">
        <v>1112</v>
      </c>
      <c r="E3062" s="168">
        <v>43518.0</v>
      </c>
      <c r="F3062" s="21" t="str">
        <f t="shared" si="238"/>
        <v>Feb-2019</v>
      </c>
      <c r="G3062" t="s">
        <v>222</v>
      </c>
      <c r="H3062" s="25" t="s">
        <v>35</v>
      </c>
      <c r="I3062" s="25" t="s">
        <v>804</v>
      </c>
      <c r="J3062" s="25" t="s">
        <v>23</v>
      </c>
      <c r="K3062" s="264" t="s">
        <v>9</v>
      </c>
      <c r="L3062" s="25" t="s">
        <v>30</v>
      </c>
      <c r="M3062" s="25"/>
      <c r="N3062" s="25" t="s">
        <v>106</v>
      </c>
      <c r="Q3062" s="99"/>
    </row>
    <row r="3063">
      <c r="A3063" s="140"/>
      <c r="B3063" s="134" t="s">
        <v>18</v>
      </c>
      <c r="C3063" s="134" t="s">
        <v>74</v>
      </c>
      <c r="D3063" s="279" t="s">
        <v>1112</v>
      </c>
      <c r="E3063" s="168">
        <v>43518.0</v>
      </c>
      <c r="F3063" s="21" t="str">
        <f t="shared" si="238"/>
        <v>Feb-2019</v>
      </c>
      <c r="G3063" t="s">
        <v>467</v>
      </c>
      <c r="H3063" s="25" t="s">
        <v>35</v>
      </c>
      <c r="I3063" s="25" t="s">
        <v>804</v>
      </c>
      <c r="J3063" s="25" t="s">
        <v>23</v>
      </c>
      <c r="K3063" s="264" t="s">
        <v>9</v>
      </c>
      <c r="L3063" s="25" t="s">
        <v>30</v>
      </c>
      <c r="M3063" s="25"/>
      <c r="N3063" s="25" t="s">
        <v>99</v>
      </c>
      <c r="Q3063" s="99"/>
    </row>
    <row r="3064">
      <c r="A3064" s="140"/>
      <c r="B3064" s="134" t="s">
        <v>18</v>
      </c>
      <c r="C3064" s="134" t="s">
        <v>74</v>
      </c>
      <c r="D3064" s="279" t="s">
        <v>1112</v>
      </c>
      <c r="E3064" s="168">
        <v>43518.0</v>
      </c>
      <c r="F3064" s="21" t="str">
        <f t="shared" si="238"/>
        <v>Feb-2019</v>
      </c>
      <c r="G3064" s="101" t="s">
        <v>146</v>
      </c>
      <c r="H3064" s="16" t="s">
        <v>35</v>
      </c>
      <c r="I3064" s="16" t="s">
        <v>218</v>
      </c>
      <c r="J3064" s="16" t="s">
        <v>86</v>
      </c>
      <c r="K3064" s="263" t="s">
        <v>9</v>
      </c>
      <c r="L3064" s="16" t="s">
        <v>24</v>
      </c>
      <c r="M3064" s="16" t="s">
        <v>24</v>
      </c>
      <c r="N3064" s="16" t="s">
        <v>69</v>
      </c>
      <c r="O3064" s="101"/>
      <c r="P3064" s="101"/>
      <c r="Q3064" s="102"/>
    </row>
    <row r="3065">
      <c r="A3065" s="140"/>
      <c r="B3065" s="134" t="s">
        <v>18</v>
      </c>
      <c r="C3065" s="134" t="s">
        <v>74</v>
      </c>
      <c r="D3065" s="279" t="s">
        <v>1112</v>
      </c>
      <c r="E3065" s="168">
        <v>43518.0</v>
      </c>
      <c r="F3065" s="21" t="str">
        <f t="shared" si="238"/>
        <v>Feb-2019</v>
      </c>
      <c r="G3065" s="101" t="s">
        <v>149</v>
      </c>
      <c r="H3065" s="16" t="s">
        <v>35</v>
      </c>
      <c r="I3065" s="16" t="s">
        <v>218</v>
      </c>
      <c r="J3065" s="16" t="s">
        <v>86</v>
      </c>
      <c r="K3065" s="263" t="s">
        <v>9</v>
      </c>
      <c r="L3065" s="16" t="s">
        <v>24</v>
      </c>
      <c r="M3065" s="16"/>
      <c r="N3065" s="16" t="s">
        <v>29</v>
      </c>
      <c r="O3065" s="101"/>
      <c r="P3065" s="101"/>
      <c r="Q3065" s="102"/>
    </row>
    <row r="3066">
      <c r="A3066" s="140"/>
      <c r="B3066" s="134" t="s">
        <v>18</v>
      </c>
      <c r="C3066" s="134" t="s">
        <v>74</v>
      </c>
      <c r="D3066" s="279" t="s">
        <v>1112</v>
      </c>
      <c r="E3066" s="168">
        <v>43518.0</v>
      </c>
      <c r="F3066" s="21" t="str">
        <f t="shared" si="238"/>
        <v>Feb-2019</v>
      </c>
      <c r="G3066" s="101" t="s">
        <v>222</v>
      </c>
      <c r="H3066" s="16" t="s">
        <v>35</v>
      </c>
      <c r="I3066" s="16" t="s">
        <v>218</v>
      </c>
      <c r="J3066" s="16" t="s">
        <v>86</v>
      </c>
      <c r="K3066" s="263" t="s">
        <v>9</v>
      </c>
      <c r="L3066" s="16" t="s">
        <v>30</v>
      </c>
      <c r="M3066" s="16"/>
      <c r="N3066" s="16" t="s">
        <v>29</v>
      </c>
      <c r="O3066" s="101"/>
      <c r="P3066" s="101"/>
      <c r="Q3066" s="102"/>
    </row>
    <row r="3067">
      <c r="A3067" s="141"/>
      <c r="B3067" s="134" t="s">
        <v>18</v>
      </c>
      <c r="C3067" s="134" t="s">
        <v>74</v>
      </c>
      <c r="D3067" s="280" t="s">
        <v>1112</v>
      </c>
      <c r="E3067" s="168">
        <v>43518.0</v>
      </c>
      <c r="F3067" s="51" t="str">
        <f t="shared" si="238"/>
        <v>Feb-2019</v>
      </c>
      <c r="G3067" s="105" t="s">
        <v>467</v>
      </c>
      <c r="H3067" s="38" t="s">
        <v>35</v>
      </c>
      <c r="I3067" s="38" t="s">
        <v>218</v>
      </c>
      <c r="J3067" s="38" t="s">
        <v>86</v>
      </c>
      <c r="K3067" s="265" t="s">
        <v>9</v>
      </c>
      <c r="L3067" s="38" t="s">
        <v>24</v>
      </c>
      <c r="M3067" s="38"/>
      <c r="N3067" s="38" t="s">
        <v>37</v>
      </c>
      <c r="O3067" s="105"/>
      <c r="P3067" s="105"/>
      <c r="Q3067" s="106"/>
    </row>
    <row r="3068">
      <c r="A3068" s="94"/>
    </row>
    <row r="3069">
      <c r="A3069" s="133" t="s">
        <v>1115</v>
      </c>
      <c r="B3069" s="134" t="s">
        <v>18</v>
      </c>
      <c r="C3069" s="134" t="s">
        <v>74</v>
      </c>
      <c r="D3069" s="278" t="s">
        <v>1115</v>
      </c>
      <c r="E3069" s="168">
        <v>43525.0</v>
      </c>
      <c r="F3069" s="70" t="str">
        <f t="shared" ref="F3069:F3085" si="239">TEXT(E3061:E3069, "mmm") &amp; "-" &amp; TEXT(E3061:E3069, "yyyy") </f>
        <v>Mar-2019</v>
      </c>
      <c r="G3069" s="165" t="s">
        <v>20</v>
      </c>
      <c r="H3069" s="73" t="s">
        <v>35</v>
      </c>
      <c r="I3069" s="73" t="s">
        <v>487</v>
      </c>
      <c r="J3069" s="73" t="s">
        <v>44</v>
      </c>
      <c r="K3069" s="269" t="s">
        <v>9</v>
      </c>
      <c r="L3069" s="73" t="s">
        <v>30</v>
      </c>
      <c r="M3069" s="73" t="s">
        <v>30</v>
      </c>
      <c r="N3069" s="73" t="s">
        <v>69</v>
      </c>
      <c r="O3069" s="165"/>
      <c r="P3069" s="165"/>
      <c r="Q3069" s="166"/>
    </row>
    <row r="3070">
      <c r="A3070" s="134" t="s">
        <v>18</v>
      </c>
      <c r="B3070" s="134" t="s">
        <v>18</v>
      </c>
      <c r="C3070" s="134" t="s">
        <v>74</v>
      </c>
      <c r="D3070" s="279" t="s">
        <v>1115</v>
      </c>
      <c r="E3070" s="168">
        <v>43525.0</v>
      </c>
      <c r="F3070" s="21" t="str">
        <f t="shared" si="239"/>
        <v>Mar-2019</v>
      </c>
      <c r="G3070" t="s">
        <v>25</v>
      </c>
      <c r="H3070" s="25" t="s">
        <v>35</v>
      </c>
      <c r="I3070" s="25" t="s">
        <v>487</v>
      </c>
      <c r="J3070" s="25" t="s">
        <v>44</v>
      </c>
      <c r="K3070" s="264" t="s">
        <v>9</v>
      </c>
      <c r="L3070" s="25" t="s">
        <v>30</v>
      </c>
      <c r="M3070" s="25"/>
      <c r="N3070" s="25" t="s">
        <v>98</v>
      </c>
      <c r="Q3070" s="99"/>
    </row>
    <row r="3071">
      <c r="A3071" s="134" t="s">
        <v>1106</v>
      </c>
      <c r="B3071" s="134" t="s">
        <v>18</v>
      </c>
      <c r="C3071" s="134" t="s">
        <v>74</v>
      </c>
      <c r="D3071" s="279" t="s">
        <v>1115</v>
      </c>
      <c r="E3071" s="168">
        <v>43525.0</v>
      </c>
      <c r="F3071" s="21" t="str">
        <f t="shared" si="239"/>
        <v>Mar-2019</v>
      </c>
      <c r="G3071" s="101" t="s">
        <v>20</v>
      </c>
      <c r="H3071" s="16" t="s">
        <v>35</v>
      </c>
      <c r="I3071" s="16" t="s">
        <v>218</v>
      </c>
      <c r="J3071" s="16" t="s">
        <v>86</v>
      </c>
      <c r="K3071" s="263" t="s">
        <v>9</v>
      </c>
      <c r="L3071" s="16" t="s">
        <v>30</v>
      </c>
      <c r="M3071" s="16" t="s">
        <v>24</v>
      </c>
      <c r="N3071" s="16" t="s">
        <v>99</v>
      </c>
      <c r="O3071" s="101"/>
      <c r="P3071" s="101"/>
      <c r="Q3071" s="102"/>
    </row>
    <row r="3072">
      <c r="A3072" s="168">
        <v>43525.0</v>
      </c>
      <c r="B3072" s="134" t="s">
        <v>18</v>
      </c>
      <c r="C3072" s="134" t="s">
        <v>74</v>
      </c>
      <c r="D3072" s="279" t="s">
        <v>1115</v>
      </c>
      <c r="E3072" s="168">
        <v>43525.0</v>
      </c>
      <c r="F3072" s="21" t="str">
        <f t="shared" si="239"/>
        <v>Mar-2019</v>
      </c>
      <c r="G3072" s="101" t="s">
        <v>25</v>
      </c>
      <c r="H3072" s="16" t="s">
        <v>35</v>
      </c>
      <c r="I3072" s="16" t="s">
        <v>218</v>
      </c>
      <c r="J3072" s="16" t="s">
        <v>86</v>
      </c>
      <c r="K3072" s="263" t="s">
        <v>9</v>
      </c>
      <c r="L3072" s="16" t="s">
        <v>24</v>
      </c>
      <c r="M3072" s="16"/>
      <c r="N3072" s="16" t="s">
        <v>98</v>
      </c>
      <c r="O3072" s="101"/>
      <c r="P3072" s="101"/>
      <c r="Q3072" s="102"/>
    </row>
    <row r="3073">
      <c r="A3073" s="176" t="s">
        <v>1116</v>
      </c>
      <c r="B3073" s="134" t="s">
        <v>18</v>
      </c>
      <c r="C3073" s="134" t="s">
        <v>74</v>
      </c>
      <c r="D3073" s="279" t="s">
        <v>1115</v>
      </c>
      <c r="E3073" s="168">
        <v>43525.0</v>
      </c>
      <c r="F3073" s="21" t="str">
        <f t="shared" si="239"/>
        <v>Mar-2019</v>
      </c>
      <c r="G3073" s="101" t="s">
        <v>32</v>
      </c>
      <c r="H3073" s="16" t="s">
        <v>35</v>
      </c>
      <c r="I3073" s="16" t="s">
        <v>218</v>
      </c>
      <c r="J3073" s="16" t="s">
        <v>86</v>
      </c>
      <c r="K3073" s="263" t="s">
        <v>9</v>
      </c>
      <c r="L3073" s="16" t="s">
        <v>24</v>
      </c>
      <c r="M3073" s="16"/>
      <c r="N3073" s="16" t="s">
        <v>69</v>
      </c>
      <c r="O3073" s="101"/>
      <c r="P3073" s="101"/>
      <c r="Q3073" s="102"/>
    </row>
    <row r="3074">
      <c r="A3074" s="134" t="s">
        <v>74</v>
      </c>
      <c r="B3074" s="134" t="s">
        <v>18</v>
      </c>
      <c r="C3074" s="134" t="s">
        <v>74</v>
      </c>
      <c r="D3074" s="279" t="s">
        <v>1115</v>
      </c>
      <c r="E3074" s="168">
        <v>43525.0</v>
      </c>
      <c r="F3074" s="21" t="str">
        <f t="shared" si="239"/>
        <v>Mar-2019</v>
      </c>
      <c r="G3074" t="s">
        <v>20</v>
      </c>
      <c r="H3074" s="25" t="s">
        <v>35</v>
      </c>
      <c r="I3074" s="25" t="s">
        <v>302</v>
      </c>
      <c r="J3074" s="25" t="s">
        <v>27</v>
      </c>
      <c r="K3074" s="264" t="s">
        <v>9</v>
      </c>
      <c r="L3074" s="25" t="s">
        <v>30</v>
      </c>
      <c r="M3074" s="25" t="s">
        <v>30</v>
      </c>
      <c r="N3074" s="25" t="s">
        <v>69</v>
      </c>
      <c r="Q3074" s="99"/>
    </row>
    <row r="3075">
      <c r="A3075" s="140"/>
      <c r="B3075" s="134" t="s">
        <v>18</v>
      </c>
      <c r="C3075" s="134" t="s">
        <v>74</v>
      </c>
      <c r="D3075" s="279" t="s">
        <v>1115</v>
      </c>
      <c r="E3075" s="168">
        <v>43525.0</v>
      </c>
      <c r="F3075" s="21" t="str">
        <f t="shared" si="239"/>
        <v>Mar-2019</v>
      </c>
      <c r="G3075" t="s">
        <v>25</v>
      </c>
      <c r="H3075" s="25" t="s">
        <v>35</v>
      </c>
      <c r="I3075" s="25" t="s">
        <v>302</v>
      </c>
      <c r="J3075" s="25" t="s">
        <v>27</v>
      </c>
      <c r="K3075" s="264" t="s">
        <v>9</v>
      </c>
      <c r="L3075" s="25" t="s">
        <v>30</v>
      </c>
      <c r="M3075" s="25"/>
      <c r="N3075" s="25" t="s">
        <v>29</v>
      </c>
      <c r="Q3075" s="99"/>
    </row>
    <row r="3076">
      <c r="A3076" s="140"/>
      <c r="B3076" s="134" t="s">
        <v>18</v>
      </c>
      <c r="C3076" s="134" t="s">
        <v>74</v>
      </c>
      <c r="D3076" s="279" t="s">
        <v>1115</v>
      </c>
      <c r="E3076" s="168">
        <v>43525.0</v>
      </c>
      <c r="F3076" s="21" t="str">
        <f t="shared" si="239"/>
        <v>Mar-2019</v>
      </c>
      <c r="G3076" s="101" t="s">
        <v>146</v>
      </c>
      <c r="H3076" s="16" t="s">
        <v>35</v>
      </c>
      <c r="I3076" s="16" t="s">
        <v>804</v>
      </c>
      <c r="J3076" s="16" t="s">
        <v>23</v>
      </c>
      <c r="K3076" s="263" t="s">
        <v>9</v>
      </c>
      <c r="L3076" s="16" t="s">
        <v>30</v>
      </c>
      <c r="M3076" s="16" t="s">
        <v>30</v>
      </c>
      <c r="N3076" s="16" t="s">
        <v>37</v>
      </c>
      <c r="O3076" s="101"/>
      <c r="P3076" s="101"/>
      <c r="Q3076" s="102"/>
    </row>
    <row r="3077">
      <c r="A3077" s="140"/>
      <c r="B3077" s="134" t="s">
        <v>18</v>
      </c>
      <c r="C3077" s="134" t="s">
        <v>74</v>
      </c>
      <c r="D3077" s="279" t="s">
        <v>1115</v>
      </c>
      <c r="E3077" s="168">
        <v>43525.0</v>
      </c>
      <c r="F3077" s="21" t="str">
        <f t="shared" si="239"/>
        <v>Mar-2019</v>
      </c>
      <c r="G3077" s="101" t="s">
        <v>149</v>
      </c>
      <c r="H3077" s="16" t="s">
        <v>35</v>
      </c>
      <c r="I3077" s="16" t="s">
        <v>804</v>
      </c>
      <c r="J3077" s="16" t="s">
        <v>23</v>
      </c>
      <c r="K3077" s="263" t="s">
        <v>9</v>
      </c>
      <c r="L3077" s="16" t="s">
        <v>24</v>
      </c>
      <c r="M3077" s="16"/>
      <c r="N3077" s="16" t="s">
        <v>98</v>
      </c>
      <c r="O3077" s="101"/>
      <c r="P3077" s="101"/>
      <c r="Q3077" s="102"/>
    </row>
    <row r="3078">
      <c r="A3078" s="140"/>
      <c r="B3078" s="134" t="s">
        <v>18</v>
      </c>
      <c r="C3078" s="134" t="s">
        <v>74</v>
      </c>
      <c r="D3078" s="279" t="s">
        <v>1115</v>
      </c>
      <c r="E3078" s="168">
        <v>43525.0</v>
      </c>
      <c r="F3078" s="21" t="str">
        <f t="shared" si="239"/>
        <v>Mar-2019</v>
      </c>
      <c r="G3078" s="101" t="s">
        <v>222</v>
      </c>
      <c r="H3078" s="16" t="s">
        <v>35</v>
      </c>
      <c r="I3078" s="16" t="s">
        <v>804</v>
      </c>
      <c r="J3078" s="16" t="s">
        <v>23</v>
      </c>
      <c r="K3078" s="263" t="s">
        <v>9</v>
      </c>
      <c r="L3078" s="16" t="s">
        <v>24</v>
      </c>
      <c r="M3078" s="16"/>
      <c r="N3078" s="16" t="s">
        <v>106</v>
      </c>
      <c r="O3078" s="101"/>
      <c r="P3078" s="101"/>
      <c r="Q3078" s="102"/>
    </row>
    <row r="3079">
      <c r="A3079" s="140"/>
      <c r="B3079" s="134" t="s">
        <v>18</v>
      </c>
      <c r="C3079" s="134" t="s">
        <v>74</v>
      </c>
      <c r="D3079" s="279" t="s">
        <v>1115</v>
      </c>
      <c r="E3079" s="168">
        <v>43525.0</v>
      </c>
      <c r="F3079" s="21" t="str">
        <f t="shared" si="239"/>
        <v>Mar-2019</v>
      </c>
      <c r="G3079" s="101" t="s">
        <v>467</v>
      </c>
      <c r="H3079" s="16" t="s">
        <v>35</v>
      </c>
      <c r="I3079" s="16" t="s">
        <v>804</v>
      </c>
      <c r="J3079" s="16" t="s">
        <v>23</v>
      </c>
      <c r="K3079" s="263" t="s">
        <v>9</v>
      </c>
      <c r="L3079" s="16" t="s">
        <v>30</v>
      </c>
      <c r="M3079" s="16"/>
      <c r="N3079" s="16" t="s">
        <v>29</v>
      </c>
      <c r="O3079" s="101"/>
      <c r="P3079" s="101"/>
      <c r="Q3079" s="102"/>
    </row>
    <row r="3080">
      <c r="A3080" s="140"/>
      <c r="B3080" s="134" t="s">
        <v>18</v>
      </c>
      <c r="C3080" s="134" t="s">
        <v>74</v>
      </c>
      <c r="D3080" s="279" t="s">
        <v>1115</v>
      </c>
      <c r="E3080" s="168">
        <v>43525.0</v>
      </c>
      <c r="F3080" s="21" t="str">
        <f t="shared" si="239"/>
        <v>Mar-2019</v>
      </c>
      <c r="G3080" s="263" t="s">
        <v>480</v>
      </c>
      <c r="H3080" s="16" t="s">
        <v>35</v>
      </c>
      <c r="I3080" s="16" t="s">
        <v>804</v>
      </c>
      <c r="J3080" s="16" t="s">
        <v>23</v>
      </c>
      <c r="K3080" s="263" t="s">
        <v>9</v>
      </c>
      <c r="L3080" s="16" t="s">
        <v>30</v>
      </c>
      <c r="M3080" s="16"/>
      <c r="N3080" s="16" t="s">
        <v>99</v>
      </c>
      <c r="O3080" s="101"/>
      <c r="P3080" s="101"/>
      <c r="Q3080" s="102"/>
    </row>
    <row r="3081">
      <c r="A3081" s="140"/>
      <c r="B3081" s="134" t="s">
        <v>18</v>
      </c>
      <c r="C3081" s="134" t="s">
        <v>74</v>
      </c>
      <c r="D3081" s="279" t="s">
        <v>1115</v>
      </c>
      <c r="E3081" s="168">
        <v>43525.0</v>
      </c>
      <c r="F3081" s="21" t="str">
        <f t="shared" si="239"/>
        <v>Mar-2019</v>
      </c>
      <c r="G3081" t="s">
        <v>146</v>
      </c>
      <c r="H3081" s="25" t="s">
        <v>35</v>
      </c>
      <c r="I3081" s="25" t="s">
        <v>452</v>
      </c>
      <c r="J3081" s="25" t="s">
        <v>27</v>
      </c>
      <c r="K3081" s="264" t="s">
        <v>9</v>
      </c>
      <c r="L3081" s="25" t="s">
        <v>30</v>
      </c>
      <c r="M3081" s="25" t="s">
        <v>24</v>
      </c>
      <c r="N3081" s="25" t="s">
        <v>69</v>
      </c>
      <c r="Q3081" s="99"/>
    </row>
    <row r="3082">
      <c r="A3082" s="140"/>
      <c r="B3082" s="134" t="s">
        <v>18</v>
      </c>
      <c r="C3082" s="134" t="s">
        <v>74</v>
      </c>
      <c r="D3082" s="279" t="s">
        <v>1115</v>
      </c>
      <c r="E3082" s="168">
        <v>43525.0</v>
      </c>
      <c r="F3082" s="21" t="str">
        <f t="shared" si="239"/>
        <v>Mar-2019</v>
      </c>
      <c r="G3082" t="s">
        <v>149</v>
      </c>
      <c r="H3082" s="25" t="s">
        <v>35</v>
      </c>
      <c r="I3082" s="25" t="s">
        <v>452</v>
      </c>
      <c r="J3082" s="25" t="s">
        <v>27</v>
      </c>
      <c r="K3082" s="264" t="s">
        <v>9</v>
      </c>
      <c r="L3082" s="25" t="s">
        <v>30</v>
      </c>
      <c r="M3082" s="25"/>
      <c r="N3082" s="25" t="s">
        <v>99</v>
      </c>
      <c r="Q3082" s="99"/>
    </row>
    <row r="3083">
      <c r="A3083" s="140"/>
      <c r="B3083" s="134" t="s">
        <v>18</v>
      </c>
      <c r="C3083" s="134" t="s">
        <v>74</v>
      </c>
      <c r="D3083" s="279" t="s">
        <v>1115</v>
      </c>
      <c r="E3083" s="168">
        <v>43525.0</v>
      </c>
      <c r="F3083" s="21" t="str">
        <f t="shared" si="239"/>
        <v>Mar-2019</v>
      </c>
      <c r="G3083" t="s">
        <v>222</v>
      </c>
      <c r="H3083" s="25" t="s">
        <v>35</v>
      </c>
      <c r="I3083" s="25" t="s">
        <v>452</v>
      </c>
      <c r="J3083" s="25" t="s">
        <v>27</v>
      </c>
      <c r="K3083" s="264" t="s">
        <v>9</v>
      </c>
      <c r="L3083" s="25" t="s">
        <v>24</v>
      </c>
      <c r="M3083" s="25"/>
      <c r="N3083" s="25" t="s">
        <v>29</v>
      </c>
      <c r="Q3083" s="99"/>
    </row>
    <row r="3084">
      <c r="A3084" s="140"/>
      <c r="B3084" s="134" t="s">
        <v>18</v>
      </c>
      <c r="C3084" s="134" t="s">
        <v>74</v>
      </c>
      <c r="D3084" s="279" t="s">
        <v>1115</v>
      </c>
      <c r="E3084" s="168">
        <v>43525.0</v>
      </c>
      <c r="F3084" s="21" t="str">
        <f t="shared" si="239"/>
        <v>Mar-2019</v>
      </c>
      <c r="G3084" t="s">
        <v>467</v>
      </c>
      <c r="H3084" s="25" t="s">
        <v>35</v>
      </c>
      <c r="I3084" s="25" t="s">
        <v>452</v>
      </c>
      <c r="J3084" s="25" t="s">
        <v>27</v>
      </c>
      <c r="K3084" s="264" t="s">
        <v>9</v>
      </c>
      <c r="L3084" s="25" t="s">
        <v>24</v>
      </c>
      <c r="M3084" s="25"/>
      <c r="N3084" s="25" t="s">
        <v>98</v>
      </c>
      <c r="Q3084" s="99"/>
    </row>
    <row r="3085">
      <c r="A3085" s="141"/>
      <c r="B3085" s="134" t="s">
        <v>18</v>
      </c>
      <c r="C3085" s="134" t="s">
        <v>74</v>
      </c>
      <c r="D3085" s="280" t="s">
        <v>1115</v>
      </c>
      <c r="E3085" s="168">
        <v>43525.0</v>
      </c>
      <c r="F3085" s="51" t="str">
        <f t="shared" si="239"/>
        <v>Mar-2019</v>
      </c>
      <c r="G3085" s="266" t="s">
        <v>480</v>
      </c>
      <c r="H3085" s="55" t="s">
        <v>35</v>
      </c>
      <c r="I3085" s="55" t="s">
        <v>452</v>
      </c>
      <c r="J3085" s="55" t="s">
        <v>27</v>
      </c>
      <c r="K3085" s="266" t="s">
        <v>9</v>
      </c>
      <c r="L3085" s="55" t="s">
        <v>24</v>
      </c>
      <c r="M3085" s="55"/>
      <c r="N3085" s="55" t="s">
        <v>98</v>
      </c>
      <c r="O3085" s="143"/>
      <c r="P3085" s="143"/>
      <c r="Q3085" s="144"/>
    </row>
    <row r="3086">
      <c r="A3086" s="94"/>
    </row>
    <row r="3087">
      <c r="A3087" s="133" t="s">
        <v>1117</v>
      </c>
      <c r="B3087" s="134" t="s">
        <v>34</v>
      </c>
      <c r="C3087" s="134" t="s">
        <v>74</v>
      </c>
      <c r="D3087" s="278" t="s">
        <v>1117</v>
      </c>
      <c r="E3087" s="239">
        <v>43531.0</v>
      </c>
      <c r="F3087" s="70" t="str">
        <f t="shared" ref="F3087:F3101" si="240">TEXT(E3079:E3087, "mmm") &amp; "-" &amp; TEXT(E3079:E3087, "yyyy") </f>
        <v>Mar-2019</v>
      </c>
      <c r="G3087" s="152" t="s">
        <v>20</v>
      </c>
      <c r="H3087" s="47" t="s">
        <v>35</v>
      </c>
      <c r="I3087" s="47" t="s">
        <v>665</v>
      </c>
      <c r="J3087" s="47" t="s">
        <v>86</v>
      </c>
      <c r="K3087" s="314" t="s">
        <v>9</v>
      </c>
      <c r="L3087" s="47" t="s">
        <v>30</v>
      </c>
      <c r="M3087" s="47" t="s">
        <v>30</v>
      </c>
      <c r="N3087" s="47" t="s">
        <v>69</v>
      </c>
      <c r="O3087" s="152"/>
      <c r="P3087" s="152"/>
      <c r="Q3087" s="153"/>
    </row>
    <row r="3088">
      <c r="A3088" s="134" t="s">
        <v>34</v>
      </c>
      <c r="B3088" s="134" t="s">
        <v>34</v>
      </c>
      <c r="C3088" s="134" t="s">
        <v>74</v>
      </c>
      <c r="D3088" s="279" t="s">
        <v>1117</v>
      </c>
      <c r="E3088" s="240">
        <v>43531.0</v>
      </c>
      <c r="F3088" s="21" t="str">
        <f t="shared" si="240"/>
        <v>Mar-2019</v>
      </c>
      <c r="G3088" s="101" t="s">
        <v>25</v>
      </c>
      <c r="H3088" s="16" t="s">
        <v>35</v>
      </c>
      <c r="I3088" s="16" t="s">
        <v>665</v>
      </c>
      <c r="J3088" s="16" t="s">
        <v>86</v>
      </c>
      <c r="K3088" s="263" t="s">
        <v>9</v>
      </c>
      <c r="L3088" s="16" t="s">
        <v>30</v>
      </c>
      <c r="M3088" s="16"/>
      <c r="N3088" s="16" t="s">
        <v>98</v>
      </c>
      <c r="O3088" s="101"/>
      <c r="P3088" s="101"/>
      <c r="Q3088" s="102"/>
    </row>
    <row r="3089">
      <c r="A3089" s="134" t="s">
        <v>1118</v>
      </c>
      <c r="B3089" s="134" t="s">
        <v>34</v>
      </c>
      <c r="C3089" s="134" t="s">
        <v>74</v>
      </c>
      <c r="D3089" s="279" t="s">
        <v>1117</v>
      </c>
      <c r="E3089" s="240">
        <v>43531.0</v>
      </c>
      <c r="F3089" s="21" t="str">
        <f t="shared" si="240"/>
        <v>Mar-2019</v>
      </c>
      <c r="G3089" t="s">
        <v>20</v>
      </c>
      <c r="H3089" s="25" t="s">
        <v>35</v>
      </c>
      <c r="I3089" s="25" t="s">
        <v>239</v>
      </c>
      <c r="J3089" s="25" t="s">
        <v>27</v>
      </c>
      <c r="K3089" s="264" t="s">
        <v>9</v>
      </c>
      <c r="L3089" s="25" t="s">
        <v>24</v>
      </c>
      <c r="M3089" s="25" t="s">
        <v>24</v>
      </c>
      <c r="N3089" s="25" t="s">
        <v>37</v>
      </c>
      <c r="Q3089" s="99"/>
    </row>
    <row r="3090">
      <c r="A3090" s="168">
        <v>43531.0</v>
      </c>
      <c r="B3090" s="134" t="s">
        <v>34</v>
      </c>
      <c r="C3090" s="134" t="s">
        <v>74</v>
      </c>
      <c r="D3090" s="279" t="s">
        <v>1117</v>
      </c>
      <c r="E3090" s="240">
        <v>43531.0</v>
      </c>
      <c r="F3090" s="21" t="str">
        <f t="shared" si="240"/>
        <v>Mar-2019</v>
      </c>
      <c r="G3090" t="s">
        <v>25</v>
      </c>
      <c r="H3090" s="25" t="s">
        <v>35</v>
      </c>
      <c r="I3090" s="25" t="s">
        <v>239</v>
      </c>
      <c r="J3090" s="25" t="s">
        <v>27</v>
      </c>
      <c r="K3090" s="264" t="s">
        <v>9</v>
      </c>
      <c r="L3090" s="25" t="s">
        <v>24</v>
      </c>
      <c r="M3090" s="25"/>
      <c r="N3090" s="25" t="s">
        <v>98</v>
      </c>
      <c r="Q3090" s="99"/>
    </row>
    <row r="3091">
      <c r="A3091" s="134" t="s">
        <v>74</v>
      </c>
      <c r="B3091" s="134" t="s">
        <v>34</v>
      </c>
      <c r="C3091" s="134" t="s">
        <v>74</v>
      </c>
      <c r="D3091" s="279" t="s">
        <v>1117</v>
      </c>
      <c r="E3091" s="240">
        <v>43531.0</v>
      </c>
      <c r="F3091" s="21" t="str">
        <f t="shared" si="240"/>
        <v>Mar-2019</v>
      </c>
      <c r="G3091" s="101" t="s">
        <v>20</v>
      </c>
      <c r="H3091" s="16" t="s">
        <v>35</v>
      </c>
      <c r="I3091" s="16" t="s">
        <v>431</v>
      </c>
      <c r="J3091" s="16" t="s">
        <v>23</v>
      </c>
      <c r="K3091" s="263" t="s">
        <v>9</v>
      </c>
      <c r="L3091" s="16" t="s">
        <v>30</v>
      </c>
      <c r="M3091" s="16" t="s">
        <v>30</v>
      </c>
      <c r="N3091" s="16" t="s">
        <v>69</v>
      </c>
      <c r="O3091" s="101"/>
      <c r="P3091" s="101"/>
      <c r="Q3091" s="102"/>
    </row>
    <row r="3092">
      <c r="A3092" s="176" t="s">
        <v>1119</v>
      </c>
      <c r="B3092" s="134" t="s">
        <v>34</v>
      </c>
      <c r="C3092" s="134" t="s">
        <v>74</v>
      </c>
      <c r="D3092" s="279" t="s">
        <v>1117</v>
      </c>
      <c r="E3092" s="240">
        <v>43531.0</v>
      </c>
      <c r="F3092" s="21" t="str">
        <f t="shared" si="240"/>
        <v>Mar-2019</v>
      </c>
      <c r="G3092" s="101" t="s">
        <v>25</v>
      </c>
      <c r="H3092" s="16" t="s">
        <v>35</v>
      </c>
      <c r="I3092" s="16" t="s">
        <v>431</v>
      </c>
      <c r="J3092" s="16" t="s">
        <v>23</v>
      </c>
      <c r="K3092" s="263" t="s">
        <v>9</v>
      </c>
      <c r="L3092" s="16" t="s">
        <v>30</v>
      </c>
      <c r="M3092" s="16"/>
      <c r="N3092" s="16" t="s">
        <v>37</v>
      </c>
      <c r="O3092" s="101"/>
      <c r="P3092" s="101"/>
      <c r="Q3092" s="102"/>
    </row>
    <row r="3093">
      <c r="A3093" s="140"/>
      <c r="B3093" s="134" t="s">
        <v>34</v>
      </c>
      <c r="C3093" s="134" t="s">
        <v>74</v>
      </c>
      <c r="D3093" s="279" t="s">
        <v>1117</v>
      </c>
      <c r="E3093" s="240">
        <v>43531.0</v>
      </c>
      <c r="F3093" s="21" t="str">
        <f t="shared" si="240"/>
        <v>Mar-2019</v>
      </c>
      <c r="G3093" t="s">
        <v>146</v>
      </c>
      <c r="H3093" s="25" t="s">
        <v>35</v>
      </c>
      <c r="I3093" s="25" t="s">
        <v>100</v>
      </c>
      <c r="J3093" s="25" t="s">
        <v>9</v>
      </c>
      <c r="K3093" s="264" t="s">
        <v>9</v>
      </c>
      <c r="L3093" s="25" t="s">
        <v>24</v>
      </c>
      <c r="M3093" s="25" t="s">
        <v>30</v>
      </c>
      <c r="N3093" s="25" t="s">
        <v>69</v>
      </c>
      <c r="Q3093" s="99"/>
    </row>
    <row r="3094">
      <c r="A3094" s="140"/>
      <c r="B3094" s="134" t="s">
        <v>34</v>
      </c>
      <c r="C3094" s="134" t="s">
        <v>74</v>
      </c>
      <c r="D3094" s="279" t="s">
        <v>1117</v>
      </c>
      <c r="E3094" s="240">
        <v>43531.0</v>
      </c>
      <c r="F3094" s="21" t="str">
        <f t="shared" si="240"/>
        <v>Mar-2019</v>
      </c>
      <c r="G3094" t="s">
        <v>149</v>
      </c>
      <c r="H3094" s="25" t="s">
        <v>35</v>
      </c>
      <c r="I3094" s="25" t="s">
        <v>100</v>
      </c>
      <c r="J3094" s="25" t="s">
        <v>9</v>
      </c>
      <c r="K3094" s="264" t="s">
        <v>9</v>
      </c>
      <c r="L3094" s="25" t="s">
        <v>30</v>
      </c>
      <c r="M3094" s="25"/>
      <c r="N3094" s="25" t="s">
        <v>106</v>
      </c>
      <c r="Q3094" s="99"/>
    </row>
    <row r="3095">
      <c r="A3095" s="140"/>
      <c r="B3095" s="134" t="s">
        <v>34</v>
      </c>
      <c r="C3095" s="134" t="s">
        <v>74</v>
      </c>
      <c r="D3095" s="279" t="s">
        <v>1117</v>
      </c>
      <c r="E3095" s="240">
        <v>43531.0</v>
      </c>
      <c r="F3095" s="21" t="str">
        <f t="shared" si="240"/>
        <v>Mar-2019</v>
      </c>
      <c r="G3095" t="s">
        <v>222</v>
      </c>
      <c r="H3095" s="25" t="s">
        <v>35</v>
      </c>
      <c r="I3095" s="25" t="s">
        <v>100</v>
      </c>
      <c r="J3095" s="25" t="s">
        <v>9</v>
      </c>
      <c r="K3095" s="264" t="s">
        <v>9</v>
      </c>
      <c r="L3095" s="25" t="s">
        <v>30</v>
      </c>
      <c r="M3095" s="25"/>
      <c r="N3095" s="25" t="s">
        <v>29</v>
      </c>
      <c r="Q3095" s="99"/>
    </row>
    <row r="3096">
      <c r="A3096" s="140"/>
      <c r="B3096" s="134" t="s">
        <v>34</v>
      </c>
      <c r="C3096" s="134" t="s">
        <v>74</v>
      </c>
      <c r="D3096" s="279" t="s">
        <v>1117</v>
      </c>
      <c r="E3096" s="240">
        <v>43531.0</v>
      </c>
      <c r="F3096" s="21" t="str">
        <f t="shared" si="240"/>
        <v>Mar-2019</v>
      </c>
      <c r="G3096" t="s">
        <v>467</v>
      </c>
      <c r="H3096" s="25" t="s">
        <v>35</v>
      </c>
      <c r="I3096" s="25" t="s">
        <v>100</v>
      </c>
      <c r="J3096" s="25" t="s">
        <v>9</v>
      </c>
      <c r="K3096" s="264" t="s">
        <v>9</v>
      </c>
      <c r="L3096" s="25" t="s">
        <v>24</v>
      </c>
      <c r="M3096" s="25"/>
      <c r="N3096" s="25" t="s">
        <v>29</v>
      </c>
      <c r="Q3096" s="99"/>
    </row>
    <row r="3097">
      <c r="A3097" s="140"/>
      <c r="B3097" s="134" t="s">
        <v>34</v>
      </c>
      <c r="C3097" s="134" t="s">
        <v>74</v>
      </c>
      <c r="D3097" s="279" t="s">
        <v>1117</v>
      </c>
      <c r="E3097" s="240">
        <v>43531.0</v>
      </c>
      <c r="F3097" s="21" t="str">
        <f t="shared" si="240"/>
        <v>Mar-2019</v>
      </c>
      <c r="G3097" s="264" t="s">
        <v>480</v>
      </c>
      <c r="H3097" s="25" t="s">
        <v>35</v>
      </c>
      <c r="I3097" s="25" t="s">
        <v>100</v>
      </c>
      <c r="J3097" s="25" t="s">
        <v>9</v>
      </c>
      <c r="K3097" s="264" t="s">
        <v>9</v>
      </c>
      <c r="L3097" s="25" t="s">
        <v>30</v>
      </c>
      <c r="M3097" s="25"/>
      <c r="N3097" s="25" t="s">
        <v>69</v>
      </c>
      <c r="Q3097" s="99"/>
    </row>
    <row r="3098">
      <c r="A3098" s="140"/>
      <c r="B3098" s="134" t="s">
        <v>34</v>
      </c>
      <c r="C3098" s="134" t="s">
        <v>74</v>
      </c>
      <c r="D3098" s="279" t="s">
        <v>1117</v>
      </c>
      <c r="E3098" s="240">
        <v>43531.0</v>
      </c>
      <c r="F3098" s="21" t="str">
        <f t="shared" si="240"/>
        <v>Mar-2019</v>
      </c>
      <c r="G3098" s="101" t="s">
        <v>146</v>
      </c>
      <c r="H3098" s="16" t="s">
        <v>35</v>
      </c>
      <c r="I3098" s="16" t="s">
        <v>364</v>
      </c>
      <c r="J3098" s="16" t="s">
        <v>86</v>
      </c>
      <c r="K3098" s="263" t="s">
        <v>9</v>
      </c>
      <c r="L3098" s="16" t="s">
        <v>24</v>
      </c>
      <c r="M3098" s="16" t="s">
        <v>24</v>
      </c>
      <c r="N3098" s="16" t="s">
        <v>69</v>
      </c>
      <c r="O3098" s="101"/>
      <c r="P3098" s="101"/>
      <c r="Q3098" s="102"/>
    </row>
    <row r="3099">
      <c r="A3099" s="140"/>
      <c r="B3099" s="134" t="s">
        <v>34</v>
      </c>
      <c r="C3099" s="134" t="s">
        <v>74</v>
      </c>
      <c r="D3099" s="279" t="s">
        <v>1117</v>
      </c>
      <c r="E3099" s="240">
        <v>43531.0</v>
      </c>
      <c r="F3099" s="21" t="str">
        <f t="shared" si="240"/>
        <v>Mar-2019</v>
      </c>
      <c r="G3099" s="101" t="s">
        <v>149</v>
      </c>
      <c r="H3099" s="16" t="s">
        <v>35</v>
      </c>
      <c r="I3099" s="16" t="s">
        <v>364</v>
      </c>
      <c r="J3099" s="16" t="s">
        <v>86</v>
      </c>
      <c r="K3099" s="263" t="s">
        <v>9</v>
      </c>
      <c r="L3099" s="16" t="s">
        <v>30</v>
      </c>
      <c r="M3099" s="16"/>
      <c r="N3099" s="16" t="s">
        <v>29</v>
      </c>
      <c r="O3099" s="101"/>
      <c r="P3099" s="101"/>
      <c r="Q3099" s="102"/>
    </row>
    <row r="3100">
      <c r="A3100" s="140"/>
      <c r="B3100" s="134" t="s">
        <v>34</v>
      </c>
      <c r="C3100" s="134" t="s">
        <v>74</v>
      </c>
      <c r="D3100" s="279" t="s">
        <v>1117</v>
      </c>
      <c r="E3100" s="240">
        <v>43531.0</v>
      </c>
      <c r="F3100" s="21" t="str">
        <f t="shared" si="240"/>
        <v>Mar-2019</v>
      </c>
      <c r="G3100" s="101" t="s">
        <v>222</v>
      </c>
      <c r="H3100" s="16" t="s">
        <v>35</v>
      </c>
      <c r="I3100" s="16" t="s">
        <v>364</v>
      </c>
      <c r="J3100" s="16" t="s">
        <v>86</v>
      </c>
      <c r="K3100" s="263" t="s">
        <v>9</v>
      </c>
      <c r="L3100" s="16" t="s">
        <v>24</v>
      </c>
      <c r="M3100" s="16"/>
      <c r="N3100" s="16" t="s">
        <v>98</v>
      </c>
      <c r="O3100" s="101"/>
      <c r="P3100" s="101"/>
      <c r="Q3100" s="102"/>
    </row>
    <row r="3101">
      <c r="A3101" s="141"/>
      <c r="B3101" s="134" t="s">
        <v>34</v>
      </c>
      <c r="C3101" s="134" t="s">
        <v>74</v>
      </c>
      <c r="D3101" s="280" t="s">
        <v>1117</v>
      </c>
      <c r="E3101" s="241">
        <v>43531.0</v>
      </c>
      <c r="F3101" s="51" t="str">
        <f t="shared" si="240"/>
        <v>Mar-2019</v>
      </c>
      <c r="G3101" s="105" t="s">
        <v>467</v>
      </c>
      <c r="H3101" s="38" t="s">
        <v>35</v>
      </c>
      <c r="I3101" s="38" t="s">
        <v>364</v>
      </c>
      <c r="J3101" s="38" t="s">
        <v>86</v>
      </c>
      <c r="K3101" s="265" t="s">
        <v>9</v>
      </c>
      <c r="L3101" s="38" t="s">
        <v>24</v>
      </c>
      <c r="M3101" s="38"/>
      <c r="N3101" s="38" t="s">
        <v>99</v>
      </c>
      <c r="O3101" s="105"/>
      <c r="P3101" s="105"/>
      <c r="Q3101" s="106"/>
    </row>
    <row r="3102">
      <c r="A3102" s="94"/>
    </row>
    <row r="3103">
      <c r="A3103" s="133" t="s">
        <v>1120</v>
      </c>
      <c r="B3103" s="134" t="s">
        <v>18</v>
      </c>
      <c r="C3103" s="134" t="s">
        <v>74</v>
      </c>
      <c r="D3103" s="278" t="s">
        <v>1120</v>
      </c>
      <c r="E3103" s="239">
        <v>43539.0</v>
      </c>
      <c r="F3103" s="70" t="str">
        <f t="shared" ref="F3103:F3112" si="241">TEXT(E3095:E3103, "mmm") &amp; "-" &amp; TEXT(E3095:E3103, "yyyy") </f>
        <v>Mar-2019</v>
      </c>
      <c r="G3103" s="165" t="s">
        <v>20</v>
      </c>
      <c r="H3103" s="73" t="s">
        <v>35</v>
      </c>
      <c r="I3103" s="73" t="s">
        <v>1121</v>
      </c>
      <c r="J3103" s="73" t="s">
        <v>27</v>
      </c>
      <c r="K3103" s="269" t="s">
        <v>9</v>
      </c>
      <c r="L3103" s="73" t="s">
        <v>30</v>
      </c>
      <c r="M3103" s="73" t="s">
        <v>30</v>
      </c>
      <c r="N3103" s="73" t="s">
        <v>98</v>
      </c>
      <c r="O3103" s="165"/>
      <c r="P3103" s="165"/>
      <c r="Q3103" s="166"/>
    </row>
    <row r="3104">
      <c r="A3104" s="134" t="s">
        <v>18</v>
      </c>
      <c r="B3104" s="134" t="s">
        <v>18</v>
      </c>
      <c r="C3104" s="134" t="s">
        <v>74</v>
      </c>
      <c r="D3104" s="279" t="s">
        <v>1120</v>
      </c>
      <c r="E3104" s="240">
        <v>43539.0</v>
      </c>
      <c r="F3104" s="21" t="str">
        <f t="shared" si="241"/>
        <v>Mar-2019</v>
      </c>
      <c r="G3104" t="s">
        <v>25</v>
      </c>
      <c r="H3104" s="25" t="s">
        <v>35</v>
      </c>
      <c r="I3104" s="25" t="s">
        <v>1121</v>
      </c>
      <c r="J3104" s="25" t="s">
        <v>27</v>
      </c>
      <c r="K3104" s="264" t="s">
        <v>9</v>
      </c>
      <c r="L3104" s="25" t="s">
        <v>30</v>
      </c>
      <c r="M3104" s="25"/>
      <c r="N3104" s="25" t="s">
        <v>29</v>
      </c>
      <c r="Q3104" s="99"/>
    </row>
    <row r="3105">
      <c r="A3105" s="134" t="s">
        <v>1106</v>
      </c>
      <c r="B3105" s="134" t="s">
        <v>18</v>
      </c>
      <c r="C3105" s="134" t="s">
        <v>74</v>
      </c>
      <c r="D3105" s="279" t="s">
        <v>1120</v>
      </c>
      <c r="E3105" s="240">
        <v>43539.0</v>
      </c>
      <c r="F3105" s="21" t="str">
        <f t="shared" si="241"/>
        <v>Mar-2019</v>
      </c>
      <c r="G3105" s="101" t="s">
        <v>20</v>
      </c>
      <c r="H3105" s="16" t="s">
        <v>35</v>
      </c>
      <c r="I3105" s="16" t="s">
        <v>407</v>
      </c>
      <c r="J3105" s="16" t="s">
        <v>44</v>
      </c>
      <c r="K3105" s="263" t="s">
        <v>9</v>
      </c>
      <c r="L3105" s="16" t="s">
        <v>30</v>
      </c>
      <c r="M3105" s="16" t="s">
        <v>30</v>
      </c>
      <c r="N3105" s="16" t="s">
        <v>69</v>
      </c>
      <c r="O3105" s="101"/>
      <c r="P3105" s="101"/>
      <c r="Q3105" s="102"/>
    </row>
    <row r="3106">
      <c r="A3106" s="168">
        <v>43539.0</v>
      </c>
      <c r="B3106" s="134" t="s">
        <v>18</v>
      </c>
      <c r="C3106" s="134" t="s">
        <v>74</v>
      </c>
      <c r="D3106" s="279" t="s">
        <v>1120</v>
      </c>
      <c r="E3106" s="240">
        <v>43539.0</v>
      </c>
      <c r="F3106" s="21" t="str">
        <f t="shared" si="241"/>
        <v>Mar-2019</v>
      </c>
      <c r="G3106" s="101" t="s">
        <v>25</v>
      </c>
      <c r="H3106" s="16" t="s">
        <v>35</v>
      </c>
      <c r="I3106" s="16" t="s">
        <v>407</v>
      </c>
      <c r="J3106" s="16" t="s">
        <v>44</v>
      </c>
      <c r="K3106" s="263" t="s">
        <v>9</v>
      </c>
      <c r="L3106" s="16" t="s">
        <v>24</v>
      </c>
      <c r="M3106" s="16"/>
      <c r="N3106" s="16" t="s">
        <v>69</v>
      </c>
      <c r="O3106" s="101"/>
      <c r="P3106" s="101"/>
      <c r="Q3106" s="102"/>
    </row>
    <row r="3107">
      <c r="A3107" s="134" t="s">
        <v>74</v>
      </c>
      <c r="B3107" s="134" t="s">
        <v>18</v>
      </c>
      <c r="C3107" s="134" t="s">
        <v>74</v>
      </c>
      <c r="D3107" s="279" t="s">
        <v>1120</v>
      </c>
      <c r="E3107" s="240">
        <v>43539.0</v>
      </c>
      <c r="F3107" s="21" t="str">
        <f t="shared" si="241"/>
        <v>Mar-2019</v>
      </c>
      <c r="G3107" s="101" t="s">
        <v>32</v>
      </c>
      <c r="H3107" s="16" t="s">
        <v>35</v>
      </c>
      <c r="I3107" s="16" t="s">
        <v>407</v>
      </c>
      <c r="J3107" s="16" t="s">
        <v>44</v>
      </c>
      <c r="K3107" s="263" t="s">
        <v>9</v>
      </c>
      <c r="L3107" s="16" t="s">
        <v>30</v>
      </c>
      <c r="M3107" s="16"/>
      <c r="N3107" s="16" t="s">
        <v>106</v>
      </c>
      <c r="O3107" s="101"/>
      <c r="P3107" s="101"/>
      <c r="Q3107" s="102"/>
    </row>
    <row r="3108">
      <c r="A3108" s="176" t="s">
        <v>1122</v>
      </c>
      <c r="B3108" s="134" t="s">
        <v>18</v>
      </c>
      <c r="C3108" s="134" t="s">
        <v>74</v>
      </c>
      <c r="D3108" s="279" t="s">
        <v>1120</v>
      </c>
      <c r="E3108" s="240">
        <v>43539.0</v>
      </c>
      <c r="F3108" s="21" t="str">
        <f t="shared" si="241"/>
        <v>Mar-2019</v>
      </c>
      <c r="G3108" s="32" t="s">
        <v>20</v>
      </c>
      <c r="H3108" s="25" t="s">
        <v>35</v>
      </c>
      <c r="I3108" s="25" t="s">
        <v>607</v>
      </c>
      <c r="J3108" s="25" t="s">
        <v>44</v>
      </c>
      <c r="K3108" s="264" t="s">
        <v>9</v>
      </c>
      <c r="L3108" s="25" t="s">
        <v>24</v>
      </c>
      <c r="M3108" s="25" t="s">
        <v>24</v>
      </c>
      <c r="N3108" s="25" t="s">
        <v>98</v>
      </c>
      <c r="Q3108" s="99"/>
    </row>
    <row r="3109">
      <c r="A3109" s="140"/>
      <c r="B3109" s="134" t="s">
        <v>18</v>
      </c>
      <c r="C3109" s="134" t="s">
        <v>74</v>
      </c>
      <c r="D3109" s="279" t="s">
        <v>1120</v>
      </c>
      <c r="E3109" s="240">
        <v>43539.0</v>
      </c>
      <c r="F3109" s="21" t="str">
        <f t="shared" si="241"/>
        <v>Mar-2019</v>
      </c>
      <c r="G3109" s="32" t="s">
        <v>25</v>
      </c>
      <c r="H3109" s="25" t="s">
        <v>35</v>
      </c>
      <c r="I3109" s="25" t="s">
        <v>607</v>
      </c>
      <c r="J3109" s="25" t="s">
        <v>44</v>
      </c>
      <c r="K3109" s="264" t="s">
        <v>9</v>
      </c>
      <c r="L3109" s="25" t="s">
        <v>24</v>
      </c>
      <c r="M3109" s="25"/>
      <c r="N3109" s="25" t="s">
        <v>69</v>
      </c>
      <c r="Q3109" s="99"/>
    </row>
    <row r="3110">
      <c r="A3110" s="140"/>
      <c r="B3110" s="134" t="s">
        <v>18</v>
      </c>
      <c r="C3110" s="134" t="s">
        <v>74</v>
      </c>
      <c r="D3110" s="279" t="s">
        <v>1120</v>
      </c>
      <c r="E3110" s="240">
        <v>43539.0</v>
      </c>
      <c r="F3110" s="21" t="str">
        <f t="shared" si="241"/>
        <v>Mar-2019</v>
      </c>
      <c r="G3110" s="19" t="s">
        <v>20</v>
      </c>
      <c r="H3110" s="16" t="s">
        <v>35</v>
      </c>
      <c r="I3110" s="16" t="s">
        <v>633</v>
      </c>
      <c r="J3110" s="16" t="s">
        <v>27</v>
      </c>
      <c r="K3110" s="263" t="s">
        <v>9</v>
      </c>
      <c r="L3110" s="16" t="s">
        <v>24</v>
      </c>
      <c r="M3110" s="16" t="s">
        <v>24</v>
      </c>
      <c r="N3110" s="16" t="s">
        <v>29</v>
      </c>
      <c r="O3110" s="101"/>
      <c r="P3110" s="101"/>
      <c r="Q3110" s="102"/>
    </row>
    <row r="3111">
      <c r="A3111" s="140"/>
      <c r="B3111" s="134" t="s">
        <v>18</v>
      </c>
      <c r="C3111" s="134" t="s">
        <v>74</v>
      </c>
      <c r="D3111" s="279" t="s">
        <v>1120</v>
      </c>
      <c r="E3111" s="240">
        <v>43539.0</v>
      </c>
      <c r="F3111" s="21" t="str">
        <f t="shared" si="241"/>
        <v>Mar-2019</v>
      </c>
      <c r="G3111" s="19" t="s">
        <v>25</v>
      </c>
      <c r="H3111" s="16" t="s">
        <v>35</v>
      </c>
      <c r="I3111" s="16" t="s">
        <v>633</v>
      </c>
      <c r="J3111" s="16" t="s">
        <v>27</v>
      </c>
      <c r="K3111" s="263" t="s">
        <v>9</v>
      </c>
      <c r="L3111" s="16" t="s">
        <v>30</v>
      </c>
      <c r="M3111" s="16"/>
      <c r="N3111" s="16" t="s">
        <v>106</v>
      </c>
      <c r="O3111" s="101"/>
      <c r="P3111" s="101"/>
      <c r="Q3111" s="102"/>
    </row>
    <row r="3112">
      <c r="A3112" s="141"/>
      <c r="B3112" s="134" t="s">
        <v>18</v>
      </c>
      <c r="C3112" s="134" t="s">
        <v>74</v>
      </c>
      <c r="D3112" s="280" t="s">
        <v>1120</v>
      </c>
      <c r="E3112" s="241">
        <v>43539.0</v>
      </c>
      <c r="F3112" s="51" t="str">
        <f t="shared" si="241"/>
        <v>Mar-2019</v>
      </c>
      <c r="G3112" s="39" t="s">
        <v>32</v>
      </c>
      <c r="H3112" s="38" t="s">
        <v>35</v>
      </c>
      <c r="I3112" s="38" t="s">
        <v>633</v>
      </c>
      <c r="J3112" s="38" t="s">
        <v>27</v>
      </c>
      <c r="K3112" s="265" t="s">
        <v>9</v>
      </c>
      <c r="L3112" s="38" t="s">
        <v>24</v>
      </c>
      <c r="M3112" s="38"/>
      <c r="N3112" s="38" t="s">
        <v>69</v>
      </c>
      <c r="O3112" s="105"/>
      <c r="P3112" s="105"/>
      <c r="Q3112" s="106"/>
    </row>
    <row r="3113">
      <c r="A3113" s="94"/>
    </row>
    <row r="3114">
      <c r="A3114" s="279" t="s">
        <v>1123</v>
      </c>
      <c r="B3114" s="171" t="s">
        <v>18</v>
      </c>
      <c r="C3114" s="171" t="s">
        <v>74</v>
      </c>
      <c r="D3114" s="279" t="s">
        <v>1123</v>
      </c>
      <c r="E3114" s="240">
        <v>43553.0</v>
      </c>
      <c r="F3114" s="21" t="str">
        <f t="shared" ref="F3114:F3130" si="242">TEXT(E3106:E3114, "mmm") &amp; "-" &amp; TEXT(E3106:E3114, "yyyy") </f>
        <v>Mar-2019</v>
      </c>
      <c r="G3114" s="32" t="s">
        <v>20</v>
      </c>
      <c r="H3114" s="25" t="s">
        <v>35</v>
      </c>
      <c r="I3114" s="25" t="s">
        <v>1124</v>
      </c>
      <c r="J3114" s="25" t="s">
        <v>9</v>
      </c>
      <c r="K3114" s="25" t="s">
        <v>9</v>
      </c>
      <c r="L3114" s="25" t="s">
        <v>30</v>
      </c>
      <c r="M3114" s="25" t="s">
        <v>30</v>
      </c>
      <c r="N3114" s="25" t="s">
        <v>98</v>
      </c>
    </row>
    <row r="3115">
      <c r="A3115" s="171" t="s">
        <v>18</v>
      </c>
      <c r="B3115" s="171" t="s">
        <v>18</v>
      </c>
      <c r="C3115" s="171" t="s">
        <v>74</v>
      </c>
      <c r="D3115" s="279" t="s">
        <v>1123</v>
      </c>
      <c r="E3115" s="240">
        <v>43553.0</v>
      </c>
      <c r="F3115" s="21" t="str">
        <f t="shared" si="242"/>
        <v>Mar-2019</v>
      </c>
      <c r="G3115" s="32" t="s">
        <v>25</v>
      </c>
      <c r="H3115" s="25" t="s">
        <v>35</v>
      </c>
      <c r="I3115" s="25" t="s">
        <v>1124</v>
      </c>
      <c r="J3115" s="25" t="s">
        <v>9</v>
      </c>
      <c r="K3115" s="25" t="s">
        <v>9</v>
      </c>
      <c r="L3115" s="25" t="s">
        <v>719</v>
      </c>
      <c r="M3115" s="25"/>
      <c r="N3115" s="25" t="s">
        <v>1125</v>
      </c>
    </row>
    <row r="3116">
      <c r="A3116" s="171" t="s">
        <v>1106</v>
      </c>
      <c r="B3116" s="171" t="s">
        <v>18</v>
      </c>
      <c r="C3116" s="171" t="s">
        <v>74</v>
      </c>
      <c r="D3116" s="279" t="s">
        <v>1123</v>
      </c>
      <c r="E3116" s="240">
        <v>43553.0</v>
      </c>
      <c r="F3116" s="21" t="str">
        <f t="shared" si="242"/>
        <v>Mar-2019</v>
      </c>
      <c r="G3116" s="32" t="s">
        <v>20</v>
      </c>
      <c r="H3116" s="25" t="s">
        <v>35</v>
      </c>
      <c r="I3116" s="25" t="s">
        <v>989</v>
      </c>
      <c r="J3116" s="25" t="s">
        <v>27</v>
      </c>
      <c r="K3116" s="25" t="s">
        <v>9</v>
      </c>
      <c r="L3116" s="25" t="s">
        <v>30</v>
      </c>
      <c r="M3116" s="25" t="s">
        <v>30</v>
      </c>
      <c r="N3116" s="25" t="s">
        <v>37</v>
      </c>
    </row>
    <row r="3117">
      <c r="A3117" s="240">
        <v>43553.0</v>
      </c>
      <c r="B3117" s="171" t="s">
        <v>18</v>
      </c>
      <c r="C3117" s="171" t="s">
        <v>74</v>
      </c>
      <c r="D3117" s="279" t="s">
        <v>1123</v>
      </c>
      <c r="E3117" s="240">
        <v>43553.0</v>
      </c>
      <c r="F3117" s="21" t="str">
        <f t="shared" si="242"/>
        <v>Mar-2019</v>
      </c>
      <c r="G3117" s="32" t="s">
        <v>25</v>
      </c>
      <c r="H3117" s="25" t="s">
        <v>35</v>
      </c>
      <c r="I3117" s="25" t="s">
        <v>989</v>
      </c>
      <c r="J3117" s="25" t="s">
        <v>27</v>
      </c>
      <c r="K3117" s="25" t="s">
        <v>9</v>
      </c>
      <c r="L3117" s="25" t="s">
        <v>24</v>
      </c>
      <c r="M3117" s="25"/>
      <c r="N3117" s="25" t="s">
        <v>98</v>
      </c>
    </row>
    <row r="3118">
      <c r="A3118" s="171" t="s">
        <v>74</v>
      </c>
      <c r="B3118" s="171" t="s">
        <v>18</v>
      </c>
      <c r="C3118" s="171" t="s">
        <v>74</v>
      </c>
      <c r="D3118" s="279" t="s">
        <v>1123</v>
      </c>
      <c r="E3118" s="240">
        <v>43553.0</v>
      </c>
      <c r="F3118" s="21" t="str">
        <f t="shared" si="242"/>
        <v>Mar-2019</v>
      </c>
      <c r="G3118" s="32" t="s">
        <v>32</v>
      </c>
      <c r="H3118" s="25" t="s">
        <v>35</v>
      </c>
      <c r="I3118" s="25" t="s">
        <v>989</v>
      </c>
      <c r="J3118" s="25" t="s">
        <v>27</v>
      </c>
      <c r="K3118" s="25" t="s">
        <v>9</v>
      </c>
      <c r="L3118" s="25" t="s">
        <v>30</v>
      </c>
      <c r="M3118" s="25"/>
      <c r="N3118" s="25" t="s">
        <v>106</v>
      </c>
    </row>
    <row r="3119">
      <c r="A3119" s="301" t="s">
        <v>1126</v>
      </c>
      <c r="B3119" s="171" t="s">
        <v>18</v>
      </c>
      <c r="C3119" s="171" t="s">
        <v>74</v>
      </c>
      <c r="D3119" s="279" t="s">
        <v>1123</v>
      </c>
      <c r="E3119" s="240">
        <v>43553.0</v>
      </c>
      <c r="F3119" s="21" t="str">
        <f t="shared" si="242"/>
        <v>Mar-2019</v>
      </c>
      <c r="G3119" t="s">
        <v>146</v>
      </c>
      <c r="H3119" s="25" t="s">
        <v>35</v>
      </c>
      <c r="I3119" s="25" t="s">
        <v>394</v>
      </c>
      <c r="J3119" s="25" t="s">
        <v>27</v>
      </c>
      <c r="K3119" s="25" t="s">
        <v>9</v>
      </c>
      <c r="L3119" s="25" t="s">
        <v>24</v>
      </c>
      <c r="M3119" s="25" t="s">
        <v>30</v>
      </c>
      <c r="N3119" s="25" t="s">
        <v>37</v>
      </c>
    </row>
    <row r="3120">
      <c r="A3120" s="172"/>
      <c r="B3120" s="171" t="s">
        <v>18</v>
      </c>
      <c r="C3120" s="171" t="s">
        <v>74</v>
      </c>
      <c r="D3120" s="279" t="s">
        <v>1123</v>
      </c>
      <c r="E3120" s="240">
        <v>43553.0</v>
      </c>
      <c r="F3120" s="21" t="str">
        <f t="shared" si="242"/>
        <v>Mar-2019</v>
      </c>
      <c r="G3120" t="s">
        <v>149</v>
      </c>
      <c r="H3120" s="25" t="s">
        <v>35</v>
      </c>
      <c r="I3120" s="25" t="s">
        <v>394</v>
      </c>
      <c r="J3120" s="25" t="s">
        <v>27</v>
      </c>
      <c r="K3120" s="25" t="s">
        <v>9</v>
      </c>
      <c r="L3120" s="25" t="s">
        <v>30</v>
      </c>
      <c r="M3120" s="25"/>
      <c r="N3120" s="25" t="s">
        <v>106</v>
      </c>
    </row>
    <row r="3121">
      <c r="A3121" s="172"/>
      <c r="B3121" s="171" t="s">
        <v>18</v>
      </c>
      <c r="C3121" s="171" t="s">
        <v>74</v>
      </c>
      <c r="D3121" s="279" t="s">
        <v>1123</v>
      </c>
      <c r="E3121" s="240">
        <v>43553.0</v>
      </c>
      <c r="F3121" s="21" t="str">
        <f t="shared" si="242"/>
        <v>Mar-2019</v>
      </c>
      <c r="G3121" t="s">
        <v>222</v>
      </c>
      <c r="H3121" s="25" t="s">
        <v>35</v>
      </c>
      <c r="I3121" s="25" t="s">
        <v>394</v>
      </c>
      <c r="J3121" s="25" t="s">
        <v>27</v>
      </c>
      <c r="K3121" s="25" t="s">
        <v>9</v>
      </c>
      <c r="L3121" s="25" t="s">
        <v>30</v>
      </c>
      <c r="M3121" s="25"/>
      <c r="N3121" s="25" t="s">
        <v>69</v>
      </c>
    </row>
    <row r="3122">
      <c r="A3122" s="172"/>
      <c r="B3122" s="171" t="s">
        <v>18</v>
      </c>
      <c r="C3122" s="171" t="s">
        <v>74</v>
      </c>
      <c r="D3122" s="279" t="s">
        <v>1123</v>
      </c>
      <c r="E3122" s="240">
        <v>43553.0</v>
      </c>
      <c r="F3122" s="21" t="str">
        <f t="shared" si="242"/>
        <v>Mar-2019</v>
      </c>
      <c r="G3122" t="s">
        <v>467</v>
      </c>
      <c r="H3122" s="25" t="s">
        <v>35</v>
      </c>
      <c r="I3122" s="25" t="s">
        <v>394</v>
      </c>
      <c r="J3122" s="25" t="s">
        <v>27</v>
      </c>
      <c r="K3122" s="25" t="s">
        <v>9</v>
      </c>
      <c r="L3122" s="25" t="s">
        <v>30</v>
      </c>
      <c r="M3122" s="25"/>
      <c r="N3122" s="25" t="s">
        <v>29</v>
      </c>
    </row>
    <row r="3123">
      <c r="A3123" s="172"/>
      <c r="B3123" s="171" t="s">
        <v>18</v>
      </c>
      <c r="C3123" s="171" t="s">
        <v>74</v>
      </c>
      <c r="D3123" s="279" t="s">
        <v>1123</v>
      </c>
      <c r="E3123" s="240">
        <v>43553.0</v>
      </c>
      <c r="F3123" s="21" t="str">
        <f t="shared" si="242"/>
        <v>Mar-2019</v>
      </c>
      <c r="G3123" t="s">
        <v>146</v>
      </c>
      <c r="H3123" s="25" t="s">
        <v>35</v>
      </c>
      <c r="I3123" s="25" t="s">
        <v>393</v>
      </c>
      <c r="J3123" s="25" t="s">
        <v>102</v>
      </c>
      <c r="K3123" s="25" t="s">
        <v>9</v>
      </c>
      <c r="L3123" s="25" t="s">
        <v>30</v>
      </c>
      <c r="M3123" s="25" t="s">
        <v>24</v>
      </c>
      <c r="N3123" s="25" t="s">
        <v>99</v>
      </c>
    </row>
    <row r="3124">
      <c r="A3124" s="172"/>
      <c r="B3124" s="171" t="s">
        <v>18</v>
      </c>
      <c r="C3124" s="171" t="s">
        <v>74</v>
      </c>
      <c r="D3124" s="279" t="s">
        <v>1123</v>
      </c>
      <c r="E3124" s="240">
        <v>43553.0</v>
      </c>
      <c r="F3124" s="21" t="str">
        <f t="shared" si="242"/>
        <v>Mar-2019</v>
      </c>
      <c r="G3124" t="s">
        <v>149</v>
      </c>
      <c r="H3124" s="25" t="s">
        <v>35</v>
      </c>
      <c r="I3124" s="25" t="s">
        <v>393</v>
      </c>
      <c r="J3124" s="25" t="s">
        <v>102</v>
      </c>
      <c r="K3124" s="25" t="s">
        <v>9</v>
      </c>
      <c r="L3124" s="25" t="s">
        <v>24</v>
      </c>
      <c r="M3124" s="25"/>
      <c r="N3124" s="25" t="s">
        <v>29</v>
      </c>
    </row>
    <row r="3125">
      <c r="A3125" s="172"/>
      <c r="B3125" s="171" t="s">
        <v>18</v>
      </c>
      <c r="C3125" s="171" t="s">
        <v>74</v>
      </c>
      <c r="D3125" s="279" t="s">
        <v>1123</v>
      </c>
      <c r="E3125" s="240">
        <v>43553.0</v>
      </c>
      <c r="F3125" s="21" t="str">
        <f t="shared" si="242"/>
        <v>Mar-2019</v>
      </c>
      <c r="G3125" t="s">
        <v>222</v>
      </c>
      <c r="H3125" s="25" t="s">
        <v>35</v>
      </c>
      <c r="I3125" s="25" t="s">
        <v>393</v>
      </c>
      <c r="J3125" s="25" t="s">
        <v>102</v>
      </c>
      <c r="K3125" s="25" t="s">
        <v>9</v>
      </c>
      <c r="L3125" s="25" t="s">
        <v>24</v>
      </c>
      <c r="M3125" s="25"/>
      <c r="N3125" s="25" t="s">
        <v>69</v>
      </c>
    </row>
    <row r="3126">
      <c r="A3126" s="172"/>
      <c r="B3126" s="171" t="s">
        <v>18</v>
      </c>
      <c r="C3126" s="171" t="s">
        <v>74</v>
      </c>
      <c r="D3126" s="279" t="s">
        <v>1123</v>
      </c>
      <c r="E3126" s="240">
        <v>43553.0</v>
      </c>
      <c r="F3126" s="21" t="str">
        <f t="shared" si="242"/>
        <v>Mar-2019</v>
      </c>
      <c r="G3126" t="s">
        <v>467</v>
      </c>
      <c r="H3126" s="25" t="s">
        <v>35</v>
      </c>
      <c r="I3126" s="25" t="s">
        <v>393</v>
      </c>
      <c r="J3126" s="25" t="s">
        <v>102</v>
      </c>
      <c r="K3126" s="25" t="s">
        <v>9</v>
      </c>
      <c r="L3126" s="25" t="s">
        <v>24</v>
      </c>
      <c r="M3126" s="25"/>
      <c r="N3126" s="25" t="s">
        <v>106</v>
      </c>
    </row>
    <row r="3127">
      <c r="A3127" s="172"/>
      <c r="B3127" s="171" t="s">
        <v>18</v>
      </c>
      <c r="C3127" s="171" t="s">
        <v>74</v>
      </c>
      <c r="D3127" s="279" t="s">
        <v>1123</v>
      </c>
      <c r="E3127" s="240">
        <v>43553.0</v>
      </c>
      <c r="F3127" s="21" t="str">
        <f t="shared" si="242"/>
        <v>Mar-2019</v>
      </c>
      <c r="G3127" t="s">
        <v>146</v>
      </c>
      <c r="H3127" s="25" t="s">
        <v>35</v>
      </c>
      <c r="I3127" s="25" t="s">
        <v>989</v>
      </c>
      <c r="J3127" s="25" t="s">
        <v>86</v>
      </c>
      <c r="K3127" s="25" t="s">
        <v>9</v>
      </c>
      <c r="L3127" s="25" t="s">
        <v>24</v>
      </c>
      <c r="M3127" s="25" t="s">
        <v>24</v>
      </c>
      <c r="N3127" s="25" t="s">
        <v>29</v>
      </c>
    </row>
    <row r="3128">
      <c r="A3128" s="172"/>
      <c r="B3128" s="171" t="s">
        <v>18</v>
      </c>
      <c r="C3128" s="171" t="s">
        <v>74</v>
      </c>
      <c r="D3128" s="279" t="s">
        <v>1123</v>
      </c>
      <c r="E3128" s="240">
        <v>43553.0</v>
      </c>
      <c r="F3128" s="21" t="str">
        <f t="shared" si="242"/>
        <v>Mar-2019</v>
      </c>
      <c r="G3128" t="s">
        <v>149</v>
      </c>
      <c r="H3128" s="25" t="s">
        <v>35</v>
      </c>
      <c r="I3128" s="25" t="s">
        <v>989</v>
      </c>
      <c r="J3128" s="25" t="s">
        <v>27</v>
      </c>
      <c r="K3128" s="25" t="s">
        <v>9</v>
      </c>
      <c r="L3128" s="25" t="s">
        <v>30</v>
      </c>
      <c r="M3128" s="25"/>
      <c r="N3128" s="25" t="s">
        <v>99</v>
      </c>
    </row>
    <row r="3129">
      <c r="A3129" s="172"/>
      <c r="B3129" s="171" t="s">
        <v>18</v>
      </c>
      <c r="C3129" s="171" t="s">
        <v>74</v>
      </c>
      <c r="D3129" s="279" t="s">
        <v>1123</v>
      </c>
      <c r="E3129" s="240">
        <v>43553.0</v>
      </c>
      <c r="F3129" s="21" t="str">
        <f t="shared" si="242"/>
        <v>Mar-2019</v>
      </c>
      <c r="G3129" t="s">
        <v>222</v>
      </c>
      <c r="H3129" s="25" t="s">
        <v>35</v>
      </c>
      <c r="I3129" s="25" t="s">
        <v>989</v>
      </c>
      <c r="J3129" s="25" t="s">
        <v>86</v>
      </c>
      <c r="K3129" s="25" t="s">
        <v>9</v>
      </c>
      <c r="L3129" s="25" t="s">
        <v>24</v>
      </c>
      <c r="M3129" s="25"/>
      <c r="N3129" s="25" t="s">
        <v>37</v>
      </c>
    </row>
    <row r="3130">
      <c r="A3130" s="172"/>
      <c r="B3130" s="171" t="s">
        <v>18</v>
      </c>
      <c r="C3130" s="171" t="s">
        <v>74</v>
      </c>
      <c r="D3130" s="279" t="s">
        <v>1123</v>
      </c>
      <c r="E3130" s="240">
        <v>43553.0</v>
      </c>
      <c r="F3130" s="21" t="str">
        <f t="shared" si="242"/>
        <v>Mar-2019</v>
      </c>
      <c r="G3130" t="s">
        <v>467</v>
      </c>
      <c r="H3130" s="25" t="s">
        <v>35</v>
      </c>
      <c r="I3130" s="25" t="s">
        <v>989</v>
      </c>
      <c r="J3130" s="25" t="s">
        <v>86</v>
      </c>
      <c r="K3130" s="25" t="s">
        <v>9</v>
      </c>
      <c r="L3130" s="25" t="s">
        <v>24</v>
      </c>
      <c r="M3130" s="25"/>
      <c r="N3130" s="25" t="s">
        <v>69</v>
      </c>
    </row>
    <row r="3131">
      <c r="A3131" s="94"/>
    </row>
    <row r="3132">
      <c r="A3132" s="279" t="s">
        <v>1127</v>
      </c>
      <c r="B3132" s="171" t="s">
        <v>18</v>
      </c>
      <c r="C3132" s="171" t="s">
        <v>427</v>
      </c>
      <c r="D3132" s="279" t="s">
        <v>1127</v>
      </c>
      <c r="E3132" s="240">
        <v>43558.0</v>
      </c>
      <c r="F3132" s="21" t="str">
        <f t="shared" ref="F3132:F3141" si="243">TEXT(E3124:E3132, "mmm") &amp; "-" &amp; TEXT(E3124:E3132, "yyyy") </f>
        <v>Apr-2019</v>
      </c>
      <c r="G3132" s="32" t="s">
        <v>20</v>
      </c>
      <c r="H3132" s="25" t="s">
        <v>35</v>
      </c>
      <c r="I3132" s="25" t="s">
        <v>1128</v>
      </c>
      <c r="J3132" s="25" t="s">
        <v>97</v>
      </c>
      <c r="K3132" s="25" t="s">
        <v>9</v>
      </c>
      <c r="L3132" s="25" t="s">
        <v>30</v>
      </c>
      <c r="M3132" s="25" t="s">
        <v>30</v>
      </c>
      <c r="N3132" s="25" t="s">
        <v>69</v>
      </c>
    </row>
    <row r="3133">
      <c r="A3133" s="171" t="s">
        <v>18</v>
      </c>
      <c r="B3133" s="171" t="s">
        <v>18</v>
      </c>
      <c r="C3133" s="171" t="s">
        <v>427</v>
      </c>
      <c r="D3133" s="279" t="s">
        <v>1127</v>
      </c>
      <c r="E3133" s="240">
        <v>43558.0</v>
      </c>
      <c r="F3133" s="21" t="str">
        <f t="shared" si="243"/>
        <v>Apr-2019</v>
      </c>
      <c r="G3133" s="32" t="s">
        <v>25</v>
      </c>
      <c r="H3133" s="25" t="s">
        <v>35</v>
      </c>
      <c r="I3133" s="25" t="s">
        <v>1128</v>
      </c>
      <c r="J3133" s="25" t="s">
        <v>97</v>
      </c>
      <c r="K3133" s="25" t="s">
        <v>9</v>
      </c>
      <c r="L3133" s="25" t="s">
        <v>30</v>
      </c>
      <c r="M3133" s="25"/>
      <c r="N3133" s="25" t="s">
        <v>99</v>
      </c>
    </row>
    <row r="3134">
      <c r="A3134" s="171" t="s">
        <v>428</v>
      </c>
      <c r="B3134" s="171" t="s">
        <v>18</v>
      </c>
      <c r="C3134" s="171" t="s">
        <v>427</v>
      </c>
      <c r="D3134" s="279" t="s">
        <v>1127</v>
      </c>
      <c r="E3134" s="240">
        <v>43558.0</v>
      </c>
      <c r="F3134" s="21" t="str">
        <f t="shared" si="243"/>
        <v>Apr-2019</v>
      </c>
      <c r="G3134" s="32" t="s">
        <v>20</v>
      </c>
      <c r="H3134" s="25" t="s">
        <v>35</v>
      </c>
      <c r="I3134" s="25" t="s">
        <v>424</v>
      </c>
      <c r="J3134" s="25" t="s">
        <v>9</v>
      </c>
      <c r="K3134" s="25" t="s">
        <v>9</v>
      </c>
      <c r="L3134" s="25" t="s">
        <v>24</v>
      </c>
      <c r="M3134" s="25" t="s">
        <v>24</v>
      </c>
      <c r="N3134" s="25" t="s">
        <v>98</v>
      </c>
    </row>
    <row r="3135">
      <c r="A3135" s="240">
        <v>43558.0</v>
      </c>
      <c r="B3135" s="171" t="s">
        <v>18</v>
      </c>
      <c r="C3135" s="171" t="s">
        <v>427</v>
      </c>
      <c r="D3135" s="279" t="s">
        <v>1127</v>
      </c>
      <c r="E3135" s="240">
        <v>43558.0</v>
      </c>
      <c r="F3135" s="21" t="str">
        <f t="shared" si="243"/>
        <v>Apr-2019</v>
      </c>
      <c r="G3135" s="32" t="s">
        <v>25</v>
      </c>
      <c r="H3135" s="25" t="s">
        <v>35</v>
      </c>
      <c r="I3135" s="25" t="s">
        <v>424</v>
      </c>
      <c r="J3135" s="25" t="s">
        <v>9</v>
      </c>
      <c r="K3135" s="25" t="s">
        <v>9</v>
      </c>
      <c r="L3135" s="25" t="s">
        <v>30</v>
      </c>
      <c r="M3135" s="25"/>
      <c r="N3135" s="25" t="s">
        <v>69</v>
      </c>
    </row>
    <row r="3136">
      <c r="A3136" s="171" t="s">
        <v>427</v>
      </c>
      <c r="B3136" s="171" t="s">
        <v>18</v>
      </c>
      <c r="C3136" s="171" t="s">
        <v>427</v>
      </c>
      <c r="D3136" s="279" t="s">
        <v>1127</v>
      </c>
      <c r="E3136" s="240">
        <v>43558.0</v>
      </c>
      <c r="F3136" s="21" t="str">
        <f t="shared" si="243"/>
        <v>Apr-2019</v>
      </c>
      <c r="G3136" s="32" t="s">
        <v>32</v>
      </c>
      <c r="H3136" s="25" t="s">
        <v>35</v>
      </c>
      <c r="I3136" s="25" t="s">
        <v>424</v>
      </c>
      <c r="J3136" s="25" t="s">
        <v>9</v>
      </c>
      <c r="K3136" s="25" t="s">
        <v>9</v>
      </c>
      <c r="L3136" s="25" t="s">
        <v>24</v>
      </c>
      <c r="M3136" s="25"/>
      <c r="N3136" s="25" t="s">
        <v>106</v>
      </c>
    </row>
    <row r="3137">
      <c r="A3137" s="301" t="s">
        <v>1129</v>
      </c>
      <c r="B3137" s="171" t="s">
        <v>18</v>
      </c>
      <c r="C3137" s="171" t="s">
        <v>427</v>
      </c>
      <c r="D3137" s="279" t="s">
        <v>1127</v>
      </c>
      <c r="E3137" s="240">
        <v>43558.0</v>
      </c>
      <c r="F3137" s="21" t="str">
        <f t="shared" si="243"/>
        <v>Apr-2019</v>
      </c>
      <c r="G3137" s="32" t="s">
        <v>20</v>
      </c>
      <c r="H3137" s="25" t="s">
        <v>35</v>
      </c>
      <c r="I3137" s="25" t="s">
        <v>371</v>
      </c>
      <c r="J3137" s="25" t="s">
        <v>44</v>
      </c>
      <c r="K3137" s="25" t="s">
        <v>9</v>
      </c>
      <c r="L3137" s="25" t="s">
        <v>30</v>
      </c>
      <c r="M3137" s="25" t="s">
        <v>30</v>
      </c>
      <c r="N3137" s="25" t="s">
        <v>69</v>
      </c>
    </row>
    <row r="3138">
      <c r="A3138" s="172"/>
      <c r="B3138" s="171" t="s">
        <v>18</v>
      </c>
      <c r="C3138" s="171" t="s">
        <v>427</v>
      </c>
      <c r="D3138" s="279" t="s">
        <v>1127</v>
      </c>
      <c r="E3138" s="240">
        <v>43558.0</v>
      </c>
      <c r="F3138" s="21" t="str">
        <f t="shared" si="243"/>
        <v>Apr-2019</v>
      </c>
      <c r="G3138" s="32" t="s">
        <v>25</v>
      </c>
      <c r="H3138" s="25" t="s">
        <v>35</v>
      </c>
      <c r="I3138" s="25" t="s">
        <v>371</v>
      </c>
      <c r="J3138" s="25" t="s">
        <v>44</v>
      </c>
      <c r="K3138" s="25" t="s">
        <v>9</v>
      </c>
      <c r="L3138" s="25" t="s">
        <v>30</v>
      </c>
      <c r="M3138" s="25"/>
      <c r="N3138" s="25" t="s">
        <v>69</v>
      </c>
    </row>
    <row r="3139">
      <c r="A3139" s="172"/>
      <c r="B3139" s="171" t="s">
        <v>18</v>
      </c>
      <c r="C3139" s="171" t="s">
        <v>427</v>
      </c>
      <c r="D3139" s="279" t="s">
        <v>1127</v>
      </c>
      <c r="E3139" s="240">
        <v>43558.0</v>
      </c>
      <c r="F3139" s="21" t="str">
        <f t="shared" si="243"/>
        <v>Apr-2019</v>
      </c>
      <c r="G3139" s="32" t="s">
        <v>20</v>
      </c>
      <c r="H3139" s="25" t="s">
        <v>35</v>
      </c>
      <c r="I3139" s="25" t="s">
        <v>1093</v>
      </c>
      <c r="J3139" s="25" t="s">
        <v>86</v>
      </c>
      <c r="K3139" s="25" t="s">
        <v>9</v>
      </c>
      <c r="L3139" s="25" t="s">
        <v>24</v>
      </c>
      <c r="M3139" s="25" t="s">
        <v>24</v>
      </c>
      <c r="N3139" s="25" t="s">
        <v>99</v>
      </c>
    </row>
    <row r="3140">
      <c r="A3140" s="172"/>
      <c r="B3140" s="171" t="s">
        <v>18</v>
      </c>
      <c r="C3140" s="171" t="s">
        <v>427</v>
      </c>
      <c r="D3140" s="279" t="s">
        <v>1127</v>
      </c>
      <c r="E3140" s="240">
        <v>43558.0</v>
      </c>
      <c r="F3140" s="21" t="str">
        <f t="shared" si="243"/>
        <v>Apr-2019</v>
      </c>
      <c r="G3140" s="32" t="s">
        <v>25</v>
      </c>
      <c r="H3140" s="25" t="s">
        <v>35</v>
      </c>
      <c r="I3140" s="25" t="s">
        <v>1093</v>
      </c>
      <c r="J3140" s="25" t="s">
        <v>86</v>
      </c>
      <c r="K3140" s="25" t="s">
        <v>9</v>
      </c>
      <c r="L3140" s="25" t="s">
        <v>30</v>
      </c>
      <c r="M3140" s="25"/>
      <c r="N3140" s="25" t="s">
        <v>99</v>
      </c>
    </row>
    <row r="3141">
      <c r="A3141" s="172"/>
      <c r="B3141" s="171" t="s">
        <v>18</v>
      </c>
      <c r="C3141" s="171" t="s">
        <v>427</v>
      </c>
      <c r="D3141" s="279" t="s">
        <v>1127</v>
      </c>
      <c r="E3141" s="240">
        <v>43558.0</v>
      </c>
      <c r="F3141" s="21" t="str">
        <f t="shared" si="243"/>
        <v>Apr-2019</v>
      </c>
      <c r="G3141" s="32" t="s">
        <v>32</v>
      </c>
      <c r="H3141" s="25" t="s">
        <v>35</v>
      </c>
      <c r="I3141" s="25" t="s">
        <v>1093</v>
      </c>
      <c r="J3141" s="25" t="s">
        <v>86</v>
      </c>
      <c r="K3141" s="25" t="s">
        <v>9</v>
      </c>
      <c r="L3141" s="25" t="s">
        <v>24</v>
      </c>
      <c r="M3141" s="25"/>
      <c r="N3141" s="25" t="s">
        <v>98</v>
      </c>
    </row>
    <row r="3142">
      <c r="A3142" s="94"/>
    </row>
    <row r="3143">
      <c r="A3143" s="279" t="s">
        <v>1130</v>
      </c>
      <c r="B3143" s="171" t="s">
        <v>18</v>
      </c>
      <c r="C3143" s="171" t="s">
        <v>74</v>
      </c>
      <c r="D3143" s="279" t="s">
        <v>1130</v>
      </c>
      <c r="E3143" s="240">
        <v>43560.0</v>
      </c>
      <c r="F3143" s="21" t="str">
        <f t="shared" ref="F3143:F3155" si="244">TEXT(E3135:E3143, "mmm") &amp; "-" &amp; TEXT(E3135:E3143, "yyyy") </f>
        <v>Apr-2019</v>
      </c>
      <c r="G3143" s="32" t="s">
        <v>20</v>
      </c>
      <c r="H3143" s="25" t="s">
        <v>35</v>
      </c>
      <c r="I3143" s="25" t="s">
        <v>1131</v>
      </c>
      <c r="J3143" s="25" t="s">
        <v>9</v>
      </c>
      <c r="K3143" s="25" t="s">
        <v>9</v>
      </c>
      <c r="L3143" s="25" t="s">
        <v>30</v>
      </c>
      <c r="M3143" s="25" t="s">
        <v>30</v>
      </c>
      <c r="N3143" s="25" t="s">
        <v>98</v>
      </c>
    </row>
    <row r="3144">
      <c r="A3144" s="171" t="s">
        <v>18</v>
      </c>
      <c r="B3144" s="171" t="s">
        <v>18</v>
      </c>
      <c r="C3144" s="171" t="s">
        <v>74</v>
      </c>
      <c r="D3144" s="279" t="s">
        <v>1130</v>
      </c>
      <c r="E3144" s="240">
        <v>43560.0</v>
      </c>
      <c r="F3144" s="21" t="str">
        <f t="shared" si="244"/>
        <v>Apr-2019</v>
      </c>
      <c r="G3144" s="32" t="s">
        <v>25</v>
      </c>
      <c r="H3144" s="25" t="s">
        <v>35</v>
      </c>
      <c r="I3144" s="25" t="s">
        <v>1131</v>
      </c>
      <c r="J3144" s="25" t="s">
        <v>9</v>
      </c>
      <c r="K3144" s="25" t="s">
        <v>9</v>
      </c>
      <c r="L3144" s="25" t="s">
        <v>30</v>
      </c>
      <c r="M3144" s="25"/>
      <c r="N3144" s="25" t="s">
        <v>69</v>
      </c>
    </row>
    <row r="3145">
      <c r="A3145" s="171" t="s">
        <v>1106</v>
      </c>
      <c r="B3145" s="171" t="s">
        <v>18</v>
      </c>
      <c r="C3145" s="171" t="s">
        <v>74</v>
      </c>
      <c r="D3145" s="279" t="s">
        <v>1130</v>
      </c>
      <c r="E3145" s="240">
        <v>43560.0</v>
      </c>
      <c r="F3145" s="21" t="str">
        <f t="shared" si="244"/>
        <v>Apr-2019</v>
      </c>
      <c r="G3145" s="32" t="s">
        <v>20</v>
      </c>
      <c r="H3145" s="25" t="s">
        <v>35</v>
      </c>
      <c r="I3145" s="25" t="s">
        <v>976</v>
      </c>
      <c r="J3145" s="25" t="s">
        <v>48</v>
      </c>
      <c r="K3145" s="25" t="s">
        <v>9</v>
      </c>
      <c r="L3145" s="25" t="s">
        <v>30</v>
      </c>
      <c r="M3145" s="25" t="s">
        <v>30</v>
      </c>
      <c r="N3145" s="25" t="s">
        <v>98</v>
      </c>
    </row>
    <row r="3146">
      <c r="A3146" s="240">
        <v>43560.0</v>
      </c>
      <c r="B3146" s="171" t="s">
        <v>18</v>
      </c>
      <c r="C3146" s="171" t="s">
        <v>74</v>
      </c>
      <c r="D3146" s="279" t="s">
        <v>1130</v>
      </c>
      <c r="E3146" s="240">
        <v>43560.0</v>
      </c>
      <c r="F3146" s="21" t="str">
        <f t="shared" si="244"/>
        <v>Apr-2019</v>
      </c>
      <c r="G3146" s="32" t="s">
        <v>25</v>
      </c>
      <c r="H3146" s="25" t="s">
        <v>35</v>
      </c>
      <c r="I3146" s="25" t="s">
        <v>976</v>
      </c>
      <c r="J3146" s="25" t="s">
        <v>48</v>
      </c>
      <c r="K3146" s="25" t="s">
        <v>9</v>
      </c>
      <c r="L3146" s="25" t="s">
        <v>30</v>
      </c>
      <c r="M3146" s="25"/>
      <c r="N3146" s="25" t="s">
        <v>29</v>
      </c>
    </row>
    <row r="3147">
      <c r="A3147" s="171" t="s">
        <v>74</v>
      </c>
      <c r="B3147" s="171" t="s">
        <v>18</v>
      </c>
      <c r="C3147" s="171" t="s">
        <v>74</v>
      </c>
      <c r="D3147" s="279" t="s">
        <v>1130</v>
      </c>
      <c r="E3147" s="240">
        <v>43560.0</v>
      </c>
      <c r="F3147" s="21" t="str">
        <f t="shared" si="244"/>
        <v>Apr-2019</v>
      </c>
      <c r="G3147" s="32" t="s">
        <v>20</v>
      </c>
      <c r="H3147" s="25" t="s">
        <v>35</v>
      </c>
      <c r="I3147" s="25" t="s">
        <v>1104</v>
      </c>
      <c r="J3147" s="25" t="s">
        <v>44</v>
      </c>
      <c r="K3147" s="25" t="s">
        <v>9</v>
      </c>
      <c r="L3147" s="25" t="s">
        <v>24</v>
      </c>
      <c r="M3147" s="25" t="s">
        <v>24</v>
      </c>
      <c r="N3147" s="25" t="s">
        <v>69</v>
      </c>
    </row>
    <row r="3148">
      <c r="A3148" s="301" t="s">
        <v>1132</v>
      </c>
      <c r="B3148" s="171" t="s">
        <v>18</v>
      </c>
      <c r="C3148" s="171" t="s">
        <v>74</v>
      </c>
      <c r="D3148" s="279" t="s">
        <v>1130</v>
      </c>
      <c r="E3148" s="240">
        <v>43560.0</v>
      </c>
      <c r="F3148" s="21" t="str">
        <f t="shared" si="244"/>
        <v>Apr-2019</v>
      </c>
      <c r="G3148" s="32" t="s">
        <v>25</v>
      </c>
      <c r="H3148" s="25" t="s">
        <v>35</v>
      </c>
      <c r="I3148" s="25" t="s">
        <v>1104</v>
      </c>
      <c r="J3148" s="25" t="s">
        <v>44</v>
      </c>
      <c r="K3148" s="25" t="s">
        <v>9</v>
      </c>
      <c r="L3148" s="25" t="s">
        <v>24</v>
      </c>
      <c r="M3148" s="25"/>
      <c r="N3148" s="25" t="s">
        <v>106</v>
      </c>
    </row>
    <row r="3149">
      <c r="A3149" s="172"/>
      <c r="B3149" s="171" t="s">
        <v>18</v>
      </c>
      <c r="C3149" s="171" t="s">
        <v>74</v>
      </c>
      <c r="D3149" s="279" t="s">
        <v>1130</v>
      </c>
      <c r="E3149" s="240">
        <v>43560.0</v>
      </c>
      <c r="F3149" s="21" t="str">
        <f t="shared" si="244"/>
        <v>Apr-2019</v>
      </c>
      <c r="G3149" s="32" t="s">
        <v>20</v>
      </c>
      <c r="H3149" s="25" t="s">
        <v>35</v>
      </c>
      <c r="I3149" s="25" t="s">
        <v>452</v>
      </c>
      <c r="J3149" s="25" t="s">
        <v>27</v>
      </c>
      <c r="K3149" s="25" t="s">
        <v>9</v>
      </c>
      <c r="L3149" s="25" t="s">
        <v>30</v>
      </c>
      <c r="M3149" s="25" t="s">
        <v>30</v>
      </c>
    </row>
    <row r="3150">
      <c r="A3150" s="172"/>
      <c r="B3150" s="171" t="s">
        <v>18</v>
      </c>
      <c r="C3150" s="171" t="s">
        <v>74</v>
      </c>
      <c r="D3150" s="279" t="s">
        <v>1130</v>
      </c>
      <c r="E3150" s="240">
        <v>43560.0</v>
      </c>
      <c r="F3150" s="21" t="str">
        <f t="shared" si="244"/>
        <v>Apr-2019</v>
      </c>
      <c r="G3150" s="32" t="s">
        <v>25</v>
      </c>
      <c r="H3150" s="25" t="s">
        <v>35</v>
      </c>
      <c r="I3150" s="25" t="s">
        <v>452</v>
      </c>
      <c r="J3150" s="25" t="s">
        <v>27</v>
      </c>
      <c r="K3150" s="25" t="s">
        <v>9</v>
      </c>
      <c r="L3150" s="25" t="s">
        <v>24</v>
      </c>
    </row>
    <row r="3151">
      <c r="A3151" s="172"/>
      <c r="B3151" s="171" t="s">
        <v>18</v>
      </c>
      <c r="C3151" s="171" t="s">
        <v>74</v>
      </c>
      <c r="D3151" s="279" t="s">
        <v>1130</v>
      </c>
      <c r="E3151" s="240">
        <v>43560.0</v>
      </c>
      <c r="F3151" s="21" t="str">
        <f t="shared" si="244"/>
        <v>Apr-2019</v>
      </c>
      <c r="G3151" s="32" t="s">
        <v>32</v>
      </c>
      <c r="H3151" s="25" t="s">
        <v>35</v>
      </c>
      <c r="I3151" s="25" t="s">
        <v>452</v>
      </c>
      <c r="J3151" s="25" t="s">
        <v>27</v>
      </c>
      <c r="K3151" s="25" t="s">
        <v>9</v>
      </c>
      <c r="L3151" s="25" t="s">
        <v>30</v>
      </c>
    </row>
    <row r="3152">
      <c r="A3152" s="172"/>
      <c r="B3152" s="171" t="s">
        <v>18</v>
      </c>
      <c r="C3152" s="171" t="s">
        <v>74</v>
      </c>
      <c r="D3152" s="279" t="s">
        <v>1130</v>
      </c>
      <c r="E3152" s="240">
        <v>43560.0</v>
      </c>
      <c r="F3152" s="21" t="str">
        <f t="shared" si="244"/>
        <v>Apr-2019</v>
      </c>
      <c r="G3152" t="s">
        <v>146</v>
      </c>
      <c r="H3152" s="25" t="s">
        <v>35</v>
      </c>
      <c r="I3152" s="25" t="s">
        <v>936</v>
      </c>
      <c r="J3152" s="25" t="s">
        <v>86</v>
      </c>
      <c r="K3152" s="25" t="s">
        <v>9</v>
      </c>
      <c r="L3152" s="25" t="s">
        <v>24</v>
      </c>
      <c r="M3152" s="25" t="s">
        <v>24</v>
      </c>
      <c r="N3152" s="25" t="s">
        <v>69</v>
      </c>
    </row>
    <row r="3153">
      <c r="A3153" s="172"/>
      <c r="B3153" s="171" t="s">
        <v>18</v>
      </c>
      <c r="C3153" s="171" t="s">
        <v>74</v>
      </c>
      <c r="D3153" s="279" t="s">
        <v>1130</v>
      </c>
      <c r="E3153" s="240">
        <v>43560.0</v>
      </c>
      <c r="F3153" s="21" t="str">
        <f t="shared" si="244"/>
        <v>Apr-2019</v>
      </c>
      <c r="G3153" t="s">
        <v>149</v>
      </c>
      <c r="H3153" s="25" t="s">
        <v>35</v>
      </c>
      <c r="I3153" s="25" t="s">
        <v>936</v>
      </c>
      <c r="J3153" s="25" t="s">
        <v>86</v>
      </c>
      <c r="K3153" s="25" t="s">
        <v>9</v>
      </c>
      <c r="L3153" s="25" t="s">
        <v>24</v>
      </c>
      <c r="M3153" s="25"/>
      <c r="N3153" s="25" t="s">
        <v>29</v>
      </c>
    </row>
    <row r="3154">
      <c r="A3154" s="172"/>
      <c r="B3154" s="171" t="s">
        <v>18</v>
      </c>
      <c r="C3154" s="171" t="s">
        <v>74</v>
      </c>
      <c r="D3154" s="279" t="s">
        <v>1130</v>
      </c>
      <c r="E3154" s="240">
        <v>43560.0</v>
      </c>
      <c r="F3154" s="21" t="str">
        <f t="shared" si="244"/>
        <v>Apr-2019</v>
      </c>
      <c r="G3154" t="s">
        <v>222</v>
      </c>
      <c r="H3154" s="25" t="s">
        <v>35</v>
      </c>
      <c r="I3154" s="25" t="s">
        <v>936</v>
      </c>
      <c r="J3154" s="25" t="s">
        <v>86</v>
      </c>
      <c r="K3154" s="25" t="s">
        <v>9</v>
      </c>
      <c r="L3154" s="25" t="s">
        <v>30</v>
      </c>
      <c r="M3154" s="25"/>
      <c r="N3154" s="25" t="s">
        <v>29</v>
      </c>
    </row>
    <row r="3155">
      <c r="A3155" s="172"/>
      <c r="B3155" s="171" t="s">
        <v>18</v>
      </c>
      <c r="C3155" s="171" t="s">
        <v>74</v>
      </c>
      <c r="D3155" s="279" t="s">
        <v>1130</v>
      </c>
      <c r="E3155" s="240">
        <v>43560.0</v>
      </c>
      <c r="F3155" s="21" t="str">
        <f t="shared" si="244"/>
        <v>Apr-2019</v>
      </c>
      <c r="G3155" t="s">
        <v>467</v>
      </c>
      <c r="H3155" s="25" t="s">
        <v>35</v>
      </c>
      <c r="I3155" s="25" t="s">
        <v>936</v>
      </c>
      <c r="J3155" s="25" t="s">
        <v>86</v>
      </c>
      <c r="K3155" s="25" t="s">
        <v>9</v>
      </c>
      <c r="L3155" s="25" t="s">
        <v>24</v>
      </c>
      <c r="M3155" s="25"/>
      <c r="N3155" s="25" t="s">
        <v>37</v>
      </c>
    </row>
    <row r="3156">
      <c r="A3156" s="94"/>
    </row>
    <row r="3157">
      <c r="A3157" s="279" t="s">
        <v>1133</v>
      </c>
      <c r="B3157" s="171" t="s">
        <v>34</v>
      </c>
      <c r="C3157" s="171" t="s">
        <v>74</v>
      </c>
      <c r="D3157" s="279" t="s">
        <v>1133</v>
      </c>
      <c r="E3157" s="240">
        <v>43580.0</v>
      </c>
      <c r="F3157" s="21" t="str">
        <f t="shared" ref="F3157:F3166" si="245">TEXT(E3149:E3157, "mmm") &amp; "-" &amp; TEXT(E3149:E3157, "yyyy") </f>
        <v>Apr-2019</v>
      </c>
      <c r="G3157" s="32" t="s">
        <v>20</v>
      </c>
      <c r="H3157" s="25" t="s">
        <v>35</v>
      </c>
      <c r="I3157" s="25" t="s">
        <v>694</v>
      </c>
      <c r="J3157" s="25" t="s">
        <v>27</v>
      </c>
      <c r="K3157" s="25" t="s">
        <v>9</v>
      </c>
      <c r="L3157" s="25" t="s">
        <v>30</v>
      </c>
      <c r="M3157" s="25" t="s">
        <v>30</v>
      </c>
      <c r="N3157" s="25" t="s">
        <v>69</v>
      </c>
    </row>
    <row r="3158">
      <c r="A3158" s="171" t="s">
        <v>34</v>
      </c>
      <c r="B3158" s="171" t="s">
        <v>34</v>
      </c>
      <c r="C3158" s="171" t="s">
        <v>74</v>
      </c>
      <c r="D3158" s="279" t="s">
        <v>1133</v>
      </c>
      <c r="E3158" s="240">
        <v>43580.0</v>
      </c>
      <c r="F3158" s="21" t="str">
        <f t="shared" si="245"/>
        <v>Apr-2019</v>
      </c>
      <c r="G3158" s="32" t="s">
        <v>25</v>
      </c>
      <c r="H3158" s="25" t="s">
        <v>35</v>
      </c>
      <c r="I3158" s="25" t="s">
        <v>694</v>
      </c>
      <c r="J3158" s="25" t="s">
        <v>27</v>
      </c>
      <c r="K3158" s="25" t="s">
        <v>9</v>
      </c>
      <c r="L3158" s="25" t="s">
        <v>30</v>
      </c>
      <c r="M3158" s="25"/>
      <c r="N3158" s="25" t="s">
        <v>106</v>
      </c>
    </row>
    <row r="3159">
      <c r="A3159" s="171" t="s">
        <v>1134</v>
      </c>
      <c r="B3159" s="171" t="s">
        <v>34</v>
      </c>
      <c r="C3159" s="171" t="s">
        <v>74</v>
      </c>
      <c r="D3159" s="279" t="s">
        <v>1133</v>
      </c>
      <c r="E3159" s="240">
        <v>43580.0</v>
      </c>
      <c r="F3159" s="21" t="str">
        <f t="shared" si="245"/>
        <v>Apr-2019</v>
      </c>
      <c r="G3159" s="32" t="s">
        <v>20</v>
      </c>
      <c r="H3159" s="25" t="s">
        <v>35</v>
      </c>
      <c r="I3159" s="25" t="s">
        <v>393</v>
      </c>
      <c r="J3159" s="25" t="s">
        <v>102</v>
      </c>
      <c r="K3159" s="25" t="s">
        <v>9</v>
      </c>
      <c r="L3159" s="25" t="s">
        <v>24</v>
      </c>
      <c r="M3159" s="25" t="s">
        <v>30</v>
      </c>
      <c r="N3159" s="25" t="s">
        <v>99</v>
      </c>
    </row>
    <row r="3160">
      <c r="A3160" s="240">
        <v>43580.0</v>
      </c>
      <c r="B3160" s="171" t="s">
        <v>34</v>
      </c>
      <c r="C3160" s="171" t="s">
        <v>74</v>
      </c>
      <c r="D3160" s="279" t="s">
        <v>1133</v>
      </c>
      <c r="E3160" s="240">
        <v>43580.0</v>
      </c>
      <c r="F3160" s="21" t="str">
        <f t="shared" si="245"/>
        <v>Apr-2019</v>
      </c>
      <c r="G3160" s="32" t="s">
        <v>25</v>
      </c>
      <c r="H3160" s="25" t="s">
        <v>35</v>
      </c>
      <c r="I3160" s="25" t="s">
        <v>393</v>
      </c>
      <c r="J3160" s="25" t="s">
        <v>102</v>
      </c>
      <c r="K3160" s="25" t="s">
        <v>9</v>
      </c>
      <c r="L3160" s="25" t="s">
        <v>30</v>
      </c>
      <c r="M3160" s="25"/>
      <c r="N3160" s="25" t="s">
        <v>106</v>
      </c>
    </row>
    <row r="3161">
      <c r="A3161" s="171" t="s">
        <v>74</v>
      </c>
      <c r="B3161" s="171" t="s">
        <v>34</v>
      </c>
      <c r="C3161" s="171" t="s">
        <v>74</v>
      </c>
      <c r="D3161" s="279" t="s">
        <v>1133</v>
      </c>
      <c r="E3161" s="240">
        <v>43580.0</v>
      </c>
      <c r="F3161" s="21" t="str">
        <f t="shared" si="245"/>
        <v>Apr-2019</v>
      </c>
      <c r="G3161" s="32" t="s">
        <v>32</v>
      </c>
      <c r="H3161" s="25" t="s">
        <v>35</v>
      </c>
      <c r="I3161" s="25" t="s">
        <v>393</v>
      </c>
      <c r="J3161" s="25" t="s">
        <v>102</v>
      </c>
      <c r="K3161" s="25" t="s">
        <v>9</v>
      </c>
      <c r="L3161" s="25" t="s">
        <v>30</v>
      </c>
      <c r="M3161" s="25"/>
      <c r="N3161" s="25" t="s">
        <v>37</v>
      </c>
    </row>
    <row r="3162">
      <c r="A3162" s="301" t="s">
        <v>1135</v>
      </c>
      <c r="B3162" s="171" t="s">
        <v>34</v>
      </c>
      <c r="C3162" s="171" t="s">
        <v>74</v>
      </c>
      <c r="D3162" s="279" t="s">
        <v>1133</v>
      </c>
      <c r="E3162" s="240">
        <v>43580.0</v>
      </c>
      <c r="F3162" s="21" t="str">
        <f t="shared" si="245"/>
        <v>Apr-2019</v>
      </c>
      <c r="G3162" s="32" t="s">
        <v>20</v>
      </c>
      <c r="H3162" s="25" t="s">
        <v>35</v>
      </c>
      <c r="I3162" s="25" t="s">
        <v>1136</v>
      </c>
      <c r="J3162" s="25" t="s">
        <v>71</v>
      </c>
      <c r="K3162" s="25" t="s">
        <v>9</v>
      </c>
      <c r="L3162" s="25" t="s">
        <v>24</v>
      </c>
      <c r="M3162" s="25" t="s">
        <v>24</v>
      </c>
      <c r="N3162" s="25" t="s">
        <v>98</v>
      </c>
    </row>
    <row r="3163">
      <c r="A3163" s="172"/>
      <c r="B3163" s="171" t="s">
        <v>34</v>
      </c>
      <c r="C3163" s="171" t="s">
        <v>74</v>
      </c>
      <c r="D3163" s="279" t="s">
        <v>1133</v>
      </c>
      <c r="E3163" s="240">
        <v>43580.0</v>
      </c>
      <c r="F3163" s="21" t="str">
        <f t="shared" si="245"/>
        <v>Apr-2019</v>
      </c>
      <c r="G3163" s="32" t="s">
        <v>25</v>
      </c>
      <c r="H3163" s="25" t="s">
        <v>35</v>
      </c>
      <c r="I3163" s="25" t="s">
        <v>1136</v>
      </c>
      <c r="J3163" s="25" t="s">
        <v>71</v>
      </c>
      <c r="K3163" s="25" t="s">
        <v>9</v>
      </c>
      <c r="L3163" s="25" t="s">
        <v>24</v>
      </c>
      <c r="M3163" s="25"/>
      <c r="N3163" s="25" t="s">
        <v>106</v>
      </c>
    </row>
    <row r="3164">
      <c r="A3164" s="172"/>
      <c r="B3164" s="171" t="s">
        <v>34</v>
      </c>
      <c r="C3164" s="171" t="s">
        <v>74</v>
      </c>
      <c r="D3164" s="279" t="s">
        <v>1133</v>
      </c>
      <c r="E3164" s="240">
        <v>43580.0</v>
      </c>
      <c r="F3164" s="21" t="str">
        <f t="shared" si="245"/>
        <v>Apr-2019</v>
      </c>
      <c r="G3164" s="32" t="s">
        <v>20</v>
      </c>
      <c r="H3164" s="25" t="s">
        <v>35</v>
      </c>
      <c r="I3164" s="25" t="s">
        <v>394</v>
      </c>
      <c r="J3164" s="25" t="s">
        <v>139</v>
      </c>
      <c r="K3164" s="25" t="s">
        <v>9</v>
      </c>
      <c r="L3164" s="25" t="s">
        <v>30</v>
      </c>
      <c r="M3164" s="25" t="s">
        <v>24</v>
      </c>
      <c r="N3164" s="25" t="s">
        <v>37</v>
      </c>
    </row>
    <row r="3165">
      <c r="A3165" s="172"/>
      <c r="B3165" s="171" t="s">
        <v>34</v>
      </c>
      <c r="C3165" s="171" t="s">
        <v>74</v>
      </c>
      <c r="D3165" s="279" t="s">
        <v>1133</v>
      </c>
      <c r="E3165" s="240">
        <v>43580.0</v>
      </c>
      <c r="F3165" s="21" t="str">
        <f t="shared" si="245"/>
        <v>Apr-2019</v>
      </c>
      <c r="G3165" s="32" t="s">
        <v>25</v>
      </c>
      <c r="H3165" s="25" t="s">
        <v>35</v>
      </c>
      <c r="I3165" s="25" t="s">
        <v>394</v>
      </c>
      <c r="J3165" s="25" t="s">
        <v>27</v>
      </c>
      <c r="K3165" s="25" t="s">
        <v>9</v>
      </c>
      <c r="L3165" s="25" t="s">
        <v>24</v>
      </c>
      <c r="M3165" s="25"/>
      <c r="N3165" s="25" t="s">
        <v>69</v>
      </c>
    </row>
    <row r="3166">
      <c r="A3166" s="172"/>
      <c r="B3166" s="171" t="s">
        <v>34</v>
      </c>
      <c r="C3166" s="171" t="s">
        <v>74</v>
      </c>
      <c r="D3166" s="279" t="s">
        <v>1133</v>
      </c>
      <c r="E3166" s="240">
        <v>43580.0</v>
      </c>
      <c r="F3166" s="21" t="str">
        <f t="shared" si="245"/>
        <v>Apr-2019</v>
      </c>
      <c r="G3166" s="32" t="s">
        <v>32</v>
      </c>
      <c r="H3166" s="25" t="s">
        <v>35</v>
      </c>
      <c r="I3166" s="25" t="s">
        <v>394</v>
      </c>
      <c r="J3166" s="25" t="s">
        <v>27</v>
      </c>
      <c r="K3166" s="25" t="s">
        <v>9</v>
      </c>
      <c r="L3166" s="25" t="s">
        <v>24</v>
      </c>
      <c r="M3166" s="25"/>
      <c r="N3166" s="25" t="s">
        <v>106</v>
      </c>
    </row>
    <row r="3167">
      <c r="A3167" s="94"/>
    </row>
    <row r="3168">
      <c r="A3168" s="279" t="s">
        <v>1137</v>
      </c>
      <c r="B3168" s="171" t="s">
        <v>527</v>
      </c>
      <c r="C3168" s="171" t="s">
        <v>19</v>
      </c>
      <c r="D3168" s="279" t="s">
        <v>1137</v>
      </c>
      <c r="E3168" s="240">
        <v>43596.0</v>
      </c>
      <c r="F3168" s="21" t="str">
        <f t="shared" ref="F3168:F3213" si="246">TEXT(E3160:E3168, "mmm") &amp; "-" &amp; TEXT(E3160:E3168, "yyyy") </f>
        <v>May-2019</v>
      </c>
      <c r="G3168" s="32" t="s">
        <v>20</v>
      </c>
      <c r="H3168" s="25" t="s">
        <v>21</v>
      </c>
      <c r="I3168" s="25" t="s">
        <v>103</v>
      </c>
      <c r="J3168" s="25" t="s">
        <v>9</v>
      </c>
      <c r="K3168" s="25" t="s">
        <v>9</v>
      </c>
      <c r="L3168" s="25" t="s">
        <v>30</v>
      </c>
      <c r="M3168" s="25" t="s">
        <v>30</v>
      </c>
      <c r="N3168" s="25" t="s">
        <v>98</v>
      </c>
    </row>
    <row r="3169">
      <c r="A3169" s="171" t="s">
        <v>527</v>
      </c>
      <c r="B3169" s="171" t="s">
        <v>527</v>
      </c>
      <c r="C3169" s="171" t="s">
        <v>19</v>
      </c>
      <c r="D3169" s="279" t="s">
        <v>1137</v>
      </c>
      <c r="E3169" s="240">
        <v>43596.0</v>
      </c>
      <c r="F3169" s="21" t="str">
        <f t="shared" si="246"/>
        <v>May-2019</v>
      </c>
      <c r="G3169" s="32" t="s">
        <v>25</v>
      </c>
      <c r="H3169" s="25" t="s">
        <v>21</v>
      </c>
      <c r="I3169" s="25" t="s">
        <v>103</v>
      </c>
      <c r="J3169" s="25" t="s">
        <v>9</v>
      </c>
      <c r="K3169" s="25" t="s">
        <v>9</v>
      </c>
      <c r="L3169" s="25" t="s">
        <v>30</v>
      </c>
      <c r="M3169" s="25"/>
      <c r="N3169" s="25" t="s">
        <v>99</v>
      </c>
    </row>
    <row r="3170">
      <c r="A3170" s="171" t="s">
        <v>529</v>
      </c>
      <c r="B3170" s="171" t="s">
        <v>527</v>
      </c>
      <c r="C3170" s="171" t="s">
        <v>19</v>
      </c>
      <c r="D3170" s="279" t="s">
        <v>1137</v>
      </c>
      <c r="E3170" s="240">
        <v>43596.0</v>
      </c>
      <c r="F3170" s="21" t="str">
        <f t="shared" si="246"/>
        <v>May-2019</v>
      </c>
      <c r="G3170" s="32" t="s">
        <v>20</v>
      </c>
      <c r="H3170" s="25" t="s">
        <v>21</v>
      </c>
      <c r="I3170" s="25" t="s">
        <v>1138</v>
      </c>
      <c r="J3170" s="25" t="s">
        <v>27</v>
      </c>
      <c r="K3170" s="25" t="s">
        <v>9</v>
      </c>
      <c r="L3170" s="25" t="s">
        <v>24</v>
      </c>
      <c r="M3170" s="25" t="s">
        <v>24</v>
      </c>
      <c r="N3170" s="25" t="s">
        <v>69</v>
      </c>
    </row>
    <row r="3171">
      <c r="A3171" s="240">
        <v>43596.0</v>
      </c>
      <c r="B3171" s="171" t="s">
        <v>527</v>
      </c>
      <c r="C3171" s="171" t="s">
        <v>19</v>
      </c>
      <c r="D3171" s="279" t="s">
        <v>1137</v>
      </c>
      <c r="E3171" s="240">
        <v>43596.0</v>
      </c>
      <c r="F3171" s="21" t="str">
        <f t="shared" si="246"/>
        <v>May-2019</v>
      </c>
      <c r="G3171" s="32" t="s">
        <v>25</v>
      </c>
      <c r="H3171" s="25" t="s">
        <v>21</v>
      </c>
      <c r="I3171" s="25" t="s">
        <v>1138</v>
      </c>
      <c r="J3171" s="25" t="s">
        <v>27</v>
      </c>
      <c r="K3171" s="25" t="s">
        <v>9</v>
      </c>
      <c r="L3171" s="25" t="s">
        <v>30</v>
      </c>
      <c r="M3171" s="25"/>
      <c r="N3171" s="25" t="s">
        <v>106</v>
      </c>
    </row>
    <row r="3172">
      <c r="A3172" s="171" t="s">
        <v>19</v>
      </c>
      <c r="B3172" s="171" t="s">
        <v>527</v>
      </c>
      <c r="C3172" s="171" t="s">
        <v>19</v>
      </c>
      <c r="D3172" s="279" t="s">
        <v>1137</v>
      </c>
      <c r="E3172" s="240">
        <v>43596.0</v>
      </c>
      <c r="F3172" s="21" t="str">
        <f t="shared" si="246"/>
        <v>May-2019</v>
      </c>
      <c r="G3172" s="32" t="s">
        <v>32</v>
      </c>
      <c r="H3172" s="25" t="s">
        <v>21</v>
      </c>
      <c r="I3172" s="25" t="s">
        <v>1138</v>
      </c>
      <c r="J3172" s="25" t="s">
        <v>27</v>
      </c>
      <c r="K3172" s="25" t="s">
        <v>9</v>
      </c>
      <c r="L3172" s="25" t="s">
        <v>24</v>
      </c>
      <c r="M3172" s="25"/>
      <c r="N3172" s="25" t="s">
        <v>99</v>
      </c>
    </row>
    <row r="3173">
      <c r="A3173" s="301" t="s">
        <v>1139</v>
      </c>
      <c r="B3173" s="171" t="s">
        <v>527</v>
      </c>
      <c r="C3173" s="171" t="s">
        <v>19</v>
      </c>
      <c r="D3173" s="279" t="s">
        <v>1137</v>
      </c>
      <c r="E3173" s="240">
        <v>43596.0</v>
      </c>
      <c r="F3173" s="21" t="str">
        <f t="shared" si="246"/>
        <v>May-2019</v>
      </c>
      <c r="G3173" s="32" t="s">
        <v>20</v>
      </c>
      <c r="H3173" s="25" t="s">
        <v>21</v>
      </c>
      <c r="I3173" s="25" t="s">
        <v>1081</v>
      </c>
      <c r="J3173" s="25" t="s">
        <v>23</v>
      </c>
      <c r="K3173" s="25" t="s">
        <v>9</v>
      </c>
      <c r="L3173" s="25" t="s">
        <v>30</v>
      </c>
      <c r="M3173" s="25" t="s">
        <v>30</v>
      </c>
      <c r="N3173" s="25" t="s">
        <v>37</v>
      </c>
    </row>
    <row r="3174">
      <c r="A3174" s="171" t="s">
        <v>1140</v>
      </c>
      <c r="B3174" s="171" t="s">
        <v>527</v>
      </c>
      <c r="C3174" s="171" t="s">
        <v>19</v>
      </c>
      <c r="D3174" s="279" t="s">
        <v>1137</v>
      </c>
      <c r="E3174" s="240">
        <v>43596.0</v>
      </c>
      <c r="F3174" s="21" t="str">
        <f t="shared" si="246"/>
        <v>May-2019</v>
      </c>
      <c r="G3174" s="32" t="s">
        <v>25</v>
      </c>
      <c r="H3174" s="25" t="s">
        <v>21</v>
      </c>
      <c r="I3174" s="25" t="s">
        <v>1081</v>
      </c>
      <c r="J3174" s="25" t="s">
        <v>23</v>
      </c>
      <c r="K3174" s="25" t="s">
        <v>9</v>
      </c>
      <c r="L3174" s="25" t="s">
        <v>30</v>
      </c>
      <c r="M3174" s="25"/>
      <c r="N3174" s="25" t="s">
        <v>69</v>
      </c>
    </row>
    <row r="3175">
      <c r="A3175" s="301" t="s">
        <v>1141</v>
      </c>
      <c r="B3175" s="171" t="s">
        <v>527</v>
      </c>
      <c r="C3175" s="171" t="s">
        <v>19</v>
      </c>
      <c r="D3175" s="279" t="s">
        <v>1137</v>
      </c>
      <c r="E3175" s="240">
        <v>43596.0</v>
      </c>
      <c r="F3175" s="21" t="str">
        <f t="shared" si="246"/>
        <v>May-2019</v>
      </c>
      <c r="G3175" s="32" t="s">
        <v>20</v>
      </c>
      <c r="H3175" s="25" t="s">
        <v>21</v>
      </c>
      <c r="I3175" s="25" t="s">
        <v>1142</v>
      </c>
      <c r="J3175" s="25" t="s">
        <v>27</v>
      </c>
      <c r="K3175" s="25" t="s">
        <v>9</v>
      </c>
      <c r="L3175" s="25" t="s">
        <v>30</v>
      </c>
      <c r="M3175" s="25" t="s">
        <v>30</v>
      </c>
      <c r="N3175" s="25" t="s">
        <v>37</v>
      </c>
    </row>
    <row r="3176">
      <c r="A3176" s="172"/>
      <c r="B3176" s="171" t="s">
        <v>527</v>
      </c>
      <c r="C3176" s="171" t="s">
        <v>19</v>
      </c>
      <c r="D3176" s="279" t="s">
        <v>1137</v>
      </c>
      <c r="E3176" s="240">
        <v>43596.0</v>
      </c>
      <c r="F3176" s="21" t="str">
        <f t="shared" si="246"/>
        <v>May-2019</v>
      </c>
      <c r="G3176" s="32" t="s">
        <v>25</v>
      </c>
      <c r="H3176" s="25" t="s">
        <v>21</v>
      </c>
      <c r="I3176" s="25" t="s">
        <v>1142</v>
      </c>
      <c r="J3176" s="25" t="s">
        <v>27</v>
      </c>
      <c r="K3176" s="25" t="s">
        <v>9</v>
      </c>
      <c r="L3176" s="25" t="s">
        <v>30</v>
      </c>
      <c r="M3176" s="25"/>
      <c r="N3176" s="25" t="s">
        <v>106</v>
      </c>
    </row>
    <row r="3177">
      <c r="A3177" s="172"/>
      <c r="B3177" s="171" t="s">
        <v>527</v>
      </c>
      <c r="C3177" s="171" t="s">
        <v>19</v>
      </c>
      <c r="D3177" s="279" t="s">
        <v>1137</v>
      </c>
      <c r="E3177" s="240">
        <v>43596.0</v>
      </c>
      <c r="F3177" s="21" t="str">
        <f t="shared" si="246"/>
        <v>May-2019</v>
      </c>
      <c r="G3177" s="32" t="s">
        <v>20</v>
      </c>
      <c r="H3177" s="25" t="s">
        <v>35</v>
      </c>
      <c r="I3177" s="25" t="s">
        <v>1143</v>
      </c>
      <c r="J3177" s="25" t="s">
        <v>23</v>
      </c>
      <c r="K3177" s="25" t="s">
        <v>9</v>
      </c>
      <c r="L3177" s="25" t="s">
        <v>30</v>
      </c>
      <c r="M3177" s="25" t="s">
        <v>30</v>
      </c>
      <c r="N3177" s="25" t="s">
        <v>37</v>
      </c>
    </row>
    <row r="3178">
      <c r="A3178" s="172"/>
      <c r="B3178" s="171" t="s">
        <v>527</v>
      </c>
      <c r="C3178" s="171" t="s">
        <v>19</v>
      </c>
      <c r="D3178" s="279" t="s">
        <v>1137</v>
      </c>
      <c r="E3178" s="240">
        <v>43596.0</v>
      </c>
      <c r="F3178" s="21" t="str">
        <f t="shared" si="246"/>
        <v>May-2019</v>
      </c>
      <c r="G3178" s="32" t="s">
        <v>25</v>
      </c>
      <c r="H3178" s="25" t="s">
        <v>35</v>
      </c>
      <c r="I3178" s="25" t="s">
        <v>1143</v>
      </c>
      <c r="J3178" s="25" t="s">
        <v>23</v>
      </c>
      <c r="K3178" s="25" t="s">
        <v>9</v>
      </c>
      <c r="L3178" s="25" t="s">
        <v>30</v>
      </c>
      <c r="M3178" s="25"/>
      <c r="N3178" s="25" t="s">
        <v>99</v>
      </c>
    </row>
    <row r="3179">
      <c r="A3179" s="172"/>
      <c r="B3179" s="171" t="s">
        <v>527</v>
      </c>
      <c r="C3179" s="171" t="s">
        <v>19</v>
      </c>
      <c r="D3179" s="279" t="s">
        <v>1137</v>
      </c>
      <c r="E3179" s="240">
        <v>43596.0</v>
      </c>
      <c r="F3179" s="21" t="str">
        <f t="shared" si="246"/>
        <v>May-2019</v>
      </c>
      <c r="G3179" s="32" t="s">
        <v>20</v>
      </c>
      <c r="H3179" s="25" t="s">
        <v>35</v>
      </c>
      <c r="I3179" s="25" t="s">
        <v>771</v>
      </c>
      <c r="J3179" s="25" t="s">
        <v>64</v>
      </c>
      <c r="K3179" s="25" t="s">
        <v>9</v>
      </c>
      <c r="L3179" s="25" t="s">
        <v>24</v>
      </c>
      <c r="M3179" s="25" t="s">
        <v>24</v>
      </c>
      <c r="N3179" s="25" t="s">
        <v>98</v>
      </c>
    </row>
    <row r="3180">
      <c r="A3180" s="172"/>
      <c r="B3180" s="171" t="s">
        <v>527</v>
      </c>
      <c r="C3180" s="171" t="s">
        <v>19</v>
      </c>
      <c r="D3180" s="279" t="s">
        <v>1137</v>
      </c>
      <c r="E3180" s="240">
        <v>43596.0</v>
      </c>
      <c r="F3180" s="21" t="str">
        <f t="shared" si="246"/>
        <v>May-2019</v>
      </c>
      <c r="G3180" s="32" t="s">
        <v>25</v>
      </c>
      <c r="H3180" s="25" t="s">
        <v>35</v>
      </c>
      <c r="I3180" s="25" t="s">
        <v>771</v>
      </c>
      <c r="J3180" s="25" t="s">
        <v>64</v>
      </c>
      <c r="K3180" s="25" t="s">
        <v>9</v>
      </c>
      <c r="L3180" s="25" t="s">
        <v>30</v>
      </c>
      <c r="M3180" s="25"/>
      <c r="N3180" s="25" t="s">
        <v>106</v>
      </c>
    </row>
    <row r="3181">
      <c r="A3181" s="172"/>
      <c r="B3181" s="171" t="s">
        <v>527</v>
      </c>
      <c r="C3181" s="171" t="s">
        <v>19</v>
      </c>
      <c r="D3181" s="279" t="s">
        <v>1137</v>
      </c>
      <c r="E3181" s="240">
        <v>43596.0</v>
      </c>
      <c r="F3181" s="21" t="str">
        <f t="shared" si="246"/>
        <v>May-2019</v>
      </c>
      <c r="G3181" s="32" t="s">
        <v>32</v>
      </c>
      <c r="H3181" s="25" t="s">
        <v>35</v>
      </c>
      <c r="I3181" s="25" t="s">
        <v>771</v>
      </c>
      <c r="J3181" s="25" t="s">
        <v>64</v>
      </c>
      <c r="K3181" s="25" t="s">
        <v>9</v>
      </c>
      <c r="L3181" s="25" t="s">
        <v>24</v>
      </c>
      <c r="M3181" s="25"/>
      <c r="N3181" s="25" t="s">
        <v>99</v>
      </c>
    </row>
    <row r="3182">
      <c r="A3182" s="172"/>
      <c r="B3182" s="171" t="s">
        <v>527</v>
      </c>
      <c r="C3182" s="171" t="s">
        <v>19</v>
      </c>
      <c r="D3182" s="279" t="s">
        <v>1137</v>
      </c>
      <c r="E3182" s="240">
        <v>43596.0</v>
      </c>
      <c r="F3182" s="21" t="str">
        <f t="shared" si="246"/>
        <v>May-2019</v>
      </c>
      <c r="G3182" s="32" t="s">
        <v>20</v>
      </c>
      <c r="H3182" s="25" t="s">
        <v>35</v>
      </c>
      <c r="I3182" s="25" t="s">
        <v>78</v>
      </c>
      <c r="J3182" s="25" t="s">
        <v>9</v>
      </c>
      <c r="K3182" s="25" t="s">
        <v>9</v>
      </c>
      <c r="L3182" s="25" t="s">
        <v>24</v>
      </c>
      <c r="M3182" s="25" t="s">
        <v>30</v>
      </c>
      <c r="N3182" s="25" t="s">
        <v>98</v>
      </c>
    </row>
    <row r="3183">
      <c r="A3183" s="172"/>
      <c r="B3183" s="171" t="s">
        <v>527</v>
      </c>
      <c r="C3183" s="171" t="s">
        <v>19</v>
      </c>
      <c r="D3183" s="279" t="s">
        <v>1137</v>
      </c>
      <c r="E3183" s="240">
        <v>43596.0</v>
      </c>
      <c r="F3183" s="21" t="str">
        <f t="shared" si="246"/>
        <v>May-2019</v>
      </c>
      <c r="G3183" s="32" t="s">
        <v>25</v>
      </c>
      <c r="H3183" s="25" t="s">
        <v>35</v>
      </c>
      <c r="I3183" s="25" t="s">
        <v>78</v>
      </c>
      <c r="J3183" s="25" t="s">
        <v>9</v>
      </c>
      <c r="K3183" s="25" t="s">
        <v>9</v>
      </c>
      <c r="L3183" s="25" t="s">
        <v>30</v>
      </c>
      <c r="M3183" s="25"/>
      <c r="N3183" s="25" t="s">
        <v>69</v>
      </c>
    </row>
    <row r="3184">
      <c r="A3184" s="172"/>
      <c r="B3184" s="171" t="s">
        <v>527</v>
      </c>
      <c r="C3184" s="171" t="s">
        <v>19</v>
      </c>
      <c r="D3184" s="279" t="s">
        <v>1137</v>
      </c>
      <c r="E3184" s="240">
        <v>43596.0</v>
      </c>
      <c r="F3184" s="21" t="str">
        <f t="shared" si="246"/>
        <v>May-2019</v>
      </c>
      <c r="G3184" s="32" t="s">
        <v>32</v>
      </c>
      <c r="H3184" s="25" t="s">
        <v>35</v>
      </c>
      <c r="I3184" s="25" t="s">
        <v>78</v>
      </c>
      <c r="J3184" s="25" t="s">
        <v>9</v>
      </c>
      <c r="K3184" s="25" t="s">
        <v>9</v>
      </c>
      <c r="L3184" s="25" t="s">
        <v>30</v>
      </c>
      <c r="M3184" s="25"/>
      <c r="N3184" s="25" t="s">
        <v>99</v>
      </c>
    </row>
    <row r="3185">
      <c r="A3185" s="172"/>
      <c r="B3185" s="171" t="s">
        <v>527</v>
      </c>
      <c r="C3185" s="171" t="s">
        <v>19</v>
      </c>
      <c r="D3185" s="279" t="s">
        <v>1137</v>
      </c>
      <c r="E3185" s="240">
        <v>43596.0</v>
      </c>
      <c r="F3185" s="21" t="str">
        <f t="shared" si="246"/>
        <v>May-2019</v>
      </c>
      <c r="G3185" s="32" t="s">
        <v>20</v>
      </c>
      <c r="H3185" s="25" t="s">
        <v>35</v>
      </c>
      <c r="I3185" s="25" t="s">
        <v>218</v>
      </c>
      <c r="J3185" s="25" t="s">
        <v>86</v>
      </c>
      <c r="K3185" s="25" t="s">
        <v>9</v>
      </c>
      <c r="L3185" s="25" t="s">
        <v>24</v>
      </c>
      <c r="M3185" s="25" t="s">
        <v>24</v>
      </c>
      <c r="N3185" s="25" t="s">
        <v>69</v>
      </c>
    </row>
    <row r="3186">
      <c r="A3186" s="172"/>
      <c r="B3186" s="171" t="s">
        <v>527</v>
      </c>
      <c r="C3186" s="171" t="s">
        <v>19</v>
      </c>
      <c r="D3186" s="279" t="s">
        <v>1137</v>
      </c>
      <c r="E3186" s="240">
        <v>43596.0</v>
      </c>
      <c r="F3186" s="21" t="str">
        <f t="shared" si="246"/>
        <v>May-2019</v>
      </c>
      <c r="G3186" s="32" t="s">
        <v>25</v>
      </c>
      <c r="H3186" s="25" t="s">
        <v>35</v>
      </c>
      <c r="I3186" s="25" t="s">
        <v>218</v>
      </c>
      <c r="J3186" s="25" t="s">
        <v>86</v>
      </c>
      <c r="K3186" s="25" t="s">
        <v>9</v>
      </c>
      <c r="L3186" s="25" t="s">
        <v>24</v>
      </c>
      <c r="M3186" s="25"/>
      <c r="N3186" s="25" t="s">
        <v>99</v>
      </c>
    </row>
    <row r="3187">
      <c r="A3187" s="172"/>
      <c r="B3187" s="171" t="s">
        <v>527</v>
      </c>
      <c r="C3187" s="171" t="s">
        <v>19</v>
      </c>
      <c r="D3187" s="279" t="s">
        <v>1137</v>
      </c>
      <c r="E3187" s="240">
        <v>43596.0</v>
      </c>
      <c r="F3187" s="21" t="str">
        <f t="shared" si="246"/>
        <v>May-2019</v>
      </c>
      <c r="G3187" s="32" t="s">
        <v>20</v>
      </c>
      <c r="H3187" s="25" t="s">
        <v>278</v>
      </c>
      <c r="I3187" s="25" t="s">
        <v>943</v>
      </c>
      <c r="J3187" s="25" t="s">
        <v>27</v>
      </c>
      <c r="K3187" s="25" t="s">
        <v>9</v>
      </c>
      <c r="L3187" s="25" t="s">
        <v>24</v>
      </c>
      <c r="M3187" s="25" t="s">
        <v>30</v>
      </c>
      <c r="N3187" s="25" t="s">
        <v>69</v>
      </c>
    </row>
    <row r="3188">
      <c r="A3188" s="172"/>
      <c r="B3188" s="171" t="s">
        <v>527</v>
      </c>
      <c r="C3188" s="171" t="s">
        <v>19</v>
      </c>
      <c r="D3188" s="279" t="s">
        <v>1137</v>
      </c>
      <c r="E3188" s="240">
        <v>43596.0</v>
      </c>
      <c r="F3188" s="21" t="str">
        <f t="shared" si="246"/>
        <v>May-2019</v>
      </c>
      <c r="G3188" s="32" t="s">
        <v>25</v>
      </c>
      <c r="H3188" s="25" t="s">
        <v>278</v>
      </c>
      <c r="I3188" s="25" t="s">
        <v>943</v>
      </c>
      <c r="J3188" s="25" t="s">
        <v>27</v>
      </c>
      <c r="K3188" s="25" t="s">
        <v>9</v>
      </c>
      <c r="L3188" s="25" t="s">
        <v>30</v>
      </c>
      <c r="M3188" s="25"/>
      <c r="N3188" s="25" t="s">
        <v>106</v>
      </c>
    </row>
    <row r="3189">
      <c r="A3189" s="172"/>
      <c r="B3189" s="171" t="s">
        <v>527</v>
      </c>
      <c r="C3189" s="171" t="s">
        <v>19</v>
      </c>
      <c r="D3189" s="279" t="s">
        <v>1137</v>
      </c>
      <c r="E3189" s="240">
        <v>43596.0</v>
      </c>
      <c r="F3189" s="21" t="str">
        <f t="shared" si="246"/>
        <v>May-2019</v>
      </c>
      <c r="G3189" s="32" t="s">
        <v>32</v>
      </c>
      <c r="H3189" s="25" t="s">
        <v>278</v>
      </c>
      <c r="I3189" s="25" t="s">
        <v>943</v>
      </c>
      <c r="J3189" s="25" t="s">
        <v>27</v>
      </c>
      <c r="K3189" s="25" t="s">
        <v>9</v>
      </c>
      <c r="L3189" s="25" t="s">
        <v>30</v>
      </c>
      <c r="M3189" s="25"/>
      <c r="N3189" s="25" t="s">
        <v>98</v>
      </c>
    </row>
    <row r="3190">
      <c r="A3190" s="172"/>
      <c r="B3190" s="171" t="s">
        <v>527</v>
      </c>
      <c r="C3190" s="171" t="s">
        <v>19</v>
      </c>
      <c r="D3190" s="279" t="s">
        <v>1137</v>
      </c>
      <c r="E3190" s="240">
        <v>43596.0</v>
      </c>
      <c r="F3190" s="21" t="str">
        <f t="shared" si="246"/>
        <v>May-2019</v>
      </c>
      <c r="G3190" s="32" t="s">
        <v>20</v>
      </c>
      <c r="H3190" s="25" t="s">
        <v>278</v>
      </c>
      <c r="I3190" s="25" t="s">
        <v>911</v>
      </c>
      <c r="J3190" s="25" t="s">
        <v>44</v>
      </c>
      <c r="K3190" s="25" t="s">
        <v>9</v>
      </c>
      <c r="L3190" s="25" t="s">
        <v>24</v>
      </c>
      <c r="M3190" s="25" t="s">
        <v>24</v>
      </c>
      <c r="N3190" s="25" t="s">
        <v>37</v>
      </c>
    </row>
    <row r="3191">
      <c r="A3191" s="172"/>
      <c r="B3191" s="171" t="s">
        <v>527</v>
      </c>
      <c r="C3191" s="171" t="s">
        <v>19</v>
      </c>
      <c r="D3191" s="279" t="s">
        <v>1137</v>
      </c>
      <c r="E3191" s="240">
        <v>43596.0</v>
      </c>
      <c r="F3191" s="21" t="str">
        <f t="shared" si="246"/>
        <v>May-2019</v>
      </c>
      <c r="G3191" s="32" t="s">
        <v>25</v>
      </c>
      <c r="H3191" s="25" t="s">
        <v>278</v>
      </c>
      <c r="I3191" s="25" t="s">
        <v>911</v>
      </c>
      <c r="J3191" s="25" t="s">
        <v>44</v>
      </c>
      <c r="K3191" s="25" t="s">
        <v>9</v>
      </c>
      <c r="L3191" s="25" t="s">
        <v>24</v>
      </c>
      <c r="M3191" s="25"/>
      <c r="N3191" s="25" t="s">
        <v>69</v>
      </c>
    </row>
    <row r="3192">
      <c r="A3192" s="172"/>
      <c r="B3192" s="171" t="s">
        <v>527</v>
      </c>
      <c r="C3192" s="171" t="s">
        <v>19</v>
      </c>
      <c r="D3192" s="279" t="s">
        <v>1137</v>
      </c>
      <c r="E3192" s="240">
        <v>43596.0</v>
      </c>
      <c r="F3192" s="21" t="str">
        <f t="shared" si="246"/>
        <v>May-2019</v>
      </c>
      <c r="G3192" s="32" t="s">
        <v>20</v>
      </c>
      <c r="H3192" s="25" t="s">
        <v>278</v>
      </c>
      <c r="I3192" s="25" t="s">
        <v>1142</v>
      </c>
      <c r="J3192" s="25" t="s">
        <v>27</v>
      </c>
      <c r="K3192" s="25" t="s">
        <v>9</v>
      </c>
      <c r="L3192" s="25" t="s">
        <v>30</v>
      </c>
      <c r="M3192" s="25" t="s">
        <v>30</v>
      </c>
      <c r="N3192" s="25" t="s">
        <v>37</v>
      </c>
    </row>
    <row r="3193">
      <c r="A3193" s="172"/>
      <c r="B3193" s="171" t="s">
        <v>527</v>
      </c>
      <c r="C3193" s="171" t="s">
        <v>19</v>
      </c>
      <c r="D3193" s="279" t="s">
        <v>1137</v>
      </c>
      <c r="E3193" s="240">
        <v>43596.0</v>
      </c>
      <c r="F3193" s="21" t="str">
        <f t="shared" si="246"/>
        <v>May-2019</v>
      </c>
      <c r="G3193" s="32" t="s">
        <v>25</v>
      </c>
      <c r="H3193" s="25" t="s">
        <v>278</v>
      </c>
      <c r="I3193" s="25" t="s">
        <v>1142</v>
      </c>
      <c r="J3193" s="25" t="s">
        <v>27</v>
      </c>
      <c r="K3193" s="25" t="s">
        <v>9</v>
      </c>
      <c r="L3193" s="25" t="s">
        <v>24</v>
      </c>
      <c r="M3193" s="25"/>
      <c r="N3193" s="25" t="s">
        <v>29</v>
      </c>
    </row>
    <row r="3194">
      <c r="A3194" s="172"/>
      <c r="B3194" s="171" t="s">
        <v>527</v>
      </c>
      <c r="C3194" s="171" t="s">
        <v>19</v>
      </c>
      <c r="D3194" s="279" t="s">
        <v>1137</v>
      </c>
      <c r="E3194" s="240">
        <v>43596.0</v>
      </c>
      <c r="F3194" s="21" t="str">
        <f t="shared" si="246"/>
        <v>May-2019</v>
      </c>
      <c r="G3194" s="32" t="s">
        <v>32</v>
      </c>
      <c r="H3194" s="25" t="s">
        <v>278</v>
      </c>
      <c r="I3194" s="25" t="s">
        <v>1142</v>
      </c>
      <c r="J3194" s="25" t="s">
        <v>27</v>
      </c>
      <c r="K3194" s="25" t="s">
        <v>9</v>
      </c>
      <c r="L3194" s="25" t="s">
        <v>30</v>
      </c>
      <c r="M3194" s="25"/>
      <c r="N3194" s="25" t="s">
        <v>106</v>
      </c>
    </row>
    <row r="3195">
      <c r="A3195" s="172"/>
      <c r="B3195" s="171" t="s">
        <v>527</v>
      </c>
      <c r="C3195" s="171" t="s">
        <v>19</v>
      </c>
      <c r="D3195" s="279" t="s">
        <v>1137</v>
      </c>
      <c r="E3195" s="240">
        <v>43596.0</v>
      </c>
      <c r="F3195" s="21" t="str">
        <f t="shared" si="246"/>
        <v>May-2019</v>
      </c>
      <c r="G3195" t="s">
        <v>146</v>
      </c>
      <c r="H3195" s="25" t="s">
        <v>278</v>
      </c>
      <c r="I3195" s="25" t="s">
        <v>1144</v>
      </c>
      <c r="J3195" s="25" t="s">
        <v>64</v>
      </c>
      <c r="K3195" s="25" t="s">
        <v>9</v>
      </c>
      <c r="L3195" s="25" t="s">
        <v>24</v>
      </c>
      <c r="M3195" s="25" t="s">
        <v>30</v>
      </c>
      <c r="N3195" s="25" t="s">
        <v>98</v>
      </c>
    </row>
    <row r="3196">
      <c r="A3196" s="172"/>
      <c r="B3196" s="171" t="s">
        <v>527</v>
      </c>
      <c r="C3196" s="171" t="s">
        <v>19</v>
      </c>
      <c r="D3196" s="279" t="s">
        <v>1137</v>
      </c>
      <c r="E3196" s="240">
        <v>43596.0</v>
      </c>
      <c r="F3196" s="21" t="str">
        <f t="shared" si="246"/>
        <v>May-2019</v>
      </c>
      <c r="G3196" t="s">
        <v>149</v>
      </c>
      <c r="H3196" s="25" t="s">
        <v>278</v>
      </c>
      <c r="I3196" s="25" t="s">
        <v>1144</v>
      </c>
      <c r="J3196" s="25" t="s">
        <v>64</v>
      </c>
      <c r="K3196" s="25" t="s">
        <v>9</v>
      </c>
      <c r="L3196" s="25" t="s">
        <v>30</v>
      </c>
      <c r="M3196" s="25"/>
      <c r="N3196" s="25" t="s">
        <v>106</v>
      </c>
    </row>
    <row r="3197">
      <c r="A3197" s="172"/>
      <c r="B3197" s="171" t="s">
        <v>527</v>
      </c>
      <c r="C3197" s="171" t="s">
        <v>19</v>
      </c>
      <c r="D3197" s="279" t="s">
        <v>1137</v>
      </c>
      <c r="E3197" s="240">
        <v>43596.0</v>
      </c>
      <c r="F3197" s="21" t="str">
        <f t="shared" si="246"/>
        <v>May-2019</v>
      </c>
      <c r="G3197" t="s">
        <v>222</v>
      </c>
      <c r="H3197" s="25" t="s">
        <v>278</v>
      </c>
      <c r="I3197" s="25" t="s">
        <v>1144</v>
      </c>
      <c r="J3197" s="25" t="s">
        <v>64</v>
      </c>
      <c r="K3197" s="25" t="s">
        <v>9</v>
      </c>
      <c r="L3197" s="25" t="s">
        <v>30</v>
      </c>
      <c r="M3197" s="25"/>
      <c r="N3197" s="25" t="s">
        <v>69</v>
      </c>
    </row>
    <row r="3198">
      <c r="A3198" s="172"/>
      <c r="B3198" s="171" t="s">
        <v>527</v>
      </c>
      <c r="C3198" s="171" t="s">
        <v>19</v>
      </c>
      <c r="D3198" s="279" t="s">
        <v>1137</v>
      </c>
      <c r="E3198" s="240">
        <v>43596.0</v>
      </c>
      <c r="F3198" s="21" t="str">
        <f t="shared" si="246"/>
        <v>May-2019</v>
      </c>
      <c r="G3198" t="s">
        <v>467</v>
      </c>
      <c r="H3198" s="25" t="s">
        <v>278</v>
      </c>
      <c r="I3198" s="25" t="s">
        <v>1144</v>
      </c>
      <c r="J3198" s="25" t="s">
        <v>64</v>
      </c>
      <c r="K3198" s="25" t="s">
        <v>9</v>
      </c>
      <c r="L3198" s="25" t="s">
        <v>24</v>
      </c>
      <c r="M3198" s="25"/>
      <c r="N3198" s="25" t="s">
        <v>29</v>
      </c>
    </row>
    <row r="3199">
      <c r="A3199" s="172"/>
      <c r="B3199" s="171" t="s">
        <v>527</v>
      </c>
      <c r="C3199" s="171" t="s">
        <v>19</v>
      </c>
      <c r="D3199" s="279" t="s">
        <v>1137</v>
      </c>
      <c r="E3199" s="240">
        <v>43596.0</v>
      </c>
      <c r="F3199" s="21" t="str">
        <f t="shared" si="246"/>
        <v>May-2019</v>
      </c>
      <c r="G3199" s="25" t="s">
        <v>480</v>
      </c>
      <c r="H3199" s="25" t="s">
        <v>278</v>
      </c>
      <c r="I3199" s="25" t="s">
        <v>1144</v>
      </c>
      <c r="J3199" s="25" t="s">
        <v>64</v>
      </c>
      <c r="K3199" s="25" t="s">
        <v>9</v>
      </c>
      <c r="L3199" s="25" t="s">
        <v>30</v>
      </c>
      <c r="M3199" s="25"/>
      <c r="N3199" s="25" t="s">
        <v>29</v>
      </c>
    </row>
    <row r="3200">
      <c r="A3200" s="172"/>
      <c r="B3200" s="171" t="s">
        <v>527</v>
      </c>
      <c r="C3200" s="171" t="s">
        <v>19</v>
      </c>
      <c r="D3200" s="279" t="s">
        <v>1137</v>
      </c>
      <c r="E3200" s="240">
        <v>43596.0</v>
      </c>
      <c r="F3200" s="21" t="str">
        <f t="shared" si="246"/>
        <v>May-2019</v>
      </c>
      <c r="G3200" t="s">
        <v>146</v>
      </c>
      <c r="H3200" s="25" t="s">
        <v>278</v>
      </c>
      <c r="I3200" s="25" t="s">
        <v>464</v>
      </c>
      <c r="J3200" s="25" t="s">
        <v>27</v>
      </c>
      <c r="K3200" s="25" t="s">
        <v>9</v>
      </c>
      <c r="L3200" s="25" t="s">
        <v>24</v>
      </c>
      <c r="M3200" s="25" t="s">
        <v>30</v>
      </c>
      <c r="N3200" s="25" t="s">
        <v>37</v>
      </c>
    </row>
    <row r="3201">
      <c r="A3201" s="172"/>
      <c r="B3201" s="171" t="s">
        <v>527</v>
      </c>
      <c r="C3201" s="171" t="s">
        <v>19</v>
      </c>
      <c r="D3201" s="279" t="s">
        <v>1137</v>
      </c>
      <c r="E3201" s="240">
        <v>43596.0</v>
      </c>
      <c r="F3201" s="21" t="str">
        <f t="shared" si="246"/>
        <v>May-2019</v>
      </c>
      <c r="G3201" t="s">
        <v>149</v>
      </c>
      <c r="H3201" s="25" t="s">
        <v>278</v>
      </c>
      <c r="I3201" s="25" t="s">
        <v>464</v>
      </c>
      <c r="J3201" s="25" t="s">
        <v>27</v>
      </c>
      <c r="K3201" s="25" t="s">
        <v>9</v>
      </c>
      <c r="L3201" s="25" t="s">
        <v>30</v>
      </c>
      <c r="M3201" s="25"/>
      <c r="N3201" s="25" t="s">
        <v>98</v>
      </c>
    </row>
    <row r="3202">
      <c r="A3202" s="172"/>
      <c r="B3202" s="171" t="s">
        <v>527</v>
      </c>
      <c r="C3202" s="171" t="s">
        <v>19</v>
      </c>
      <c r="D3202" s="279" t="s">
        <v>1137</v>
      </c>
      <c r="E3202" s="240">
        <v>43596.0</v>
      </c>
      <c r="F3202" s="21" t="str">
        <f t="shared" si="246"/>
        <v>May-2019</v>
      </c>
      <c r="G3202" t="s">
        <v>222</v>
      </c>
      <c r="H3202" s="25" t="s">
        <v>278</v>
      </c>
      <c r="I3202" s="25" t="s">
        <v>464</v>
      </c>
      <c r="J3202" s="25" t="s">
        <v>27</v>
      </c>
      <c r="K3202" s="25" t="s">
        <v>9</v>
      </c>
      <c r="L3202" s="25" t="s">
        <v>24</v>
      </c>
      <c r="M3202" s="25"/>
      <c r="N3202" s="25" t="s">
        <v>29</v>
      </c>
    </row>
    <row r="3203">
      <c r="A3203" s="172"/>
      <c r="B3203" s="171" t="s">
        <v>527</v>
      </c>
      <c r="C3203" s="171" t="s">
        <v>19</v>
      </c>
      <c r="D3203" s="279" t="s">
        <v>1137</v>
      </c>
      <c r="E3203" s="240">
        <v>43596.0</v>
      </c>
      <c r="F3203" s="21" t="str">
        <f t="shared" si="246"/>
        <v>May-2019</v>
      </c>
      <c r="G3203" t="s">
        <v>467</v>
      </c>
      <c r="H3203" s="25" t="s">
        <v>278</v>
      </c>
      <c r="I3203" s="25" t="s">
        <v>464</v>
      </c>
      <c r="J3203" s="25" t="s">
        <v>27</v>
      </c>
      <c r="K3203" s="25" t="s">
        <v>9</v>
      </c>
      <c r="L3203" s="25" t="s">
        <v>30</v>
      </c>
      <c r="M3203" s="25"/>
      <c r="N3203" s="25" t="s">
        <v>106</v>
      </c>
    </row>
    <row r="3204">
      <c r="A3204" s="172"/>
      <c r="B3204" s="171" t="s">
        <v>527</v>
      </c>
      <c r="C3204" s="171" t="s">
        <v>19</v>
      </c>
      <c r="D3204" s="279" t="s">
        <v>1137</v>
      </c>
      <c r="E3204" s="240">
        <v>43596.0</v>
      </c>
      <c r="F3204" s="21" t="str">
        <f t="shared" si="246"/>
        <v>May-2019</v>
      </c>
      <c r="G3204" s="25" t="s">
        <v>480</v>
      </c>
      <c r="H3204" s="25" t="s">
        <v>278</v>
      </c>
      <c r="I3204" s="25" t="s">
        <v>464</v>
      </c>
      <c r="J3204" s="25" t="s">
        <v>27</v>
      </c>
      <c r="K3204" s="25" t="s">
        <v>9</v>
      </c>
      <c r="L3204" s="25" t="s">
        <v>30</v>
      </c>
      <c r="M3204" s="25"/>
      <c r="N3204" s="25" t="s">
        <v>99</v>
      </c>
    </row>
    <row r="3205">
      <c r="A3205" s="172"/>
      <c r="B3205" s="171" t="s">
        <v>527</v>
      </c>
      <c r="C3205" s="171" t="s">
        <v>19</v>
      </c>
      <c r="D3205" s="279" t="s">
        <v>1137</v>
      </c>
      <c r="E3205" s="240">
        <v>43596.0</v>
      </c>
      <c r="F3205" s="21" t="str">
        <f t="shared" si="246"/>
        <v>May-2019</v>
      </c>
      <c r="G3205" t="s">
        <v>146</v>
      </c>
      <c r="H3205" s="25" t="s">
        <v>278</v>
      </c>
      <c r="I3205" s="25" t="s">
        <v>943</v>
      </c>
      <c r="J3205" s="25" t="s">
        <v>27</v>
      </c>
      <c r="K3205" s="25" t="s">
        <v>9</v>
      </c>
      <c r="L3205" s="25" t="s">
        <v>24</v>
      </c>
      <c r="M3205" s="25" t="s">
        <v>30</v>
      </c>
      <c r="N3205" s="25" t="s">
        <v>69</v>
      </c>
    </row>
    <row r="3206">
      <c r="A3206" s="172"/>
      <c r="B3206" s="171" t="s">
        <v>527</v>
      </c>
      <c r="C3206" s="171" t="s">
        <v>19</v>
      </c>
      <c r="D3206" s="279" t="s">
        <v>1137</v>
      </c>
      <c r="E3206" s="240">
        <v>43596.0</v>
      </c>
      <c r="F3206" s="21" t="str">
        <f t="shared" si="246"/>
        <v>May-2019</v>
      </c>
      <c r="G3206" t="s">
        <v>149</v>
      </c>
      <c r="H3206" s="25" t="s">
        <v>278</v>
      </c>
      <c r="I3206" s="25" t="s">
        <v>943</v>
      </c>
      <c r="J3206" s="25" t="s">
        <v>27</v>
      </c>
      <c r="K3206" s="25" t="s">
        <v>9</v>
      </c>
      <c r="L3206" s="25" t="s">
        <v>24</v>
      </c>
      <c r="M3206" s="25"/>
      <c r="N3206" s="25" t="s">
        <v>98</v>
      </c>
    </row>
    <row r="3207">
      <c r="A3207" s="172"/>
      <c r="B3207" s="171" t="s">
        <v>527</v>
      </c>
      <c r="C3207" s="171" t="s">
        <v>19</v>
      </c>
      <c r="D3207" s="279" t="s">
        <v>1137</v>
      </c>
      <c r="E3207" s="240">
        <v>43596.0</v>
      </c>
      <c r="F3207" s="21" t="str">
        <f t="shared" si="246"/>
        <v>May-2019</v>
      </c>
      <c r="G3207" t="s">
        <v>222</v>
      </c>
      <c r="H3207" s="25" t="s">
        <v>278</v>
      </c>
      <c r="I3207" s="25" t="s">
        <v>943</v>
      </c>
      <c r="J3207" s="25" t="s">
        <v>27</v>
      </c>
      <c r="K3207" s="25" t="s">
        <v>9</v>
      </c>
      <c r="L3207" s="25" t="s">
        <v>30</v>
      </c>
      <c r="M3207" s="25"/>
      <c r="N3207" s="25" t="s">
        <v>106</v>
      </c>
    </row>
    <row r="3208">
      <c r="A3208" s="172"/>
      <c r="B3208" s="171" t="s">
        <v>527</v>
      </c>
      <c r="C3208" s="171" t="s">
        <v>19</v>
      </c>
      <c r="D3208" s="279" t="s">
        <v>1137</v>
      </c>
      <c r="E3208" s="240">
        <v>43596.0</v>
      </c>
      <c r="F3208" s="21" t="str">
        <f t="shared" si="246"/>
        <v>May-2019</v>
      </c>
      <c r="G3208" t="s">
        <v>467</v>
      </c>
      <c r="H3208" s="25" t="s">
        <v>278</v>
      </c>
      <c r="I3208" s="25" t="s">
        <v>943</v>
      </c>
      <c r="J3208" s="25" t="s">
        <v>27</v>
      </c>
      <c r="K3208" s="25" t="s">
        <v>9</v>
      </c>
      <c r="L3208" s="25" t="s">
        <v>30</v>
      </c>
      <c r="M3208" s="25"/>
      <c r="N3208" s="25" t="s">
        <v>99</v>
      </c>
    </row>
    <row r="3209">
      <c r="A3209" s="172"/>
      <c r="B3209" s="171" t="s">
        <v>527</v>
      </c>
      <c r="C3209" s="171" t="s">
        <v>19</v>
      </c>
      <c r="D3209" s="279" t="s">
        <v>1137</v>
      </c>
      <c r="E3209" s="240">
        <v>43596.0</v>
      </c>
      <c r="F3209" s="21" t="str">
        <f t="shared" si="246"/>
        <v>May-2019</v>
      </c>
      <c r="G3209" s="25" t="s">
        <v>480</v>
      </c>
      <c r="H3209" s="25" t="s">
        <v>278</v>
      </c>
      <c r="I3209" s="25" t="s">
        <v>943</v>
      </c>
      <c r="J3209" s="25" t="s">
        <v>27</v>
      </c>
      <c r="K3209" s="25" t="s">
        <v>9</v>
      </c>
      <c r="L3209" s="25" t="s">
        <v>30</v>
      </c>
      <c r="M3209" s="25"/>
      <c r="N3209" s="25" t="s">
        <v>99</v>
      </c>
    </row>
    <row r="3210">
      <c r="A3210" s="172"/>
      <c r="B3210" s="171" t="s">
        <v>527</v>
      </c>
      <c r="C3210" s="171" t="s">
        <v>19</v>
      </c>
      <c r="D3210" s="279" t="s">
        <v>1137</v>
      </c>
      <c r="E3210" s="240">
        <v>43596.0</v>
      </c>
      <c r="F3210" s="21" t="str">
        <f t="shared" si="246"/>
        <v>May-2019</v>
      </c>
      <c r="G3210" t="s">
        <v>146</v>
      </c>
      <c r="H3210" s="25" t="s">
        <v>278</v>
      </c>
      <c r="I3210" s="25" t="s">
        <v>911</v>
      </c>
      <c r="J3210" s="25" t="s">
        <v>44</v>
      </c>
      <c r="K3210" s="25" t="s">
        <v>9</v>
      </c>
      <c r="L3210" s="25" t="s">
        <v>24</v>
      </c>
      <c r="M3210" s="25" t="s">
        <v>24</v>
      </c>
      <c r="N3210" s="25" t="s">
        <v>37</v>
      </c>
    </row>
    <row r="3211">
      <c r="A3211" s="172"/>
      <c r="B3211" s="171" t="s">
        <v>527</v>
      </c>
      <c r="C3211" s="171" t="s">
        <v>19</v>
      </c>
      <c r="D3211" s="279" t="s">
        <v>1137</v>
      </c>
      <c r="E3211" s="240">
        <v>43596.0</v>
      </c>
      <c r="F3211" s="21" t="str">
        <f t="shared" si="246"/>
        <v>May-2019</v>
      </c>
      <c r="G3211" t="s">
        <v>149</v>
      </c>
      <c r="H3211" s="25" t="s">
        <v>278</v>
      </c>
      <c r="I3211" s="25" t="s">
        <v>911</v>
      </c>
      <c r="J3211" s="25" t="s">
        <v>44</v>
      </c>
      <c r="K3211" s="25" t="s">
        <v>9</v>
      </c>
      <c r="L3211" s="25" t="s">
        <v>30</v>
      </c>
      <c r="M3211" s="25"/>
      <c r="N3211" s="25" t="s">
        <v>106</v>
      </c>
    </row>
    <row r="3212">
      <c r="A3212" s="172"/>
      <c r="B3212" s="171" t="s">
        <v>527</v>
      </c>
      <c r="C3212" s="171" t="s">
        <v>19</v>
      </c>
      <c r="D3212" s="279" t="s">
        <v>1137</v>
      </c>
      <c r="E3212" s="240">
        <v>43596.0</v>
      </c>
      <c r="F3212" s="21" t="str">
        <f t="shared" si="246"/>
        <v>May-2019</v>
      </c>
      <c r="G3212" t="s">
        <v>222</v>
      </c>
      <c r="H3212" s="25" t="s">
        <v>278</v>
      </c>
      <c r="I3212" s="25" t="s">
        <v>911</v>
      </c>
      <c r="J3212" s="25" t="s">
        <v>44</v>
      </c>
      <c r="K3212" s="25" t="s">
        <v>9</v>
      </c>
      <c r="L3212" s="25" t="s">
        <v>24</v>
      </c>
      <c r="M3212" s="25"/>
      <c r="N3212" s="25" t="s">
        <v>98</v>
      </c>
    </row>
    <row r="3213">
      <c r="A3213" s="172"/>
      <c r="B3213" s="171" t="s">
        <v>527</v>
      </c>
      <c r="C3213" s="171" t="s">
        <v>19</v>
      </c>
      <c r="D3213" s="279" t="s">
        <v>1137</v>
      </c>
      <c r="E3213" s="240">
        <v>43596.0</v>
      </c>
      <c r="F3213" s="21" t="str">
        <f t="shared" si="246"/>
        <v>May-2019</v>
      </c>
      <c r="G3213" t="s">
        <v>467</v>
      </c>
      <c r="H3213" s="25" t="s">
        <v>278</v>
      </c>
      <c r="I3213" s="25" t="s">
        <v>911</v>
      </c>
      <c r="J3213" s="25" t="s">
        <v>44</v>
      </c>
      <c r="K3213" s="25" t="s">
        <v>9</v>
      </c>
      <c r="L3213" s="25" t="s">
        <v>24</v>
      </c>
      <c r="M3213" s="25"/>
      <c r="N3213" s="25" t="s">
        <v>69</v>
      </c>
    </row>
    <row r="3214">
      <c r="A3214" s="94"/>
      <c r="F3214" s="21"/>
    </row>
    <row r="3215">
      <c r="A3215" s="279" t="s">
        <v>1145</v>
      </c>
      <c r="B3215" s="171" t="s">
        <v>1146</v>
      </c>
      <c r="C3215" s="171" t="s">
        <v>74</v>
      </c>
      <c r="D3215" s="279" t="s">
        <v>1145</v>
      </c>
      <c r="E3215" s="240">
        <v>43603.0</v>
      </c>
      <c r="F3215" s="21" t="str">
        <f t="shared" ref="F3215:F3232" si="247">TEXT(E3207:E3215, "mmm") &amp; "-" &amp; TEXT(E3207:E3215, "yyyy") </f>
        <v>May-2019</v>
      </c>
      <c r="G3215" s="32" t="s">
        <v>20</v>
      </c>
      <c r="H3215" s="25" t="s">
        <v>35</v>
      </c>
      <c r="I3215" s="25" t="s">
        <v>1147</v>
      </c>
      <c r="J3215" s="25" t="s">
        <v>40</v>
      </c>
      <c r="K3215" s="25" t="s">
        <v>9</v>
      </c>
      <c r="L3215" s="25" t="s">
        <v>30</v>
      </c>
      <c r="M3215" s="25" t="s">
        <v>30</v>
      </c>
      <c r="N3215" s="25" t="s">
        <v>98</v>
      </c>
    </row>
    <row r="3216">
      <c r="A3216" s="171" t="s">
        <v>1146</v>
      </c>
      <c r="B3216" s="171" t="s">
        <v>1146</v>
      </c>
      <c r="C3216" s="171" t="s">
        <v>74</v>
      </c>
      <c r="D3216" s="279" t="s">
        <v>1145</v>
      </c>
      <c r="E3216" s="240">
        <v>43603.0</v>
      </c>
      <c r="F3216" s="21" t="str">
        <f t="shared" si="247"/>
        <v>May-2019</v>
      </c>
      <c r="G3216" s="32" t="s">
        <v>25</v>
      </c>
      <c r="H3216" s="25" t="s">
        <v>35</v>
      </c>
      <c r="I3216" s="25" t="s">
        <v>1147</v>
      </c>
      <c r="J3216" s="25" t="s">
        <v>40</v>
      </c>
      <c r="K3216" s="25" t="s">
        <v>9</v>
      </c>
      <c r="L3216" s="25" t="s">
        <v>30</v>
      </c>
      <c r="M3216" s="25"/>
      <c r="N3216" s="25" t="s">
        <v>69</v>
      </c>
    </row>
    <row r="3217">
      <c r="A3217" s="171" t="s">
        <v>1148</v>
      </c>
      <c r="B3217" s="171" t="s">
        <v>1146</v>
      </c>
      <c r="C3217" s="171" t="s">
        <v>74</v>
      </c>
      <c r="D3217" s="279" t="s">
        <v>1145</v>
      </c>
      <c r="E3217" s="240">
        <v>43603.0</v>
      </c>
      <c r="F3217" s="21" t="str">
        <f t="shared" si="247"/>
        <v>May-2019</v>
      </c>
      <c r="G3217" s="32" t="s">
        <v>20</v>
      </c>
      <c r="H3217" s="25" t="s">
        <v>35</v>
      </c>
      <c r="I3217" s="25" t="s">
        <v>1149</v>
      </c>
      <c r="J3217" s="25" t="s">
        <v>9</v>
      </c>
      <c r="K3217" s="25" t="s">
        <v>9</v>
      </c>
      <c r="L3217" s="25" t="s">
        <v>30</v>
      </c>
      <c r="M3217" s="25" t="s">
        <v>30</v>
      </c>
      <c r="N3217" s="25" t="s">
        <v>98</v>
      </c>
    </row>
    <row r="3218">
      <c r="A3218" s="240">
        <v>43603.0</v>
      </c>
      <c r="B3218" s="171" t="s">
        <v>1146</v>
      </c>
      <c r="C3218" s="171" t="s">
        <v>74</v>
      </c>
      <c r="D3218" s="279" t="s">
        <v>1145</v>
      </c>
      <c r="E3218" s="240">
        <v>43603.0</v>
      </c>
      <c r="F3218" s="21" t="str">
        <f t="shared" si="247"/>
        <v>May-2019</v>
      </c>
      <c r="G3218" s="32" t="s">
        <v>25</v>
      </c>
      <c r="H3218" s="25" t="s">
        <v>35</v>
      </c>
      <c r="I3218" s="25" t="s">
        <v>1149</v>
      </c>
      <c r="J3218" s="25" t="s">
        <v>27</v>
      </c>
      <c r="K3218" s="25" t="s">
        <v>9</v>
      </c>
      <c r="L3218" s="25" t="s">
        <v>30</v>
      </c>
      <c r="M3218" s="25"/>
      <c r="N3218" s="25" t="s">
        <v>69</v>
      </c>
    </row>
    <row r="3219">
      <c r="A3219" s="171" t="s">
        <v>74</v>
      </c>
      <c r="B3219" s="171" t="s">
        <v>1146</v>
      </c>
      <c r="C3219" s="171" t="s">
        <v>74</v>
      </c>
      <c r="D3219" s="279" t="s">
        <v>1145</v>
      </c>
      <c r="E3219" s="240">
        <v>43603.0</v>
      </c>
      <c r="F3219" s="21" t="str">
        <f t="shared" si="247"/>
        <v>May-2019</v>
      </c>
      <c r="G3219" t="s">
        <v>146</v>
      </c>
      <c r="H3219" s="25" t="s">
        <v>35</v>
      </c>
      <c r="I3219" s="25" t="s">
        <v>184</v>
      </c>
      <c r="J3219" s="25" t="s">
        <v>44</v>
      </c>
      <c r="K3219" s="25" t="s">
        <v>9</v>
      </c>
      <c r="L3219" s="25" t="s">
        <v>30</v>
      </c>
      <c r="M3219" s="25" t="s">
        <v>30</v>
      </c>
      <c r="N3219" s="25" t="s">
        <v>69</v>
      </c>
    </row>
    <row r="3220">
      <c r="A3220" s="301" t="s">
        <v>1150</v>
      </c>
      <c r="B3220" s="171" t="s">
        <v>1146</v>
      </c>
      <c r="C3220" s="171" t="s">
        <v>74</v>
      </c>
      <c r="D3220" s="279" t="s">
        <v>1145</v>
      </c>
      <c r="E3220" s="240">
        <v>43603.0</v>
      </c>
      <c r="F3220" s="21" t="str">
        <f t="shared" si="247"/>
        <v>May-2019</v>
      </c>
      <c r="G3220" t="s">
        <v>149</v>
      </c>
      <c r="H3220" s="25" t="s">
        <v>35</v>
      </c>
      <c r="I3220" s="25" t="s">
        <v>184</v>
      </c>
      <c r="J3220" s="25" t="s">
        <v>9</v>
      </c>
      <c r="K3220" s="25" t="s">
        <v>9</v>
      </c>
      <c r="L3220" s="25" t="s">
        <v>30</v>
      </c>
      <c r="M3220" s="25"/>
      <c r="N3220" s="25" t="s">
        <v>69</v>
      </c>
    </row>
    <row r="3221">
      <c r="A3221" s="172"/>
      <c r="B3221" s="171" t="s">
        <v>1146</v>
      </c>
      <c r="C3221" s="171" t="s">
        <v>74</v>
      </c>
      <c r="D3221" s="279" t="s">
        <v>1145</v>
      </c>
      <c r="E3221" s="240">
        <v>43603.0</v>
      </c>
      <c r="F3221" s="21" t="str">
        <f t="shared" si="247"/>
        <v>May-2019</v>
      </c>
      <c r="G3221" t="s">
        <v>222</v>
      </c>
      <c r="H3221" s="25" t="s">
        <v>35</v>
      </c>
      <c r="I3221" s="25" t="s">
        <v>184</v>
      </c>
      <c r="J3221" s="25" t="s">
        <v>86</v>
      </c>
      <c r="K3221" s="25" t="s">
        <v>9</v>
      </c>
      <c r="L3221" s="25" t="s">
        <v>30</v>
      </c>
      <c r="M3221" s="25"/>
      <c r="N3221" s="25" t="s">
        <v>37</v>
      </c>
    </row>
    <row r="3222">
      <c r="A3222" s="172"/>
      <c r="B3222" s="171" t="s">
        <v>1146</v>
      </c>
      <c r="C3222" s="171" t="s">
        <v>74</v>
      </c>
      <c r="D3222" s="279" t="s">
        <v>1145</v>
      </c>
      <c r="E3222" s="240">
        <v>43603.0</v>
      </c>
      <c r="F3222" s="21" t="str">
        <f t="shared" si="247"/>
        <v>May-2019</v>
      </c>
      <c r="G3222" t="s">
        <v>146</v>
      </c>
      <c r="H3222" s="25" t="s">
        <v>35</v>
      </c>
      <c r="I3222" s="25" t="s">
        <v>94</v>
      </c>
      <c r="J3222" s="25" t="s">
        <v>44</v>
      </c>
      <c r="K3222" s="25" t="s">
        <v>9</v>
      </c>
      <c r="L3222" s="25" t="s">
        <v>24</v>
      </c>
      <c r="M3222" s="25" t="s">
        <v>24</v>
      </c>
      <c r="N3222" s="25" t="s">
        <v>69</v>
      </c>
    </row>
    <row r="3223">
      <c r="A3223" s="172"/>
      <c r="B3223" s="171" t="s">
        <v>1146</v>
      </c>
      <c r="C3223" s="171" t="s">
        <v>74</v>
      </c>
      <c r="D3223" s="279" t="s">
        <v>1145</v>
      </c>
      <c r="E3223" s="240">
        <v>43603.0</v>
      </c>
      <c r="F3223" s="21" t="str">
        <f t="shared" si="247"/>
        <v>May-2019</v>
      </c>
      <c r="G3223" t="s">
        <v>149</v>
      </c>
      <c r="H3223" s="25" t="s">
        <v>35</v>
      </c>
      <c r="I3223" s="25" t="s">
        <v>94</v>
      </c>
      <c r="J3223" s="25" t="s">
        <v>44</v>
      </c>
      <c r="K3223" s="25" t="s">
        <v>9</v>
      </c>
      <c r="L3223" s="25" t="s">
        <v>24</v>
      </c>
      <c r="M3223" s="25"/>
      <c r="N3223" s="25" t="s">
        <v>106</v>
      </c>
    </row>
    <row r="3224">
      <c r="A3224" s="172"/>
      <c r="B3224" s="171" t="s">
        <v>1146</v>
      </c>
      <c r="C3224" s="171" t="s">
        <v>74</v>
      </c>
      <c r="D3224" s="279" t="s">
        <v>1145</v>
      </c>
      <c r="E3224" s="240">
        <v>43603.0</v>
      </c>
      <c r="F3224" s="21" t="str">
        <f t="shared" si="247"/>
        <v>May-2019</v>
      </c>
      <c r="G3224" t="s">
        <v>222</v>
      </c>
      <c r="H3224" s="25" t="s">
        <v>35</v>
      </c>
      <c r="I3224" s="25" t="s">
        <v>94</v>
      </c>
      <c r="J3224" s="25" t="s">
        <v>44</v>
      </c>
      <c r="K3224" s="25" t="s">
        <v>9</v>
      </c>
      <c r="L3224" s="25" t="s">
        <v>24</v>
      </c>
      <c r="M3224" s="25"/>
      <c r="N3224" s="25" t="s">
        <v>69</v>
      </c>
    </row>
    <row r="3225">
      <c r="A3225" s="172"/>
      <c r="B3225" s="171" t="s">
        <v>1146</v>
      </c>
      <c r="C3225" s="171" t="s">
        <v>74</v>
      </c>
      <c r="D3225" s="279" t="s">
        <v>1145</v>
      </c>
      <c r="E3225" s="240">
        <v>43603.0</v>
      </c>
      <c r="F3225" s="21" t="str">
        <f t="shared" si="247"/>
        <v>May-2019</v>
      </c>
      <c r="G3225" t="s">
        <v>146</v>
      </c>
      <c r="H3225" s="25" t="s">
        <v>35</v>
      </c>
      <c r="I3225" s="25" t="s">
        <v>184</v>
      </c>
      <c r="J3225" s="25" t="s">
        <v>27</v>
      </c>
      <c r="K3225" s="25" t="s">
        <v>9</v>
      </c>
      <c r="L3225" s="25" t="s">
        <v>24</v>
      </c>
      <c r="M3225" s="25" t="s">
        <v>30</v>
      </c>
      <c r="N3225" s="25" t="s">
        <v>69</v>
      </c>
    </row>
    <row r="3226">
      <c r="A3226" s="172"/>
      <c r="B3226" s="171" t="s">
        <v>1146</v>
      </c>
      <c r="C3226" s="171" t="s">
        <v>74</v>
      </c>
      <c r="D3226" s="279" t="s">
        <v>1145</v>
      </c>
      <c r="E3226" s="240">
        <v>43603.0</v>
      </c>
      <c r="F3226" s="21" t="str">
        <f t="shared" si="247"/>
        <v>May-2019</v>
      </c>
      <c r="G3226" t="s">
        <v>149</v>
      </c>
      <c r="H3226" s="25" t="s">
        <v>35</v>
      </c>
      <c r="I3226" s="25" t="s">
        <v>184</v>
      </c>
      <c r="J3226" s="25" t="s">
        <v>27</v>
      </c>
      <c r="K3226" s="25" t="s">
        <v>9</v>
      </c>
      <c r="L3226" s="25" t="s">
        <v>30</v>
      </c>
      <c r="M3226" s="25"/>
      <c r="N3226" s="25" t="s">
        <v>106</v>
      </c>
    </row>
    <row r="3227">
      <c r="A3227" s="172"/>
      <c r="B3227" s="171" t="s">
        <v>1146</v>
      </c>
      <c r="C3227" s="171" t="s">
        <v>74</v>
      </c>
      <c r="D3227" s="279" t="s">
        <v>1145</v>
      </c>
      <c r="E3227" s="240">
        <v>43603.0</v>
      </c>
      <c r="F3227" s="21" t="str">
        <f t="shared" si="247"/>
        <v>May-2019</v>
      </c>
      <c r="G3227" t="s">
        <v>222</v>
      </c>
      <c r="H3227" s="25" t="s">
        <v>35</v>
      </c>
      <c r="I3227" s="25" t="s">
        <v>184</v>
      </c>
      <c r="J3227" s="25" t="s">
        <v>44</v>
      </c>
      <c r="K3227" s="25" t="s">
        <v>9</v>
      </c>
      <c r="L3227" s="25" t="s">
        <v>30</v>
      </c>
      <c r="M3227" s="25"/>
      <c r="N3227" s="25" t="s">
        <v>29</v>
      </c>
    </row>
    <row r="3228">
      <c r="A3228" s="172"/>
      <c r="B3228" s="171" t="s">
        <v>1146</v>
      </c>
      <c r="C3228" s="171" t="s">
        <v>74</v>
      </c>
      <c r="D3228" s="279" t="s">
        <v>1145</v>
      </c>
      <c r="E3228" s="240">
        <v>43603.0</v>
      </c>
      <c r="F3228" s="21" t="str">
        <f t="shared" si="247"/>
        <v>May-2019</v>
      </c>
      <c r="G3228" t="s">
        <v>467</v>
      </c>
      <c r="H3228" s="25" t="s">
        <v>35</v>
      </c>
      <c r="I3228" s="25" t="s">
        <v>184</v>
      </c>
      <c r="J3228" s="25" t="s">
        <v>9</v>
      </c>
      <c r="K3228" s="25" t="s">
        <v>9</v>
      </c>
      <c r="L3228" s="25" t="s">
        <v>30</v>
      </c>
      <c r="M3228" s="25"/>
      <c r="N3228" s="25" t="s">
        <v>69</v>
      </c>
    </row>
    <row r="3229">
      <c r="A3229" s="172"/>
      <c r="B3229" s="171" t="s">
        <v>1146</v>
      </c>
      <c r="C3229" s="171" t="s">
        <v>74</v>
      </c>
      <c r="D3229" s="279" t="s">
        <v>1145</v>
      </c>
      <c r="E3229" s="240">
        <v>43603.0</v>
      </c>
      <c r="F3229" s="21" t="str">
        <f t="shared" si="247"/>
        <v>May-2019</v>
      </c>
      <c r="G3229" t="s">
        <v>146</v>
      </c>
      <c r="H3229" s="25" t="s">
        <v>35</v>
      </c>
      <c r="I3229" s="25" t="s">
        <v>94</v>
      </c>
      <c r="J3229" s="25" t="s">
        <v>44</v>
      </c>
      <c r="K3229" s="25" t="s">
        <v>9</v>
      </c>
      <c r="L3229" s="25" t="s">
        <v>30</v>
      </c>
      <c r="M3229" s="25" t="s">
        <v>24</v>
      </c>
      <c r="N3229" s="25" t="s">
        <v>69</v>
      </c>
    </row>
    <row r="3230">
      <c r="A3230" s="172"/>
      <c r="B3230" s="171" t="s">
        <v>1146</v>
      </c>
      <c r="C3230" s="171" t="s">
        <v>74</v>
      </c>
      <c r="D3230" s="279" t="s">
        <v>1145</v>
      </c>
      <c r="E3230" s="240">
        <v>43603.0</v>
      </c>
      <c r="F3230" s="21" t="str">
        <f t="shared" si="247"/>
        <v>May-2019</v>
      </c>
      <c r="G3230" t="s">
        <v>149</v>
      </c>
      <c r="H3230" s="25" t="s">
        <v>35</v>
      </c>
      <c r="I3230" s="25" t="s">
        <v>94</v>
      </c>
      <c r="J3230" s="25" t="s">
        <v>44</v>
      </c>
      <c r="K3230" s="25" t="s">
        <v>9</v>
      </c>
      <c r="L3230" s="25" t="s">
        <v>24</v>
      </c>
      <c r="M3230" s="25"/>
      <c r="N3230" s="25" t="s">
        <v>29</v>
      </c>
    </row>
    <row r="3231">
      <c r="A3231" s="172"/>
      <c r="B3231" s="171" t="s">
        <v>1146</v>
      </c>
      <c r="C3231" s="171" t="s">
        <v>74</v>
      </c>
      <c r="D3231" s="279" t="s">
        <v>1145</v>
      </c>
      <c r="E3231" s="240">
        <v>43603.0</v>
      </c>
      <c r="F3231" s="21" t="str">
        <f t="shared" si="247"/>
        <v>May-2019</v>
      </c>
      <c r="G3231" t="s">
        <v>222</v>
      </c>
      <c r="H3231" s="25" t="s">
        <v>35</v>
      </c>
      <c r="I3231" s="25" t="s">
        <v>94</v>
      </c>
      <c r="J3231" s="25" t="s">
        <v>44</v>
      </c>
      <c r="K3231" s="25" t="s">
        <v>9</v>
      </c>
      <c r="L3231" s="25" t="s">
        <v>24</v>
      </c>
      <c r="M3231" s="25"/>
      <c r="N3231" s="25" t="s">
        <v>106</v>
      </c>
    </row>
    <row r="3232">
      <c r="A3232" s="171"/>
      <c r="B3232" s="171" t="s">
        <v>1146</v>
      </c>
      <c r="C3232" s="171" t="s">
        <v>74</v>
      </c>
      <c r="D3232" s="279" t="s">
        <v>1145</v>
      </c>
      <c r="E3232" s="240">
        <v>43603.0</v>
      </c>
      <c r="F3232" s="21" t="str">
        <f t="shared" si="247"/>
        <v>May-2019</v>
      </c>
      <c r="G3232" t="s">
        <v>467</v>
      </c>
      <c r="H3232" s="25" t="s">
        <v>35</v>
      </c>
      <c r="I3232" s="25" t="s">
        <v>94</v>
      </c>
      <c r="J3232" s="25" t="s">
        <v>44</v>
      </c>
      <c r="K3232" s="25" t="s">
        <v>9</v>
      </c>
      <c r="L3232" s="25" t="s">
        <v>24</v>
      </c>
      <c r="M3232" s="25"/>
      <c r="N3232" s="25" t="s">
        <v>37</v>
      </c>
    </row>
    <row r="3233">
      <c r="A3233" s="94"/>
    </row>
    <row r="3234">
      <c r="A3234" s="279" t="s">
        <v>1151</v>
      </c>
      <c r="B3234" s="171" t="s">
        <v>18</v>
      </c>
      <c r="C3234" s="171" t="s">
        <v>84</v>
      </c>
      <c r="D3234" s="279" t="s">
        <v>1151</v>
      </c>
      <c r="E3234" s="240">
        <v>43613.0</v>
      </c>
      <c r="F3234" s="21" t="str">
        <f t="shared" ref="F3234:F3263" si="248">TEXT(E3226:E3234, "mmm") &amp; "-" &amp; TEXT(E3226:E3234, "yyyy") </f>
        <v>May-2019</v>
      </c>
      <c r="G3234" s="32" t="s">
        <v>20</v>
      </c>
      <c r="H3234" s="25" t="s">
        <v>1101</v>
      </c>
      <c r="I3234" s="25" t="s">
        <v>302</v>
      </c>
      <c r="J3234" s="25" t="s">
        <v>27</v>
      </c>
      <c r="K3234" s="25" t="s">
        <v>9</v>
      </c>
      <c r="L3234" s="25" t="s">
        <v>30</v>
      </c>
      <c r="M3234" s="25" t="s">
        <v>30</v>
      </c>
      <c r="N3234" s="25" t="s">
        <v>37</v>
      </c>
    </row>
    <row r="3235">
      <c r="A3235" s="171" t="s">
        <v>18</v>
      </c>
      <c r="B3235" s="171" t="s">
        <v>18</v>
      </c>
      <c r="C3235" s="171" t="s">
        <v>84</v>
      </c>
      <c r="D3235" s="279" t="s">
        <v>1151</v>
      </c>
      <c r="E3235" s="240">
        <v>43613.0</v>
      </c>
      <c r="F3235" s="21" t="str">
        <f t="shared" si="248"/>
        <v>May-2019</v>
      </c>
      <c r="G3235" s="32" t="s">
        <v>25</v>
      </c>
      <c r="H3235" s="25" t="s">
        <v>1101</v>
      </c>
      <c r="I3235" s="25" t="s">
        <v>302</v>
      </c>
      <c r="J3235" s="25" t="s">
        <v>27</v>
      </c>
      <c r="K3235" s="25" t="s">
        <v>9</v>
      </c>
      <c r="L3235" s="25" t="s">
        <v>30</v>
      </c>
      <c r="M3235" s="25"/>
      <c r="N3235" s="25" t="s">
        <v>29</v>
      </c>
    </row>
    <row r="3236">
      <c r="A3236" s="171" t="s">
        <v>1152</v>
      </c>
      <c r="B3236" s="171" t="s">
        <v>18</v>
      </c>
      <c r="C3236" s="171" t="s">
        <v>84</v>
      </c>
      <c r="D3236" s="279" t="s">
        <v>1151</v>
      </c>
      <c r="E3236" s="240">
        <v>43613.0</v>
      </c>
      <c r="F3236" s="21" t="str">
        <f t="shared" si="248"/>
        <v>May-2019</v>
      </c>
      <c r="G3236" s="32" t="s">
        <v>20</v>
      </c>
      <c r="H3236" s="25" t="s">
        <v>1101</v>
      </c>
      <c r="I3236" s="25" t="s">
        <v>989</v>
      </c>
      <c r="J3236" s="25" t="s">
        <v>86</v>
      </c>
      <c r="K3236" s="25" t="s">
        <v>9</v>
      </c>
      <c r="L3236" s="25" t="s">
        <v>30</v>
      </c>
      <c r="M3236" s="25" t="s">
        <v>24</v>
      </c>
      <c r="N3236" s="25" t="s">
        <v>69</v>
      </c>
    </row>
    <row r="3237">
      <c r="A3237" s="240">
        <v>43613.0</v>
      </c>
      <c r="B3237" s="171" t="s">
        <v>18</v>
      </c>
      <c r="C3237" s="171" t="s">
        <v>84</v>
      </c>
      <c r="D3237" s="279" t="s">
        <v>1151</v>
      </c>
      <c r="E3237" s="240">
        <v>43613.0</v>
      </c>
      <c r="F3237" s="21" t="str">
        <f t="shared" si="248"/>
        <v>May-2019</v>
      </c>
      <c r="G3237" s="32" t="s">
        <v>25</v>
      </c>
      <c r="H3237" s="25" t="s">
        <v>1101</v>
      </c>
      <c r="I3237" s="25" t="s">
        <v>989</v>
      </c>
      <c r="J3237" s="25" t="s">
        <v>86</v>
      </c>
      <c r="K3237" s="25" t="s">
        <v>9</v>
      </c>
      <c r="L3237" s="25" t="s">
        <v>24</v>
      </c>
      <c r="M3237" s="25"/>
      <c r="N3237" s="25" t="s">
        <v>98</v>
      </c>
    </row>
    <row r="3238">
      <c r="A3238" s="171" t="s">
        <v>84</v>
      </c>
      <c r="B3238" s="171" t="s">
        <v>18</v>
      </c>
      <c r="C3238" s="171" t="s">
        <v>84</v>
      </c>
      <c r="D3238" s="279" t="s">
        <v>1151</v>
      </c>
      <c r="E3238" s="240">
        <v>43613.0</v>
      </c>
      <c r="F3238" s="21" t="str">
        <f t="shared" si="248"/>
        <v>May-2019</v>
      </c>
      <c r="G3238" s="32" t="s">
        <v>32</v>
      </c>
      <c r="H3238" s="25" t="s">
        <v>1101</v>
      </c>
      <c r="I3238" s="25" t="s">
        <v>989</v>
      </c>
      <c r="J3238" s="25" t="s">
        <v>86</v>
      </c>
      <c r="K3238" s="25" t="s">
        <v>9</v>
      </c>
      <c r="L3238" s="25" t="s">
        <v>24</v>
      </c>
      <c r="M3238" s="25"/>
      <c r="N3238" s="25" t="s">
        <v>29</v>
      </c>
    </row>
    <row r="3239">
      <c r="A3239" s="301" t="s">
        <v>1153</v>
      </c>
      <c r="B3239" s="171" t="s">
        <v>18</v>
      </c>
      <c r="C3239" s="171" t="s">
        <v>84</v>
      </c>
      <c r="D3239" s="279" t="s">
        <v>1151</v>
      </c>
      <c r="E3239" s="240">
        <v>43613.0</v>
      </c>
      <c r="F3239" s="21" t="str">
        <f t="shared" si="248"/>
        <v>May-2019</v>
      </c>
      <c r="G3239" s="32" t="s">
        <v>20</v>
      </c>
      <c r="H3239" s="25" t="s">
        <v>1101</v>
      </c>
      <c r="I3239" s="25" t="s">
        <v>1113</v>
      </c>
      <c r="J3239" s="25" t="s">
        <v>64</v>
      </c>
      <c r="K3239" s="25" t="s">
        <v>9</v>
      </c>
      <c r="L3239" s="25" t="s">
        <v>30</v>
      </c>
      <c r="M3239" s="25" t="s">
        <v>30</v>
      </c>
      <c r="N3239" s="25" t="s">
        <v>98</v>
      </c>
    </row>
    <row r="3240">
      <c r="A3240" s="301" t="s">
        <v>1154</v>
      </c>
      <c r="B3240" s="171" t="s">
        <v>18</v>
      </c>
      <c r="C3240" s="171" t="s">
        <v>84</v>
      </c>
      <c r="D3240" s="279" t="s">
        <v>1151</v>
      </c>
      <c r="E3240" s="240">
        <v>43613.0</v>
      </c>
      <c r="F3240" s="21" t="str">
        <f t="shared" si="248"/>
        <v>May-2019</v>
      </c>
      <c r="G3240" s="32" t="s">
        <v>25</v>
      </c>
      <c r="H3240" s="25" t="s">
        <v>1101</v>
      </c>
      <c r="I3240" s="25" t="s">
        <v>1113</v>
      </c>
      <c r="J3240" s="25" t="s">
        <v>64</v>
      </c>
      <c r="K3240" s="25" t="s">
        <v>9</v>
      </c>
      <c r="L3240" s="25" t="s">
        <v>30</v>
      </c>
      <c r="M3240" s="25"/>
      <c r="N3240" s="25" t="s">
        <v>37</v>
      </c>
    </row>
    <row r="3241">
      <c r="A3241" s="172"/>
      <c r="B3241" s="171" t="s">
        <v>18</v>
      </c>
      <c r="C3241" s="171" t="s">
        <v>84</v>
      </c>
      <c r="D3241" s="279" t="s">
        <v>1151</v>
      </c>
      <c r="E3241" s="240">
        <v>43613.0</v>
      </c>
      <c r="F3241" s="21" t="str">
        <f t="shared" si="248"/>
        <v>May-2019</v>
      </c>
      <c r="G3241" s="32" t="s">
        <v>20</v>
      </c>
      <c r="H3241" s="25" t="s">
        <v>1101</v>
      </c>
      <c r="I3241" s="25" t="s">
        <v>452</v>
      </c>
      <c r="J3241" s="25" t="s">
        <v>27</v>
      </c>
      <c r="K3241" s="25" t="s">
        <v>9</v>
      </c>
      <c r="L3241" s="25" t="s">
        <v>30</v>
      </c>
      <c r="M3241" s="25" t="s">
        <v>30</v>
      </c>
      <c r="N3241" s="25" t="s">
        <v>37</v>
      </c>
    </row>
    <row r="3242">
      <c r="A3242" s="172"/>
      <c r="B3242" s="171" t="s">
        <v>18</v>
      </c>
      <c r="C3242" s="171" t="s">
        <v>84</v>
      </c>
      <c r="D3242" s="279" t="s">
        <v>1151</v>
      </c>
      <c r="E3242" s="240">
        <v>43613.0</v>
      </c>
      <c r="F3242" s="21" t="str">
        <f t="shared" si="248"/>
        <v>May-2019</v>
      </c>
      <c r="G3242" s="32" t="s">
        <v>25</v>
      </c>
      <c r="H3242" s="25" t="s">
        <v>1101</v>
      </c>
      <c r="I3242" s="25" t="s">
        <v>452</v>
      </c>
      <c r="J3242" s="25" t="s">
        <v>27</v>
      </c>
      <c r="K3242" s="25" t="s">
        <v>9</v>
      </c>
      <c r="L3242" s="25" t="s">
        <v>24</v>
      </c>
      <c r="M3242" s="25"/>
      <c r="N3242" s="25" t="s">
        <v>99</v>
      </c>
    </row>
    <row r="3243">
      <c r="A3243" s="172"/>
      <c r="B3243" s="171" t="s">
        <v>18</v>
      </c>
      <c r="C3243" s="171" t="s">
        <v>84</v>
      </c>
      <c r="D3243" s="279" t="s">
        <v>1151</v>
      </c>
      <c r="E3243" s="240">
        <v>43613.0</v>
      </c>
      <c r="F3243" s="21" t="str">
        <f t="shared" si="248"/>
        <v>May-2019</v>
      </c>
      <c r="G3243" s="32" t="s">
        <v>32</v>
      </c>
      <c r="H3243" s="25" t="s">
        <v>1101</v>
      </c>
      <c r="I3243" s="25" t="s">
        <v>452</v>
      </c>
      <c r="J3243" s="25" t="s">
        <v>27</v>
      </c>
      <c r="K3243" s="25" t="s">
        <v>9</v>
      </c>
      <c r="L3243" s="25" t="s">
        <v>30</v>
      </c>
      <c r="M3243" s="25"/>
      <c r="N3243" s="25" t="s">
        <v>106</v>
      </c>
    </row>
    <row r="3244">
      <c r="A3244" s="172"/>
      <c r="B3244" s="171" t="s">
        <v>18</v>
      </c>
      <c r="C3244" s="171" t="s">
        <v>84</v>
      </c>
      <c r="D3244" s="279" t="s">
        <v>1151</v>
      </c>
      <c r="E3244" s="240">
        <v>43613.0</v>
      </c>
      <c r="F3244" s="21" t="str">
        <f t="shared" si="248"/>
        <v>May-2019</v>
      </c>
      <c r="G3244" s="32" t="s">
        <v>20</v>
      </c>
      <c r="H3244" s="25" t="s">
        <v>35</v>
      </c>
      <c r="I3244" s="25" t="s">
        <v>989</v>
      </c>
      <c r="J3244" s="25" t="s">
        <v>86</v>
      </c>
      <c r="K3244" s="25" t="s">
        <v>9</v>
      </c>
      <c r="L3244" s="25" t="s">
        <v>30</v>
      </c>
      <c r="M3244" s="25" t="s">
        <v>30</v>
      </c>
      <c r="N3244" s="25" t="s">
        <v>69</v>
      </c>
    </row>
    <row r="3245">
      <c r="A3245" s="172"/>
      <c r="B3245" s="171" t="s">
        <v>18</v>
      </c>
      <c r="C3245" s="171" t="s">
        <v>84</v>
      </c>
      <c r="D3245" s="279" t="s">
        <v>1151</v>
      </c>
      <c r="E3245" s="240">
        <v>43613.0</v>
      </c>
      <c r="F3245" s="21" t="str">
        <f t="shared" si="248"/>
        <v>May-2019</v>
      </c>
      <c r="G3245" s="32" t="s">
        <v>25</v>
      </c>
      <c r="H3245" s="25" t="s">
        <v>35</v>
      </c>
      <c r="I3245" s="25" t="s">
        <v>989</v>
      </c>
      <c r="J3245" s="25" t="s">
        <v>86</v>
      </c>
      <c r="K3245" s="25" t="s">
        <v>9</v>
      </c>
      <c r="L3245" s="25" t="s">
        <v>30</v>
      </c>
      <c r="M3245" s="25"/>
      <c r="N3245" s="25" t="s">
        <v>98</v>
      </c>
    </row>
    <row r="3246">
      <c r="A3246" s="172"/>
      <c r="B3246" s="171" t="s">
        <v>18</v>
      </c>
      <c r="C3246" s="171" t="s">
        <v>84</v>
      </c>
      <c r="D3246" s="279" t="s">
        <v>1151</v>
      </c>
      <c r="E3246" s="240">
        <v>43613.0</v>
      </c>
      <c r="F3246" s="21" t="str">
        <f t="shared" si="248"/>
        <v>May-2019</v>
      </c>
      <c r="G3246" t="s">
        <v>146</v>
      </c>
      <c r="H3246" s="25" t="s">
        <v>35</v>
      </c>
      <c r="I3246" s="25" t="s">
        <v>81</v>
      </c>
      <c r="J3246" s="25" t="s">
        <v>9</v>
      </c>
      <c r="K3246" s="25" t="s">
        <v>9</v>
      </c>
      <c r="L3246" s="25" t="s">
        <v>30</v>
      </c>
      <c r="M3246" s="25" t="s">
        <v>24</v>
      </c>
      <c r="N3246" s="25" t="s">
        <v>69</v>
      </c>
    </row>
    <row r="3247">
      <c r="A3247" s="172"/>
      <c r="B3247" s="171" t="s">
        <v>18</v>
      </c>
      <c r="C3247" s="171" t="s">
        <v>84</v>
      </c>
      <c r="D3247" s="279" t="s">
        <v>1151</v>
      </c>
      <c r="E3247" s="240">
        <v>43613.0</v>
      </c>
      <c r="F3247" s="21" t="str">
        <f t="shared" si="248"/>
        <v>May-2019</v>
      </c>
      <c r="G3247" t="s">
        <v>149</v>
      </c>
      <c r="H3247" s="25" t="s">
        <v>35</v>
      </c>
      <c r="I3247" s="25" t="s">
        <v>81</v>
      </c>
      <c r="J3247" s="25" t="s">
        <v>9</v>
      </c>
      <c r="K3247" s="25" t="s">
        <v>9</v>
      </c>
      <c r="L3247" s="25" t="s">
        <v>30</v>
      </c>
      <c r="M3247" s="25"/>
      <c r="N3247" s="25" t="s">
        <v>69</v>
      </c>
    </row>
    <row r="3248">
      <c r="A3248" s="172"/>
      <c r="B3248" s="171" t="s">
        <v>18</v>
      </c>
      <c r="C3248" s="171" t="s">
        <v>84</v>
      </c>
      <c r="D3248" s="279" t="s">
        <v>1151</v>
      </c>
      <c r="E3248" s="240">
        <v>43613.0</v>
      </c>
      <c r="F3248" s="21" t="str">
        <f t="shared" si="248"/>
        <v>May-2019</v>
      </c>
      <c r="G3248" t="s">
        <v>222</v>
      </c>
      <c r="H3248" s="25" t="s">
        <v>35</v>
      </c>
      <c r="I3248" s="25" t="s">
        <v>81</v>
      </c>
      <c r="J3248" s="25" t="s">
        <v>9</v>
      </c>
      <c r="K3248" s="25" t="s">
        <v>9</v>
      </c>
      <c r="L3248" s="25" t="s">
        <v>24</v>
      </c>
      <c r="M3248" s="25"/>
      <c r="N3248" s="25" t="s">
        <v>98</v>
      </c>
    </row>
    <row r="3249">
      <c r="A3249" s="172"/>
      <c r="B3249" s="171" t="s">
        <v>18</v>
      </c>
      <c r="C3249" s="171" t="s">
        <v>84</v>
      </c>
      <c r="D3249" s="279" t="s">
        <v>1151</v>
      </c>
      <c r="E3249" s="240">
        <v>43613.0</v>
      </c>
      <c r="F3249" s="21" t="str">
        <f t="shared" si="248"/>
        <v>May-2019</v>
      </c>
      <c r="G3249" t="s">
        <v>467</v>
      </c>
      <c r="H3249" s="25" t="s">
        <v>35</v>
      </c>
      <c r="I3249" s="25" t="s">
        <v>81</v>
      </c>
      <c r="J3249" s="25" t="s">
        <v>9</v>
      </c>
      <c r="K3249" s="25" t="s">
        <v>9</v>
      </c>
      <c r="L3249" s="25" t="s">
        <v>24</v>
      </c>
      <c r="M3249" s="25"/>
      <c r="N3249" s="25" t="s">
        <v>106</v>
      </c>
    </row>
    <row r="3250">
      <c r="A3250" s="172"/>
      <c r="B3250" s="171" t="s">
        <v>18</v>
      </c>
      <c r="C3250" s="171" t="s">
        <v>84</v>
      </c>
      <c r="D3250" s="279" t="s">
        <v>1151</v>
      </c>
      <c r="E3250" s="240">
        <v>43613.0</v>
      </c>
      <c r="F3250" s="21" t="str">
        <f t="shared" si="248"/>
        <v>May-2019</v>
      </c>
      <c r="G3250" s="25" t="s">
        <v>480</v>
      </c>
      <c r="H3250" s="25" t="s">
        <v>35</v>
      </c>
      <c r="I3250" s="25" t="s">
        <v>81</v>
      </c>
      <c r="J3250" s="25" t="s">
        <v>9</v>
      </c>
      <c r="K3250" s="25" t="s">
        <v>9</v>
      </c>
      <c r="L3250" s="25" t="s">
        <v>24</v>
      </c>
      <c r="M3250" s="25"/>
      <c r="N3250" s="25" t="s">
        <v>106</v>
      </c>
    </row>
    <row r="3251">
      <c r="A3251" s="172"/>
      <c r="B3251" s="171" t="s">
        <v>18</v>
      </c>
      <c r="C3251" s="171" t="s">
        <v>84</v>
      </c>
      <c r="D3251" s="279" t="s">
        <v>1151</v>
      </c>
      <c r="E3251" s="240">
        <v>43613.0</v>
      </c>
      <c r="F3251" s="21" t="str">
        <f t="shared" si="248"/>
        <v>May-2019</v>
      </c>
      <c r="G3251" t="s">
        <v>146</v>
      </c>
      <c r="H3251" s="25" t="s">
        <v>35</v>
      </c>
      <c r="I3251" s="25" t="s">
        <v>302</v>
      </c>
      <c r="J3251" s="25" t="s">
        <v>27</v>
      </c>
      <c r="K3251" s="25" t="s">
        <v>9</v>
      </c>
      <c r="L3251" s="25" t="s">
        <v>30</v>
      </c>
      <c r="M3251" s="25" t="s">
        <v>30</v>
      </c>
      <c r="N3251" s="25" t="s">
        <v>37</v>
      </c>
    </row>
    <row r="3252">
      <c r="A3252" s="172"/>
      <c r="B3252" s="171" t="s">
        <v>18</v>
      </c>
      <c r="C3252" s="171" t="s">
        <v>84</v>
      </c>
      <c r="D3252" s="279" t="s">
        <v>1151</v>
      </c>
      <c r="E3252" s="240">
        <v>43613.0</v>
      </c>
      <c r="F3252" s="21" t="str">
        <f t="shared" si="248"/>
        <v>May-2019</v>
      </c>
      <c r="G3252" t="s">
        <v>149</v>
      </c>
      <c r="H3252" s="25" t="s">
        <v>35</v>
      </c>
      <c r="I3252" s="25" t="s">
        <v>302</v>
      </c>
      <c r="J3252" s="25" t="s">
        <v>27</v>
      </c>
      <c r="K3252" s="25" t="s">
        <v>9</v>
      </c>
      <c r="L3252" s="25" t="s">
        <v>30</v>
      </c>
      <c r="M3252" s="25"/>
      <c r="N3252" s="25" t="s">
        <v>29</v>
      </c>
    </row>
    <row r="3253">
      <c r="A3253" s="172"/>
      <c r="B3253" s="171" t="s">
        <v>18</v>
      </c>
      <c r="C3253" s="171" t="s">
        <v>84</v>
      </c>
      <c r="D3253" s="279" t="s">
        <v>1151</v>
      </c>
      <c r="E3253" s="240">
        <v>43613.0</v>
      </c>
      <c r="F3253" s="21" t="str">
        <f t="shared" si="248"/>
        <v>May-2019</v>
      </c>
      <c r="G3253" t="s">
        <v>222</v>
      </c>
      <c r="H3253" s="25" t="s">
        <v>35</v>
      </c>
      <c r="I3253" s="25" t="s">
        <v>302</v>
      </c>
      <c r="J3253" s="25" t="s">
        <v>27</v>
      </c>
      <c r="K3253" s="25" t="s">
        <v>9</v>
      </c>
      <c r="L3253" s="25" t="s">
        <v>24</v>
      </c>
      <c r="M3253" s="25"/>
      <c r="N3253" s="25" t="s">
        <v>69</v>
      </c>
    </row>
    <row r="3254">
      <c r="A3254" s="172"/>
      <c r="B3254" s="171" t="s">
        <v>18</v>
      </c>
      <c r="C3254" s="171" t="s">
        <v>84</v>
      </c>
      <c r="D3254" s="279" t="s">
        <v>1151</v>
      </c>
      <c r="E3254" s="240">
        <v>43613.0</v>
      </c>
      <c r="F3254" s="21" t="str">
        <f t="shared" si="248"/>
        <v>May-2019</v>
      </c>
      <c r="G3254" t="s">
        <v>467</v>
      </c>
      <c r="H3254" s="25" t="s">
        <v>35</v>
      </c>
      <c r="I3254" s="25" t="s">
        <v>302</v>
      </c>
      <c r="J3254" s="25" t="s">
        <v>27</v>
      </c>
      <c r="K3254" s="25" t="s">
        <v>9</v>
      </c>
      <c r="L3254" s="25" t="s">
        <v>30</v>
      </c>
      <c r="M3254" s="25"/>
      <c r="N3254" s="25" t="s">
        <v>98</v>
      </c>
    </row>
    <row r="3255">
      <c r="A3255" s="172"/>
      <c r="B3255" s="171" t="s">
        <v>18</v>
      </c>
      <c r="C3255" s="171" t="s">
        <v>84</v>
      </c>
      <c r="D3255" s="279" t="s">
        <v>1151</v>
      </c>
      <c r="E3255" s="240">
        <v>43613.0</v>
      </c>
      <c r="F3255" s="21" t="str">
        <f t="shared" si="248"/>
        <v>May-2019</v>
      </c>
      <c r="G3255" t="s">
        <v>146</v>
      </c>
      <c r="H3255" s="25" t="s">
        <v>35</v>
      </c>
      <c r="I3255" s="25" t="s">
        <v>452</v>
      </c>
      <c r="J3255" s="25" t="s">
        <v>27</v>
      </c>
      <c r="K3255" s="25" t="s">
        <v>9</v>
      </c>
      <c r="L3255" s="25" t="s">
        <v>30</v>
      </c>
      <c r="M3255" s="25" t="s">
        <v>30</v>
      </c>
      <c r="N3255" s="25" t="s">
        <v>98</v>
      </c>
    </row>
    <row r="3256">
      <c r="A3256" s="172"/>
      <c r="B3256" s="171" t="s">
        <v>18</v>
      </c>
      <c r="C3256" s="171" t="s">
        <v>84</v>
      </c>
      <c r="D3256" s="279" t="s">
        <v>1151</v>
      </c>
      <c r="E3256" s="240">
        <v>43613.0</v>
      </c>
      <c r="F3256" s="21" t="str">
        <f t="shared" si="248"/>
        <v>May-2019</v>
      </c>
      <c r="G3256" t="s">
        <v>149</v>
      </c>
      <c r="H3256" s="25" t="s">
        <v>35</v>
      </c>
      <c r="I3256" s="25" t="s">
        <v>452</v>
      </c>
      <c r="J3256" s="25" t="s">
        <v>27</v>
      </c>
      <c r="K3256" s="25" t="s">
        <v>9</v>
      </c>
      <c r="L3256" s="25" t="s">
        <v>24</v>
      </c>
      <c r="M3256" s="25"/>
      <c r="N3256" s="25" t="s">
        <v>99</v>
      </c>
    </row>
    <row r="3257">
      <c r="A3257" s="172"/>
      <c r="B3257" s="171" t="s">
        <v>18</v>
      </c>
      <c r="C3257" s="171" t="s">
        <v>84</v>
      </c>
      <c r="D3257" s="279" t="s">
        <v>1151</v>
      </c>
      <c r="E3257" s="240">
        <v>43613.0</v>
      </c>
      <c r="F3257" s="21" t="str">
        <f t="shared" si="248"/>
        <v>May-2019</v>
      </c>
      <c r="G3257" t="s">
        <v>222</v>
      </c>
      <c r="H3257" s="25" t="s">
        <v>35</v>
      </c>
      <c r="I3257" s="25" t="s">
        <v>452</v>
      </c>
      <c r="J3257" s="25" t="s">
        <v>27</v>
      </c>
      <c r="K3257" s="25" t="s">
        <v>9</v>
      </c>
      <c r="L3257" s="25" t="s">
        <v>30</v>
      </c>
      <c r="M3257" s="25"/>
      <c r="N3257" s="25" t="s">
        <v>106</v>
      </c>
    </row>
    <row r="3258">
      <c r="A3258" s="172"/>
      <c r="B3258" s="171" t="s">
        <v>18</v>
      </c>
      <c r="C3258" s="171" t="s">
        <v>84</v>
      </c>
      <c r="D3258" s="279" t="s">
        <v>1151</v>
      </c>
      <c r="E3258" s="240">
        <v>43613.0</v>
      </c>
      <c r="F3258" s="21" t="str">
        <f t="shared" si="248"/>
        <v>May-2019</v>
      </c>
      <c r="G3258" t="s">
        <v>467</v>
      </c>
      <c r="H3258" s="25" t="s">
        <v>35</v>
      </c>
      <c r="I3258" s="25" t="s">
        <v>452</v>
      </c>
      <c r="J3258" s="25" t="s">
        <v>27</v>
      </c>
      <c r="K3258" s="25" t="s">
        <v>9</v>
      </c>
      <c r="L3258" s="25" t="s">
        <v>24</v>
      </c>
      <c r="M3258" s="25"/>
      <c r="N3258" s="25" t="s">
        <v>69</v>
      </c>
    </row>
    <row r="3259">
      <c r="A3259" s="172"/>
      <c r="B3259" s="171" t="s">
        <v>18</v>
      </c>
      <c r="C3259" s="171" t="s">
        <v>84</v>
      </c>
      <c r="D3259" s="279" t="s">
        <v>1151</v>
      </c>
      <c r="E3259" s="240">
        <v>43613.0</v>
      </c>
      <c r="F3259" s="21" t="str">
        <f t="shared" si="248"/>
        <v>May-2019</v>
      </c>
      <c r="G3259" s="25" t="s">
        <v>480</v>
      </c>
      <c r="H3259" s="25" t="s">
        <v>35</v>
      </c>
      <c r="I3259" s="25" t="s">
        <v>452</v>
      </c>
      <c r="J3259" s="25" t="s">
        <v>27</v>
      </c>
      <c r="K3259" s="25" t="s">
        <v>9</v>
      </c>
      <c r="L3259" s="25" t="s">
        <v>30</v>
      </c>
      <c r="M3259" s="25"/>
      <c r="N3259" s="25" t="s">
        <v>37</v>
      </c>
    </row>
    <row r="3260">
      <c r="A3260" s="172"/>
      <c r="B3260" s="171" t="s">
        <v>18</v>
      </c>
      <c r="C3260" s="171" t="s">
        <v>84</v>
      </c>
      <c r="D3260" s="279" t="s">
        <v>1151</v>
      </c>
      <c r="E3260" s="240">
        <v>43613.0</v>
      </c>
      <c r="F3260" s="21" t="str">
        <f t="shared" si="248"/>
        <v>May-2019</v>
      </c>
      <c r="G3260" t="s">
        <v>146</v>
      </c>
      <c r="H3260" s="25" t="s">
        <v>35</v>
      </c>
      <c r="I3260" s="25" t="s">
        <v>81</v>
      </c>
      <c r="J3260" s="25" t="s">
        <v>9</v>
      </c>
      <c r="K3260" s="25" t="s">
        <v>9</v>
      </c>
      <c r="L3260" s="25" t="s">
        <v>30</v>
      </c>
      <c r="M3260" s="25" t="s">
        <v>24</v>
      </c>
      <c r="N3260" s="25" t="s">
        <v>98</v>
      </c>
    </row>
    <row r="3261">
      <c r="A3261" s="172"/>
      <c r="B3261" s="171" t="s">
        <v>18</v>
      </c>
      <c r="C3261" s="171" t="s">
        <v>84</v>
      </c>
      <c r="D3261" s="279" t="s">
        <v>1151</v>
      </c>
      <c r="E3261" s="240">
        <v>43613.0</v>
      </c>
      <c r="F3261" s="21" t="str">
        <f t="shared" si="248"/>
        <v>May-2019</v>
      </c>
      <c r="G3261" t="s">
        <v>149</v>
      </c>
      <c r="H3261" s="25" t="s">
        <v>35</v>
      </c>
      <c r="I3261" s="25" t="s">
        <v>81</v>
      </c>
      <c r="J3261" s="25" t="s">
        <v>9</v>
      </c>
      <c r="K3261" s="25" t="s">
        <v>9</v>
      </c>
      <c r="L3261" s="25" t="s">
        <v>24</v>
      </c>
      <c r="M3261" s="25"/>
      <c r="N3261" s="25" t="s">
        <v>29</v>
      </c>
    </row>
    <row r="3262">
      <c r="A3262" s="172"/>
      <c r="B3262" s="171" t="s">
        <v>18</v>
      </c>
      <c r="C3262" s="171" t="s">
        <v>84</v>
      </c>
      <c r="D3262" s="279" t="s">
        <v>1151</v>
      </c>
      <c r="E3262" s="240">
        <v>43613.0</v>
      </c>
      <c r="F3262" s="21" t="str">
        <f t="shared" si="248"/>
        <v>May-2019</v>
      </c>
      <c r="G3262" t="s">
        <v>222</v>
      </c>
      <c r="H3262" s="25" t="s">
        <v>35</v>
      </c>
      <c r="I3262" s="25" t="s">
        <v>81</v>
      </c>
      <c r="J3262" s="25" t="s">
        <v>9</v>
      </c>
      <c r="K3262" s="25" t="s">
        <v>9</v>
      </c>
      <c r="L3262" s="25" t="s">
        <v>24</v>
      </c>
      <c r="M3262" s="25"/>
      <c r="N3262" s="25" t="s">
        <v>69</v>
      </c>
    </row>
    <row r="3263">
      <c r="A3263" s="172"/>
      <c r="B3263" s="171" t="s">
        <v>18</v>
      </c>
      <c r="C3263" s="171" t="s">
        <v>84</v>
      </c>
      <c r="D3263" s="279" t="s">
        <v>1151</v>
      </c>
      <c r="E3263" s="240">
        <v>43613.0</v>
      </c>
      <c r="F3263" s="21" t="str">
        <f t="shared" si="248"/>
        <v>May-2019</v>
      </c>
      <c r="G3263" t="s">
        <v>467</v>
      </c>
      <c r="H3263" s="25" t="s">
        <v>35</v>
      </c>
      <c r="I3263" s="25" t="s">
        <v>81</v>
      </c>
      <c r="J3263" s="25" t="s">
        <v>9</v>
      </c>
      <c r="K3263" s="25" t="s">
        <v>9</v>
      </c>
      <c r="L3263" s="25" t="s">
        <v>24</v>
      </c>
      <c r="M3263" s="25"/>
      <c r="N3263" s="25" t="s">
        <v>69</v>
      </c>
    </row>
    <row r="3264">
      <c r="A3264" s="94"/>
    </row>
    <row r="3265">
      <c r="A3265" s="279" t="s">
        <v>1155</v>
      </c>
      <c r="B3265" s="171" t="s">
        <v>18</v>
      </c>
      <c r="C3265" s="171" t="s">
        <v>74</v>
      </c>
      <c r="D3265" s="279" t="s">
        <v>1156</v>
      </c>
      <c r="E3265" s="240">
        <v>43630.0</v>
      </c>
      <c r="F3265" s="21" t="str">
        <f t="shared" ref="F3265:F3278" si="249">TEXT(E3257:E3265, "mmm") &amp; "-" &amp; TEXT(E3257:E3265, "yyyy") </f>
        <v>Jun-2019</v>
      </c>
      <c r="G3265" s="32" t="s">
        <v>20</v>
      </c>
      <c r="H3265" s="25" t="s">
        <v>35</v>
      </c>
      <c r="I3265" s="25" t="s">
        <v>839</v>
      </c>
      <c r="J3265" s="25" t="s">
        <v>27</v>
      </c>
      <c r="K3265" s="25" t="s">
        <v>9</v>
      </c>
      <c r="L3265" s="25" t="s">
        <v>30</v>
      </c>
      <c r="M3265" s="25" t="s">
        <v>30</v>
      </c>
      <c r="N3265" s="25" t="s">
        <v>69</v>
      </c>
    </row>
    <row r="3266">
      <c r="A3266" s="171" t="s">
        <v>18</v>
      </c>
      <c r="B3266" s="171" t="s">
        <v>18</v>
      </c>
      <c r="C3266" s="171" t="s">
        <v>74</v>
      </c>
      <c r="D3266" s="279" t="s">
        <v>1156</v>
      </c>
      <c r="E3266" s="240">
        <v>43630.0</v>
      </c>
      <c r="F3266" s="21" t="str">
        <f t="shared" si="249"/>
        <v>Jun-2019</v>
      </c>
      <c r="G3266" s="32" t="s">
        <v>25</v>
      </c>
      <c r="H3266" s="25" t="s">
        <v>35</v>
      </c>
      <c r="I3266" s="25" t="s">
        <v>839</v>
      </c>
      <c r="J3266" s="25" t="s">
        <v>27</v>
      </c>
      <c r="K3266" s="25" t="s">
        <v>9</v>
      </c>
      <c r="L3266" s="25" t="s">
        <v>30</v>
      </c>
      <c r="M3266" s="25"/>
      <c r="N3266" s="25" t="s">
        <v>106</v>
      </c>
    </row>
    <row r="3267">
      <c r="A3267" s="171" t="s">
        <v>638</v>
      </c>
      <c r="B3267" s="171" t="s">
        <v>18</v>
      </c>
      <c r="C3267" s="171" t="s">
        <v>74</v>
      </c>
      <c r="D3267" s="279" t="s">
        <v>1156</v>
      </c>
      <c r="E3267" s="240">
        <v>43630.0</v>
      </c>
      <c r="F3267" s="21" t="str">
        <f t="shared" si="249"/>
        <v>Jun-2019</v>
      </c>
      <c r="G3267" s="32" t="s">
        <v>20</v>
      </c>
      <c r="H3267" s="25" t="s">
        <v>35</v>
      </c>
      <c r="I3267" s="25" t="s">
        <v>184</v>
      </c>
      <c r="J3267" s="25" t="s">
        <v>86</v>
      </c>
      <c r="K3267" s="25" t="s">
        <v>9</v>
      </c>
      <c r="L3267" s="25" t="s">
        <v>30</v>
      </c>
      <c r="M3267" s="25" t="s">
        <v>24</v>
      </c>
      <c r="N3267" s="25" t="s">
        <v>98</v>
      </c>
    </row>
    <row r="3268">
      <c r="A3268" s="240">
        <v>43630.0</v>
      </c>
      <c r="B3268" s="171" t="s">
        <v>18</v>
      </c>
      <c r="C3268" s="171" t="s">
        <v>74</v>
      </c>
      <c r="D3268" s="279" t="s">
        <v>1156</v>
      </c>
      <c r="E3268" s="240">
        <v>43630.0</v>
      </c>
      <c r="F3268" s="21" t="str">
        <f t="shared" si="249"/>
        <v>Jun-2019</v>
      </c>
      <c r="G3268" s="32" t="s">
        <v>25</v>
      </c>
      <c r="H3268" s="25" t="s">
        <v>35</v>
      </c>
      <c r="I3268" s="25" t="s">
        <v>184</v>
      </c>
      <c r="J3268" s="25" t="s">
        <v>9</v>
      </c>
      <c r="K3268" s="25" t="s">
        <v>9</v>
      </c>
      <c r="L3268" s="25" t="s">
        <v>24</v>
      </c>
      <c r="M3268" s="25"/>
      <c r="N3268" s="25" t="s">
        <v>69</v>
      </c>
    </row>
    <row r="3269">
      <c r="A3269" s="171" t="s">
        <v>74</v>
      </c>
      <c r="B3269" s="171" t="s">
        <v>18</v>
      </c>
      <c r="C3269" s="171" t="s">
        <v>74</v>
      </c>
      <c r="D3269" s="279" t="s">
        <v>1156</v>
      </c>
      <c r="E3269" s="240">
        <v>43630.0</v>
      </c>
      <c r="F3269" s="21" t="str">
        <f t="shared" si="249"/>
        <v>Jun-2019</v>
      </c>
      <c r="G3269" s="32" t="s">
        <v>32</v>
      </c>
      <c r="H3269" s="25" t="s">
        <v>35</v>
      </c>
      <c r="I3269" s="25" t="s">
        <v>184</v>
      </c>
      <c r="J3269" s="25" t="s">
        <v>9</v>
      </c>
      <c r="K3269" s="25" t="s">
        <v>9</v>
      </c>
      <c r="L3269" s="25" t="s">
        <v>24</v>
      </c>
      <c r="M3269" s="25"/>
      <c r="N3269" s="25" t="s">
        <v>106</v>
      </c>
    </row>
    <row r="3270">
      <c r="A3270" s="301" t="s">
        <v>1157</v>
      </c>
      <c r="B3270" s="171" t="s">
        <v>18</v>
      </c>
      <c r="C3270" s="171" t="s">
        <v>74</v>
      </c>
      <c r="D3270" s="279" t="s">
        <v>1156</v>
      </c>
      <c r="E3270" s="240">
        <v>43630.0</v>
      </c>
      <c r="F3270" s="21" t="str">
        <f t="shared" si="249"/>
        <v>Jun-2019</v>
      </c>
      <c r="G3270" s="32" t="s">
        <v>20</v>
      </c>
      <c r="H3270" s="25" t="s">
        <v>35</v>
      </c>
      <c r="I3270" s="25" t="s">
        <v>1158</v>
      </c>
      <c r="J3270" s="25" t="s">
        <v>9</v>
      </c>
      <c r="K3270" s="25" t="s">
        <v>9</v>
      </c>
      <c r="L3270" s="25" t="s">
        <v>30</v>
      </c>
      <c r="M3270" s="25" t="s">
        <v>30</v>
      </c>
      <c r="N3270" s="25" t="s">
        <v>98</v>
      </c>
    </row>
    <row r="3271">
      <c r="A3271" s="172"/>
      <c r="B3271" s="171" t="s">
        <v>18</v>
      </c>
      <c r="C3271" s="171" t="s">
        <v>74</v>
      </c>
      <c r="D3271" s="279" t="s">
        <v>1156</v>
      </c>
      <c r="E3271" s="240">
        <v>43630.0</v>
      </c>
      <c r="F3271" s="21" t="str">
        <f t="shared" si="249"/>
        <v>Jun-2019</v>
      </c>
      <c r="G3271" s="32" t="s">
        <v>25</v>
      </c>
      <c r="H3271" s="25" t="s">
        <v>35</v>
      </c>
      <c r="I3271" s="25" t="s">
        <v>1158</v>
      </c>
      <c r="J3271" s="25" t="s">
        <v>9</v>
      </c>
      <c r="K3271" s="25" t="s">
        <v>9</v>
      </c>
      <c r="L3271" s="25" t="s">
        <v>30</v>
      </c>
      <c r="M3271" s="25"/>
      <c r="N3271" s="25" t="s">
        <v>98</v>
      </c>
    </row>
    <row r="3272">
      <c r="A3272" s="172"/>
      <c r="B3272" s="171" t="s">
        <v>18</v>
      </c>
      <c r="C3272" s="171" t="s">
        <v>74</v>
      </c>
      <c r="D3272" s="279" t="s">
        <v>1156</v>
      </c>
      <c r="E3272" s="240">
        <v>43630.0</v>
      </c>
      <c r="F3272" s="21" t="str">
        <f t="shared" si="249"/>
        <v>Jun-2019</v>
      </c>
      <c r="G3272" s="32" t="s">
        <v>20</v>
      </c>
      <c r="H3272" s="25" t="s">
        <v>35</v>
      </c>
      <c r="I3272" s="25" t="s">
        <v>989</v>
      </c>
      <c r="J3272" s="25" t="s">
        <v>86</v>
      </c>
      <c r="K3272" s="25" t="s">
        <v>9</v>
      </c>
      <c r="L3272" s="25" t="s">
        <v>30</v>
      </c>
      <c r="M3272" s="25" t="s">
        <v>24</v>
      </c>
      <c r="N3272" s="25" t="s">
        <v>69</v>
      </c>
      <c r="R3272" s="315" t="s">
        <v>1159</v>
      </c>
    </row>
    <row r="3273">
      <c r="A3273" s="172"/>
      <c r="B3273" s="171" t="s">
        <v>18</v>
      </c>
      <c r="C3273" s="171" t="s">
        <v>74</v>
      </c>
      <c r="D3273" s="279" t="s">
        <v>1156</v>
      </c>
      <c r="E3273" s="240">
        <v>43630.0</v>
      </c>
      <c r="F3273" s="21" t="str">
        <f t="shared" si="249"/>
        <v>Jun-2019</v>
      </c>
      <c r="G3273" s="32" t="s">
        <v>25</v>
      </c>
      <c r="H3273" s="25" t="s">
        <v>35</v>
      </c>
      <c r="I3273" s="25" t="s">
        <v>989</v>
      </c>
      <c r="J3273" s="25" t="s">
        <v>86</v>
      </c>
      <c r="K3273" s="25" t="s">
        <v>9</v>
      </c>
      <c r="L3273" s="25" t="s">
        <v>24</v>
      </c>
      <c r="M3273" s="25"/>
      <c r="N3273" s="25" t="s">
        <v>98</v>
      </c>
    </row>
    <row r="3274">
      <c r="A3274" s="172"/>
      <c r="B3274" s="171" t="s">
        <v>18</v>
      </c>
      <c r="C3274" s="171" t="s">
        <v>74</v>
      </c>
      <c r="D3274" s="279" t="s">
        <v>1156</v>
      </c>
      <c r="E3274" s="240">
        <v>43630.0</v>
      </c>
      <c r="F3274" s="21" t="str">
        <f t="shared" si="249"/>
        <v>Jun-2019</v>
      </c>
      <c r="G3274" s="32" t="s">
        <v>32</v>
      </c>
      <c r="H3274" s="25" t="s">
        <v>35</v>
      </c>
      <c r="I3274" s="25" t="s">
        <v>989</v>
      </c>
      <c r="J3274" s="25" t="s">
        <v>86</v>
      </c>
      <c r="K3274" s="25" t="s">
        <v>9</v>
      </c>
      <c r="L3274" s="25" t="s">
        <v>24</v>
      </c>
      <c r="M3274" s="25"/>
      <c r="N3274" s="25" t="s">
        <v>99</v>
      </c>
    </row>
    <row r="3275">
      <c r="A3275" s="172"/>
      <c r="B3275" s="171" t="s">
        <v>18</v>
      </c>
      <c r="C3275" s="171" t="s">
        <v>74</v>
      </c>
      <c r="D3275" s="279" t="s">
        <v>1156</v>
      </c>
      <c r="E3275" s="240">
        <v>43630.0</v>
      </c>
      <c r="F3275" s="21" t="str">
        <f t="shared" si="249"/>
        <v>Jun-2019</v>
      </c>
      <c r="G3275" t="s">
        <v>146</v>
      </c>
      <c r="H3275" s="25" t="s">
        <v>35</v>
      </c>
      <c r="I3275" s="25" t="s">
        <v>771</v>
      </c>
      <c r="J3275" s="25" t="s">
        <v>64</v>
      </c>
      <c r="K3275" s="25" t="s">
        <v>9</v>
      </c>
      <c r="L3275" s="25" t="s">
        <v>24</v>
      </c>
      <c r="M3275" s="25" t="s">
        <v>24</v>
      </c>
      <c r="N3275" s="25" t="s">
        <v>98</v>
      </c>
    </row>
    <row r="3276">
      <c r="A3276" s="172"/>
      <c r="B3276" s="171" t="s">
        <v>18</v>
      </c>
      <c r="C3276" s="171" t="s">
        <v>74</v>
      </c>
      <c r="D3276" s="279" t="s">
        <v>1156</v>
      </c>
      <c r="E3276" s="240">
        <v>43630.0</v>
      </c>
      <c r="F3276" s="21" t="str">
        <f t="shared" si="249"/>
        <v>Jun-2019</v>
      </c>
      <c r="G3276" t="s">
        <v>149</v>
      </c>
      <c r="H3276" s="25" t="s">
        <v>35</v>
      </c>
      <c r="I3276" s="25" t="s">
        <v>771</v>
      </c>
      <c r="J3276" s="25" t="s">
        <v>64</v>
      </c>
      <c r="K3276" s="25" t="s">
        <v>9</v>
      </c>
      <c r="L3276" s="25" t="s">
        <v>24</v>
      </c>
      <c r="M3276" s="25"/>
      <c r="N3276" s="25" t="s">
        <v>106</v>
      </c>
    </row>
    <row r="3277">
      <c r="A3277" s="172"/>
      <c r="B3277" s="171" t="s">
        <v>18</v>
      </c>
      <c r="C3277" s="171" t="s">
        <v>74</v>
      </c>
      <c r="D3277" s="279" t="s">
        <v>1156</v>
      </c>
      <c r="E3277" s="240">
        <v>43630.0</v>
      </c>
      <c r="F3277" s="21" t="str">
        <f t="shared" si="249"/>
        <v>Jun-2019</v>
      </c>
      <c r="G3277" t="s">
        <v>222</v>
      </c>
      <c r="H3277" s="25" t="s">
        <v>35</v>
      </c>
      <c r="I3277" s="25" t="s">
        <v>771</v>
      </c>
      <c r="J3277" s="25" t="s">
        <v>64</v>
      </c>
      <c r="K3277" s="25" t="s">
        <v>9</v>
      </c>
      <c r="L3277" s="25" t="s">
        <v>30</v>
      </c>
      <c r="M3277" s="25"/>
      <c r="N3277" s="25" t="s">
        <v>29</v>
      </c>
    </row>
    <row r="3278">
      <c r="A3278" s="172"/>
      <c r="B3278" s="171" t="s">
        <v>18</v>
      </c>
      <c r="C3278" s="171" t="s">
        <v>74</v>
      </c>
      <c r="D3278" s="279" t="s">
        <v>1156</v>
      </c>
      <c r="E3278" s="240">
        <v>43630.0</v>
      </c>
      <c r="F3278" s="21" t="str">
        <f t="shared" si="249"/>
        <v>Jun-2019</v>
      </c>
      <c r="G3278" t="s">
        <v>467</v>
      </c>
      <c r="H3278" s="25" t="s">
        <v>35</v>
      </c>
      <c r="I3278" s="25" t="s">
        <v>771</v>
      </c>
      <c r="J3278" s="25" t="s">
        <v>64</v>
      </c>
      <c r="K3278" s="25" t="s">
        <v>9</v>
      </c>
      <c r="L3278" s="25" t="s">
        <v>24</v>
      </c>
      <c r="M3278" s="25"/>
      <c r="N3278" s="25" t="s">
        <v>69</v>
      </c>
    </row>
    <row r="3279">
      <c r="A3279" s="94"/>
    </row>
    <row r="3280">
      <c r="A3280" s="279" t="s">
        <v>1160</v>
      </c>
      <c r="B3280" s="171" t="s">
        <v>203</v>
      </c>
      <c r="C3280" s="171" t="s">
        <v>74</v>
      </c>
      <c r="D3280" s="279" t="s">
        <v>1160</v>
      </c>
      <c r="E3280" s="240">
        <v>43633.0</v>
      </c>
      <c r="F3280" s="21" t="str">
        <f t="shared" ref="F3280:F3300" si="250">TEXT(E3272:E3280, "mmm") &amp; "-" &amp; TEXT(E3272:E3280, "yyyy") </f>
        <v>Jun-2019</v>
      </c>
      <c r="G3280" s="32" t="s">
        <v>20</v>
      </c>
      <c r="H3280" s="25" t="s">
        <v>35</v>
      </c>
      <c r="I3280" s="25" t="s">
        <v>296</v>
      </c>
      <c r="J3280" s="25" t="s">
        <v>9</v>
      </c>
      <c r="K3280" s="25" t="s">
        <v>9</v>
      </c>
      <c r="L3280" s="25" t="s">
        <v>24</v>
      </c>
      <c r="M3280" s="25" t="s">
        <v>24</v>
      </c>
      <c r="N3280" s="25" t="s">
        <v>98</v>
      </c>
    </row>
    <row r="3281">
      <c r="A3281" s="171" t="s">
        <v>203</v>
      </c>
      <c r="B3281" s="171" t="s">
        <v>203</v>
      </c>
      <c r="C3281" s="171" t="s">
        <v>74</v>
      </c>
      <c r="D3281" s="279" t="s">
        <v>1160</v>
      </c>
      <c r="E3281" s="240">
        <v>43633.0</v>
      </c>
      <c r="F3281" s="21" t="str">
        <f t="shared" si="250"/>
        <v>Jun-2019</v>
      </c>
      <c r="G3281" s="32" t="s">
        <v>25</v>
      </c>
      <c r="H3281" s="25" t="s">
        <v>35</v>
      </c>
      <c r="I3281" s="25" t="s">
        <v>296</v>
      </c>
      <c r="J3281" s="25" t="s">
        <v>9</v>
      </c>
      <c r="K3281" s="25" t="s">
        <v>9</v>
      </c>
      <c r="L3281" s="25" t="s">
        <v>30</v>
      </c>
      <c r="M3281" s="25"/>
      <c r="N3281" s="25" t="s">
        <v>99</v>
      </c>
    </row>
    <row r="3282">
      <c r="A3282" s="171" t="s">
        <v>1161</v>
      </c>
      <c r="B3282" s="171" t="s">
        <v>203</v>
      </c>
      <c r="C3282" s="171" t="s">
        <v>74</v>
      </c>
      <c r="D3282" s="279" t="s">
        <v>1160</v>
      </c>
      <c r="E3282" s="240">
        <v>43633.0</v>
      </c>
      <c r="F3282" s="21" t="str">
        <f t="shared" si="250"/>
        <v>Jun-2019</v>
      </c>
      <c r="G3282" s="32" t="s">
        <v>32</v>
      </c>
      <c r="H3282" s="25" t="s">
        <v>35</v>
      </c>
      <c r="I3282" s="25" t="s">
        <v>296</v>
      </c>
      <c r="J3282" s="25" t="s">
        <v>9</v>
      </c>
      <c r="K3282" s="25" t="s">
        <v>9</v>
      </c>
      <c r="L3282" s="25" t="s">
        <v>24</v>
      </c>
      <c r="M3282" s="25"/>
      <c r="N3282" s="25" t="s">
        <v>37</v>
      </c>
    </row>
    <row r="3283">
      <c r="A3283" s="240">
        <v>43633.0</v>
      </c>
      <c r="B3283" s="171" t="s">
        <v>203</v>
      </c>
      <c r="C3283" s="171" t="s">
        <v>74</v>
      </c>
      <c r="D3283" s="279" t="s">
        <v>1160</v>
      </c>
      <c r="E3283" s="240">
        <v>43633.0</v>
      </c>
      <c r="F3283" s="21" t="str">
        <f t="shared" si="250"/>
        <v>Jun-2019</v>
      </c>
      <c r="G3283" s="32" t="s">
        <v>20</v>
      </c>
      <c r="H3283" s="25" t="s">
        <v>35</v>
      </c>
      <c r="I3283" s="25" t="s">
        <v>1081</v>
      </c>
      <c r="J3283" s="25" t="s">
        <v>23</v>
      </c>
      <c r="K3283" s="25" t="s">
        <v>9</v>
      </c>
      <c r="L3283" s="25" t="s">
        <v>24</v>
      </c>
      <c r="M3283" s="25" t="s">
        <v>30</v>
      </c>
      <c r="N3283" s="25" t="s">
        <v>37</v>
      </c>
    </row>
    <row r="3284">
      <c r="A3284" s="171" t="s">
        <v>74</v>
      </c>
      <c r="B3284" s="171" t="s">
        <v>203</v>
      </c>
      <c r="C3284" s="171" t="s">
        <v>74</v>
      </c>
      <c r="D3284" s="279" t="s">
        <v>1160</v>
      </c>
      <c r="E3284" s="240">
        <v>43633.0</v>
      </c>
      <c r="F3284" s="21" t="str">
        <f t="shared" si="250"/>
        <v>Jun-2019</v>
      </c>
      <c r="G3284" s="32" t="s">
        <v>25</v>
      </c>
      <c r="H3284" s="25" t="s">
        <v>35</v>
      </c>
      <c r="I3284" s="25" t="s">
        <v>1081</v>
      </c>
      <c r="J3284" s="25" t="s">
        <v>23</v>
      </c>
      <c r="K3284" s="25" t="s">
        <v>9</v>
      </c>
      <c r="L3284" s="25" t="s">
        <v>30</v>
      </c>
      <c r="M3284" s="25"/>
      <c r="N3284" s="25" t="s">
        <v>106</v>
      </c>
    </row>
    <row r="3285">
      <c r="A3285" s="301" t="s">
        <v>1162</v>
      </c>
      <c r="B3285" s="171" t="s">
        <v>203</v>
      </c>
      <c r="C3285" s="171" t="s">
        <v>74</v>
      </c>
      <c r="D3285" s="279" t="s">
        <v>1160</v>
      </c>
      <c r="E3285" s="240">
        <v>43633.0</v>
      </c>
      <c r="F3285" s="21" t="str">
        <f t="shared" si="250"/>
        <v>Jun-2019</v>
      </c>
      <c r="G3285" s="32" t="s">
        <v>32</v>
      </c>
      <c r="H3285" s="25" t="s">
        <v>35</v>
      </c>
      <c r="I3285" s="25" t="s">
        <v>1081</v>
      </c>
      <c r="J3285" s="25" t="s">
        <v>23</v>
      </c>
      <c r="K3285" s="25" t="s">
        <v>9</v>
      </c>
      <c r="L3285" s="25" t="s">
        <v>30</v>
      </c>
      <c r="M3285" s="25"/>
      <c r="N3285" s="25" t="s">
        <v>99</v>
      </c>
    </row>
    <row r="3286">
      <c r="A3286" s="172"/>
      <c r="B3286" s="171" t="s">
        <v>203</v>
      </c>
      <c r="C3286" s="171" t="s">
        <v>74</v>
      </c>
      <c r="D3286" s="279" t="s">
        <v>1160</v>
      </c>
      <c r="E3286" s="240">
        <v>43633.0</v>
      </c>
      <c r="F3286" s="21" t="str">
        <f t="shared" si="250"/>
        <v>Jun-2019</v>
      </c>
      <c r="G3286" s="32" t="s">
        <v>20</v>
      </c>
      <c r="H3286" s="25" t="s">
        <v>35</v>
      </c>
      <c r="I3286" s="25" t="s">
        <v>1111</v>
      </c>
      <c r="J3286" s="25" t="s">
        <v>44</v>
      </c>
      <c r="K3286" s="25" t="s">
        <v>9</v>
      </c>
      <c r="L3286" s="25" t="s">
        <v>30</v>
      </c>
      <c r="M3286" s="25" t="s">
        <v>24</v>
      </c>
      <c r="N3286" s="25" t="s">
        <v>69</v>
      </c>
    </row>
    <row r="3287">
      <c r="A3287" s="172"/>
      <c r="B3287" s="171" t="s">
        <v>203</v>
      </c>
      <c r="C3287" s="171" t="s">
        <v>74</v>
      </c>
      <c r="D3287" s="279" t="s">
        <v>1160</v>
      </c>
      <c r="E3287" s="240">
        <v>43633.0</v>
      </c>
      <c r="F3287" s="21" t="str">
        <f t="shared" si="250"/>
        <v>Jun-2019</v>
      </c>
      <c r="G3287" s="32" t="s">
        <v>25</v>
      </c>
      <c r="H3287" s="25" t="s">
        <v>35</v>
      </c>
      <c r="I3287" s="25" t="s">
        <v>1111</v>
      </c>
      <c r="J3287" s="25" t="s">
        <v>44</v>
      </c>
      <c r="K3287" s="25" t="s">
        <v>9</v>
      </c>
      <c r="L3287" s="25" t="s">
        <v>24</v>
      </c>
      <c r="M3287" s="25"/>
      <c r="N3287" s="25" t="s">
        <v>98</v>
      </c>
    </row>
    <row r="3288">
      <c r="A3288" s="172"/>
      <c r="B3288" s="171" t="s">
        <v>203</v>
      </c>
      <c r="C3288" s="171" t="s">
        <v>74</v>
      </c>
      <c r="D3288" s="279" t="s">
        <v>1160</v>
      </c>
      <c r="E3288" s="240">
        <v>43633.0</v>
      </c>
      <c r="F3288" s="21" t="str">
        <f t="shared" si="250"/>
        <v>Jun-2019</v>
      </c>
      <c r="G3288" s="32" t="s">
        <v>32</v>
      </c>
      <c r="H3288" s="25" t="s">
        <v>35</v>
      </c>
      <c r="I3288" s="25" t="s">
        <v>1111</v>
      </c>
      <c r="J3288" s="25" t="s">
        <v>44</v>
      </c>
      <c r="K3288" s="25" t="s">
        <v>9</v>
      </c>
      <c r="L3288" s="25" t="s">
        <v>24</v>
      </c>
      <c r="M3288" s="25"/>
      <c r="N3288" s="25" t="s">
        <v>37</v>
      </c>
    </row>
    <row r="3289">
      <c r="A3289" s="172"/>
      <c r="B3289" s="171" t="s">
        <v>203</v>
      </c>
      <c r="C3289" s="171" t="s">
        <v>74</v>
      </c>
      <c r="D3289" s="279" t="s">
        <v>1160</v>
      </c>
      <c r="E3289" s="240">
        <v>43633.0</v>
      </c>
      <c r="F3289" s="21" t="str">
        <f t="shared" si="250"/>
        <v>Jun-2019</v>
      </c>
      <c r="G3289" s="32" t="s">
        <v>20</v>
      </c>
      <c r="H3289" s="25" t="s">
        <v>277</v>
      </c>
      <c r="I3289" s="25" t="s">
        <v>726</v>
      </c>
      <c r="J3289" s="25" t="s">
        <v>216</v>
      </c>
      <c r="K3289" s="25" t="s">
        <v>9</v>
      </c>
      <c r="L3289" s="25" t="s">
        <v>30</v>
      </c>
      <c r="M3289" s="25" t="s">
        <v>30</v>
      </c>
      <c r="N3289" s="25" t="s">
        <v>37</v>
      </c>
    </row>
    <row r="3290">
      <c r="A3290" s="172"/>
      <c r="B3290" s="171" t="s">
        <v>203</v>
      </c>
      <c r="C3290" s="171" t="s">
        <v>74</v>
      </c>
      <c r="D3290" s="279" t="s">
        <v>1160</v>
      </c>
      <c r="E3290" s="240">
        <v>43633.0</v>
      </c>
      <c r="F3290" s="21" t="str">
        <f t="shared" si="250"/>
        <v>Jun-2019</v>
      </c>
      <c r="G3290" s="32" t="s">
        <v>25</v>
      </c>
      <c r="H3290" s="25" t="s">
        <v>277</v>
      </c>
      <c r="I3290" s="25" t="s">
        <v>726</v>
      </c>
      <c r="J3290" s="25" t="s">
        <v>216</v>
      </c>
      <c r="K3290" s="25" t="s">
        <v>9</v>
      </c>
      <c r="L3290" s="25" t="s">
        <v>30</v>
      </c>
      <c r="M3290" s="25"/>
      <c r="N3290" s="25" t="s">
        <v>99</v>
      </c>
    </row>
    <row r="3291">
      <c r="A3291" s="172"/>
      <c r="B3291" s="171" t="s">
        <v>203</v>
      </c>
      <c r="C3291" s="171" t="s">
        <v>74</v>
      </c>
      <c r="D3291" s="279" t="s">
        <v>1160</v>
      </c>
      <c r="E3291" s="240">
        <v>43633.0</v>
      </c>
      <c r="F3291" s="21" t="str">
        <f t="shared" si="250"/>
        <v>Jun-2019</v>
      </c>
      <c r="G3291" s="32" t="s">
        <v>20</v>
      </c>
      <c r="H3291" s="25" t="s">
        <v>277</v>
      </c>
      <c r="I3291" s="25" t="s">
        <v>100</v>
      </c>
      <c r="J3291" s="25" t="s">
        <v>9</v>
      </c>
      <c r="K3291" s="25" t="s">
        <v>9</v>
      </c>
      <c r="L3291" s="25" t="s">
        <v>30</v>
      </c>
      <c r="M3291" s="25" t="s">
        <v>30</v>
      </c>
      <c r="N3291" s="25" t="s">
        <v>69</v>
      </c>
    </row>
    <row r="3292">
      <c r="A3292" s="172"/>
      <c r="B3292" s="171" t="s">
        <v>203</v>
      </c>
      <c r="C3292" s="171" t="s">
        <v>74</v>
      </c>
      <c r="D3292" s="279" t="s">
        <v>1160</v>
      </c>
      <c r="E3292" s="240">
        <v>43633.0</v>
      </c>
      <c r="F3292" s="21" t="str">
        <f t="shared" si="250"/>
        <v>Jun-2019</v>
      </c>
      <c r="G3292" s="32" t="s">
        <v>25</v>
      </c>
      <c r="H3292" s="25" t="s">
        <v>277</v>
      </c>
      <c r="I3292" s="25" t="s">
        <v>100</v>
      </c>
      <c r="J3292" s="25" t="s">
        <v>9</v>
      </c>
      <c r="K3292" s="25" t="s">
        <v>9</v>
      </c>
      <c r="L3292" s="25" t="s">
        <v>30</v>
      </c>
      <c r="M3292" s="25"/>
      <c r="N3292" s="25" t="s">
        <v>99</v>
      </c>
    </row>
    <row r="3293">
      <c r="A3293" s="172"/>
      <c r="B3293" s="171" t="s">
        <v>203</v>
      </c>
      <c r="C3293" s="171" t="s">
        <v>74</v>
      </c>
      <c r="D3293" s="279" t="s">
        <v>1160</v>
      </c>
      <c r="E3293" s="240">
        <v>43633.0</v>
      </c>
      <c r="F3293" s="21" t="str">
        <f t="shared" si="250"/>
        <v>Jun-2019</v>
      </c>
      <c r="G3293" t="s">
        <v>146</v>
      </c>
      <c r="H3293" s="25" t="s">
        <v>277</v>
      </c>
      <c r="I3293" s="25" t="s">
        <v>464</v>
      </c>
      <c r="J3293" s="25" t="s">
        <v>27</v>
      </c>
      <c r="K3293" s="25" t="s">
        <v>9</v>
      </c>
      <c r="L3293" s="25" t="s">
        <v>24</v>
      </c>
      <c r="M3293" s="25" t="s">
        <v>30</v>
      </c>
      <c r="N3293" s="25" t="s">
        <v>37</v>
      </c>
    </row>
    <row r="3294">
      <c r="A3294" s="172"/>
      <c r="B3294" s="171" t="s">
        <v>203</v>
      </c>
      <c r="C3294" s="171" t="s">
        <v>74</v>
      </c>
      <c r="D3294" s="279" t="s">
        <v>1160</v>
      </c>
      <c r="E3294" s="240">
        <v>43633.0</v>
      </c>
      <c r="F3294" s="21" t="str">
        <f t="shared" si="250"/>
        <v>Jun-2019</v>
      </c>
      <c r="G3294" t="s">
        <v>149</v>
      </c>
      <c r="H3294" s="25" t="s">
        <v>277</v>
      </c>
      <c r="I3294" s="25" t="s">
        <v>464</v>
      </c>
      <c r="J3294" s="25" t="s">
        <v>27</v>
      </c>
      <c r="K3294" s="25" t="s">
        <v>9</v>
      </c>
      <c r="L3294" s="25" t="s">
        <v>24</v>
      </c>
      <c r="M3294" s="25"/>
      <c r="N3294" s="25" t="s">
        <v>98</v>
      </c>
    </row>
    <row r="3295">
      <c r="A3295" s="172"/>
      <c r="B3295" s="171" t="s">
        <v>203</v>
      </c>
      <c r="C3295" s="171" t="s">
        <v>74</v>
      </c>
      <c r="D3295" s="279" t="s">
        <v>1160</v>
      </c>
      <c r="E3295" s="240">
        <v>43633.0</v>
      </c>
      <c r="F3295" s="21" t="str">
        <f t="shared" si="250"/>
        <v>Jun-2019</v>
      </c>
      <c r="G3295" t="s">
        <v>222</v>
      </c>
      <c r="H3295" s="25" t="s">
        <v>277</v>
      </c>
      <c r="I3295" s="25" t="s">
        <v>464</v>
      </c>
      <c r="J3295" s="25" t="s">
        <v>27</v>
      </c>
      <c r="K3295" s="25" t="s">
        <v>9</v>
      </c>
      <c r="L3295" s="25" t="s">
        <v>30</v>
      </c>
      <c r="M3295" s="25"/>
      <c r="N3295" s="25" t="s">
        <v>29</v>
      </c>
    </row>
    <row r="3296">
      <c r="A3296" s="172"/>
      <c r="B3296" s="171" t="s">
        <v>203</v>
      </c>
      <c r="C3296" s="171" t="s">
        <v>74</v>
      </c>
      <c r="D3296" s="279" t="s">
        <v>1160</v>
      </c>
      <c r="E3296" s="240">
        <v>43633.0</v>
      </c>
      <c r="F3296" s="21" t="str">
        <f t="shared" si="250"/>
        <v>Jun-2019</v>
      </c>
      <c r="G3296" t="s">
        <v>467</v>
      </c>
      <c r="H3296" s="25" t="s">
        <v>277</v>
      </c>
      <c r="I3296" s="25" t="s">
        <v>464</v>
      </c>
      <c r="J3296" s="25" t="s">
        <v>27</v>
      </c>
      <c r="K3296" s="25" t="s">
        <v>9</v>
      </c>
      <c r="L3296" s="25" t="s">
        <v>30</v>
      </c>
      <c r="M3296" s="25"/>
      <c r="N3296" s="25" t="s">
        <v>99</v>
      </c>
    </row>
    <row r="3297">
      <c r="A3297" s="172"/>
      <c r="B3297" s="171" t="s">
        <v>203</v>
      </c>
      <c r="C3297" s="171" t="s">
        <v>74</v>
      </c>
      <c r="D3297" s="279" t="s">
        <v>1160</v>
      </c>
      <c r="E3297" s="240">
        <v>43633.0</v>
      </c>
      <c r="F3297" s="21" t="str">
        <f t="shared" si="250"/>
        <v>Jun-2019</v>
      </c>
      <c r="G3297" s="25" t="s">
        <v>480</v>
      </c>
      <c r="H3297" s="25" t="s">
        <v>277</v>
      </c>
      <c r="I3297" s="25" t="s">
        <v>464</v>
      </c>
      <c r="J3297" s="25" t="s">
        <v>27</v>
      </c>
      <c r="K3297" s="25" t="s">
        <v>9</v>
      </c>
      <c r="L3297" s="25" t="s">
        <v>30</v>
      </c>
      <c r="M3297" s="25"/>
      <c r="N3297" s="25" t="s">
        <v>29</v>
      </c>
    </row>
    <row r="3298">
      <c r="A3298" s="172"/>
      <c r="B3298" s="171" t="s">
        <v>203</v>
      </c>
      <c r="C3298" s="171" t="s">
        <v>74</v>
      </c>
      <c r="D3298" s="279" t="s">
        <v>1160</v>
      </c>
      <c r="E3298" s="240">
        <v>43633.0</v>
      </c>
      <c r="F3298" s="21" t="str">
        <f t="shared" si="250"/>
        <v>Jun-2019</v>
      </c>
      <c r="G3298" t="s">
        <v>146</v>
      </c>
      <c r="H3298" s="25" t="s">
        <v>277</v>
      </c>
      <c r="I3298" s="25" t="s">
        <v>464</v>
      </c>
      <c r="J3298" s="25" t="s">
        <v>27</v>
      </c>
      <c r="K3298" s="25" t="s">
        <v>9</v>
      </c>
      <c r="L3298" s="25" t="s">
        <v>30</v>
      </c>
      <c r="M3298" s="25" t="s">
        <v>30</v>
      </c>
      <c r="N3298" s="25" t="s">
        <v>37</v>
      </c>
    </row>
    <row r="3299">
      <c r="A3299" s="172"/>
      <c r="B3299" s="171" t="s">
        <v>203</v>
      </c>
      <c r="C3299" s="171" t="s">
        <v>74</v>
      </c>
      <c r="D3299" s="279" t="s">
        <v>1160</v>
      </c>
      <c r="E3299" s="240">
        <v>43633.0</v>
      </c>
      <c r="F3299" s="21" t="str">
        <f t="shared" si="250"/>
        <v>Jun-2019</v>
      </c>
      <c r="G3299" t="s">
        <v>149</v>
      </c>
      <c r="H3299" s="25" t="s">
        <v>277</v>
      </c>
      <c r="I3299" s="25" t="s">
        <v>464</v>
      </c>
      <c r="J3299" s="25" t="s">
        <v>27</v>
      </c>
      <c r="K3299" s="25" t="s">
        <v>9</v>
      </c>
      <c r="L3299" s="25" t="s">
        <v>30</v>
      </c>
      <c r="M3299" s="25"/>
      <c r="N3299" s="25" t="s">
        <v>69</v>
      </c>
    </row>
    <row r="3300">
      <c r="A3300" s="172"/>
      <c r="B3300" s="171" t="s">
        <v>203</v>
      </c>
      <c r="C3300" s="171" t="s">
        <v>74</v>
      </c>
      <c r="D3300" s="279" t="s">
        <v>1160</v>
      </c>
      <c r="E3300" s="240">
        <v>43633.0</v>
      </c>
      <c r="F3300" s="21" t="str">
        <f t="shared" si="250"/>
        <v>Jun-2019</v>
      </c>
      <c r="G3300" t="s">
        <v>222</v>
      </c>
      <c r="H3300" s="25" t="s">
        <v>277</v>
      </c>
      <c r="I3300" s="25" t="s">
        <v>464</v>
      </c>
      <c r="J3300" s="25" t="s">
        <v>27</v>
      </c>
      <c r="K3300" s="25" t="s">
        <v>9</v>
      </c>
      <c r="L3300" s="25" t="s">
        <v>30</v>
      </c>
      <c r="M3300" s="25"/>
      <c r="N3300" s="25" t="s">
        <v>29</v>
      </c>
    </row>
    <row r="3301">
      <c r="A3301" s="94"/>
    </row>
    <row r="3302">
      <c r="A3302" s="279" t="s">
        <v>1163</v>
      </c>
      <c r="B3302" s="171" t="s">
        <v>1164</v>
      </c>
      <c r="C3302" s="171" t="s">
        <v>74</v>
      </c>
      <c r="D3302" s="279" t="s">
        <v>1163</v>
      </c>
      <c r="E3302" s="240">
        <v>43635.0</v>
      </c>
      <c r="F3302" s="21" t="str">
        <f t="shared" ref="F3302:F3312" si="251">TEXT(E3294:E3302, "mmm") &amp; "-" &amp; TEXT(E3294:E3302, "yyyy") </f>
        <v>Jun-2019</v>
      </c>
      <c r="G3302" s="32" t="s">
        <v>20</v>
      </c>
      <c r="H3302" s="25" t="s">
        <v>35</v>
      </c>
      <c r="I3302" s="25" t="s">
        <v>726</v>
      </c>
      <c r="J3302" s="25" t="s">
        <v>216</v>
      </c>
      <c r="K3302" s="25" t="s">
        <v>9</v>
      </c>
      <c r="L3302" s="25" t="s">
        <v>30</v>
      </c>
      <c r="M3302" s="25" t="s">
        <v>30</v>
      </c>
      <c r="N3302" s="25" t="s">
        <v>37</v>
      </c>
    </row>
    <row r="3303">
      <c r="A3303" s="171" t="s">
        <v>1164</v>
      </c>
      <c r="B3303" s="171" t="s">
        <v>1164</v>
      </c>
      <c r="C3303" s="171" t="s">
        <v>74</v>
      </c>
      <c r="D3303" s="279" t="s">
        <v>1163</v>
      </c>
      <c r="E3303" s="240">
        <v>43635.0</v>
      </c>
      <c r="F3303" s="21" t="str">
        <f t="shared" si="251"/>
        <v>Jun-2019</v>
      </c>
      <c r="G3303" s="32" t="s">
        <v>25</v>
      </c>
      <c r="H3303" s="25" t="s">
        <v>35</v>
      </c>
      <c r="I3303" s="25" t="s">
        <v>726</v>
      </c>
      <c r="J3303" s="25" t="s">
        <v>216</v>
      </c>
      <c r="K3303" s="25" t="s">
        <v>9</v>
      </c>
      <c r="L3303" s="25" t="s">
        <v>30</v>
      </c>
      <c r="M3303" s="25"/>
      <c r="N3303" s="25" t="s">
        <v>99</v>
      </c>
    </row>
    <row r="3304">
      <c r="A3304" s="171" t="s">
        <v>1165</v>
      </c>
      <c r="B3304" s="171" t="s">
        <v>1164</v>
      </c>
      <c r="C3304" s="171" t="s">
        <v>74</v>
      </c>
      <c r="D3304" s="279" t="s">
        <v>1163</v>
      </c>
      <c r="E3304" s="240">
        <v>43635.0</v>
      </c>
      <c r="F3304" s="21" t="str">
        <f t="shared" si="251"/>
        <v>Jun-2019</v>
      </c>
      <c r="G3304" s="32" t="s">
        <v>20</v>
      </c>
      <c r="H3304" s="25" t="s">
        <v>35</v>
      </c>
      <c r="I3304" s="25" t="s">
        <v>94</v>
      </c>
      <c r="J3304" s="25" t="s">
        <v>44</v>
      </c>
      <c r="K3304" s="25" t="s">
        <v>9</v>
      </c>
      <c r="L3304" s="25" t="s">
        <v>24</v>
      </c>
      <c r="M3304" s="25" t="s">
        <v>24</v>
      </c>
      <c r="N3304" s="25" t="s">
        <v>99</v>
      </c>
    </row>
    <row r="3305">
      <c r="A3305" s="240">
        <v>43635.0</v>
      </c>
      <c r="B3305" s="171" t="s">
        <v>1164</v>
      </c>
      <c r="C3305" s="171" t="s">
        <v>74</v>
      </c>
      <c r="D3305" s="279" t="s">
        <v>1163</v>
      </c>
      <c r="E3305" s="240">
        <v>43635.0</v>
      </c>
      <c r="F3305" s="21" t="str">
        <f t="shared" si="251"/>
        <v>Jun-2019</v>
      </c>
      <c r="G3305" s="32" t="s">
        <v>25</v>
      </c>
      <c r="H3305" s="25" t="s">
        <v>35</v>
      </c>
      <c r="I3305" s="25" t="s">
        <v>94</v>
      </c>
      <c r="J3305" s="25" t="s">
        <v>44</v>
      </c>
      <c r="K3305" s="25" t="s">
        <v>9</v>
      </c>
      <c r="L3305" s="25" t="s">
        <v>24</v>
      </c>
      <c r="M3305" s="25"/>
      <c r="N3305" s="25" t="s">
        <v>69</v>
      </c>
    </row>
    <row r="3306">
      <c r="A3306" s="171" t="s">
        <v>74</v>
      </c>
      <c r="B3306" s="171" t="s">
        <v>1164</v>
      </c>
      <c r="C3306" s="171" t="s">
        <v>74</v>
      </c>
      <c r="D3306" s="279" t="s">
        <v>1163</v>
      </c>
      <c r="E3306" s="240">
        <v>43635.0</v>
      </c>
      <c r="F3306" s="21" t="str">
        <f t="shared" si="251"/>
        <v>Jun-2019</v>
      </c>
      <c r="G3306" s="32" t="s">
        <v>20</v>
      </c>
      <c r="H3306" s="25" t="s">
        <v>35</v>
      </c>
      <c r="I3306" s="25" t="s">
        <v>665</v>
      </c>
      <c r="J3306" s="25" t="s">
        <v>86</v>
      </c>
      <c r="K3306" s="25" t="s">
        <v>9</v>
      </c>
      <c r="L3306" s="25" t="s">
        <v>30</v>
      </c>
      <c r="M3306" s="25" t="s">
        <v>30</v>
      </c>
      <c r="N3306" s="25" t="s">
        <v>69</v>
      </c>
    </row>
    <row r="3307">
      <c r="A3307" s="301" t="s">
        <v>1166</v>
      </c>
      <c r="B3307" s="171" t="s">
        <v>1164</v>
      </c>
      <c r="C3307" s="171" t="s">
        <v>74</v>
      </c>
      <c r="D3307" s="279" t="s">
        <v>1163</v>
      </c>
      <c r="E3307" s="240">
        <v>43635.0</v>
      </c>
      <c r="F3307" s="21" t="str">
        <f t="shared" si="251"/>
        <v>Jun-2019</v>
      </c>
      <c r="G3307" s="32" t="s">
        <v>25</v>
      </c>
      <c r="H3307" s="25" t="s">
        <v>35</v>
      </c>
      <c r="I3307" s="25" t="s">
        <v>665</v>
      </c>
      <c r="J3307" s="25" t="s">
        <v>86</v>
      </c>
      <c r="K3307" s="25" t="s">
        <v>9</v>
      </c>
      <c r="L3307" s="25" t="s">
        <v>30</v>
      </c>
      <c r="M3307" s="25"/>
      <c r="N3307" s="25" t="s">
        <v>98</v>
      </c>
    </row>
    <row r="3308">
      <c r="A3308" s="172"/>
      <c r="B3308" s="171" t="s">
        <v>1164</v>
      </c>
      <c r="C3308" s="171" t="s">
        <v>74</v>
      </c>
      <c r="D3308" s="279" t="s">
        <v>1163</v>
      </c>
      <c r="E3308" s="240">
        <v>43635.0</v>
      </c>
      <c r="F3308" s="21" t="str">
        <f t="shared" si="251"/>
        <v>Jun-2019</v>
      </c>
      <c r="G3308" t="s">
        <v>146</v>
      </c>
      <c r="H3308" s="25" t="s">
        <v>35</v>
      </c>
      <c r="I3308" s="25" t="s">
        <v>1138</v>
      </c>
      <c r="J3308" s="25" t="s">
        <v>27</v>
      </c>
      <c r="K3308" s="25" t="s">
        <v>9</v>
      </c>
      <c r="L3308" s="25" t="s">
        <v>30</v>
      </c>
      <c r="M3308" s="25" t="s">
        <v>24</v>
      </c>
      <c r="N3308" s="25" t="s">
        <v>69</v>
      </c>
    </row>
    <row r="3309">
      <c r="A3309" s="172"/>
      <c r="B3309" s="171" t="s">
        <v>1164</v>
      </c>
      <c r="C3309" s="171" t="s">
        <v>74</v>
      </c>
      <c r="D3309" s="279" t="s">
        <v>1163</v>
      </c>
      <c r="E3309" s="240">
        <v>43635.0</v>
      </c>
      <c r="F3309" s="21" t="str">
        <f t="shared" si="251"/>
        <v>Jun-2019</v>
      </c>
      <c r="G3309" t="s">
        <v>149</v>
      </c>
      <c r="H3309" s="25" t="s">
        <v>35</v>
      </c>
      <c r="I3309" s="25" t="s">
        <v>1138</v>
      </c>
      <c r="J3309" s="25" t="s">
        <v>23</v>
      </c>
      <c r="K3309" s="25" t="s">
        <v>9</v>
      </c>
      <c r="L3309" s="25" t="s">
        <v>24</v>
      </c>
      <c r="M3309" s="25"/>
      <c r="N3309" s="25" t="s">
        <v>98</v>
      </c>
    </row>
    <row r="3310">
      <c r="A3310" s="172"/>
      <c r="B3310" s="171" t="s">
        <v>1164</v>
      </c>
      <c r="C3310" s="171" t="s">
        <v>74</v>
      </c>
      <c r="D3310" s="279" t="s">
        <v>1163</v>
      </c>
      <c r="E3310" s="240">
        <v>43635.0</v>
      </c>
      <c r="F3310" s="21" t="str">
        <f t="shared" si="251"/>
        <v>Jun-2019</v>
      </c>
      <c r="G3310" t="s">
        <v>222</v>
      </c>
      <c r="H3310" s="25" t="s">
        <v>35</v>
      </c>
      <c r="I3310" s="25" t="s">
        <v>1138</v>
      </c>
      <c r="J3310" s="25" t="s">
        <v>23</v>
      </c>
      <c r="K3310" s="25" t="s">
        <v>9</v>
      </c>
      <c r="L3310" s="25" t="s">
        <v>24</v>
      </c>
      <c r="M3310" s="25"/>
      <c r="N3310" s="25" t="s">
        <v>106</v>
      </c>
    </row>
    <row r="3311">
      <c r="A3311" s="172"/>
      <c r="B3311" s="171" t="s">
        <v>1164</v>
      </c>
      <c r="C3311" s="171" t="s">
        <v>74</v>
      </c>
      <c r="D3311" s="279" t="s">
        <v>1163</v>
      </c>
      <c r="E3311" s="240">
        <v>43635.0</v>
      </c>
      <c r="F3311" s="21" t="str">
        <f t="shared" si="251"/>
        <v>Jun-2019</v>
      </c>
      <c r="G3311" t="s">
        <v>467</v>
      </c>
      <c r="H3311" s="25" t="s">
        <v>35</v>
      </c>
      <c r="I3311" s="25" t="s">
        <v>1138</v>
      </c>
      <c r="J3311" s="25" t="s">
        <v>23</v>
      </c>
      <c r="K3311" s="25" t="s">
        <v>9</v>
      </c>
      <c r="L3311" s="25" t="s">
        <v>30</v>
      </c>
      <c r="M3311" s="25"/>
      <c r="N3311" s="25" t="s">
        <v>99</v>
      </c>
    </row>
    <row r="3312">
      <c r="A3312" s="172"/>
      <c r="B3312" s="171" t="s">
        <v>1164</v>
      </c>
      <c r="C3312" s="171" t="s">
        <v>74</v>
      </c>
      <c r="D3312" s="279" t="s">
        <v>1163</v>
      </c>
      <c r="E3312" s="240">
        <v>43635.0</v>
      </c>
      <c r="F3312" s="21" t="str">
        <f t="shared" si="251"/>
        <v>Jun-2019</v>
      </c>
      <c r="G3312" s="25" t="s">
        <v>480</v>
      </c>
      <c r="H3312" s="25" t="s">
        <v>35</v>
      </c>
      <c r="I3312" s="25" t="s">
        <v>1138</v>
      </c>
      <c r="J3312" s="25" t="s">
        <v>23</v>
      </c>
      <c r="K3312" s="25" t="s">
        <v>9</v>
      </c>
      <c r="L3312" s="25" t="s">
        <v>24</v>
      </c>
      <c r="M3312" s="25"/>
      <c r="N3312" s="25" t="s">
        <v>99</v>
      </c>
    </row>
    <row r="3313">
      <c r="A3313" s="94"/>
      <c r="B3313" s="316"/>
      <c r="C3313" s="316"/>
      <c r="D3313" s="316"/>
      <c r="E3313" s="317"/>
      <c r="F3313" s="21"/>
    </row>
    <row r="3314">
      <c r="A3314" s="279" t="s">
        <v>1167</v>
      </c>
      <c r="B3314" s="171" t="s">
        <v>18</v>
      </c>
      <c r="C3314" s="171" t="s">
        <v>74</v>
      </c>
      <c r="D3314" s="279" t="s">
        <v>1167</v>
      </c>
      <c r="E3314" s="240">
        <v>43637.0</v>
      </c>
      <c r="F3314" s="21" t="str">
        <f t="shared" ref="F3314:F3322" si="252">TEXT(E3306:E3314, "mmm") &amp; "-" &amp; TEXT(E3306:E3314, "yyyy") </f>
        <v>Jun-2019</v>
      </c>
      <c r="G3314" s="32" t="s">
        <v>20</v>
      </c>
      <c r="H3314" s="25" t="s">
        <v>35</v>
      </c>
      <c r="I3314" s="25" t="s">
        <v>980</v>
      </c>
      <c r="J3314" s="25" t="s">
        <v>9</v>
      </c>
      <c r="K3314" s="25" t="s">
        <v>9</v>
      </c>
      <c r="L3314" s="25" t="s">
        <v>30</v>
      </c>
      <c r="M3314" s="25" t="s">
        <v>30</v>
      </c>
      <c r="N3314" s="25" t="s">
        <v>69</v>
      </c>
    </row>
    <row r="3315">
      <c r="A3315" s="171" t="s">
        <v>18</v>
      </c>
      <c r="B3315" s="171" t="s">
        <v>18</v>
      </c>
      <c r="C3315" s="171" t="s">
        <v>74</v>
      </c>
      <c r="D3315" s="279" t="s">
        <v>1167</v>
      </c>
      <c r="E3315" s="240">
        <v>43637.0</v>
      </c>
      <c r="F3315" s="21" t="str">
        <f t="shared" si="252"/>
        <v>Jun-2019</v>
      </c>
      <c r="G3315" s="32" t="s">
        <v>25</v>
      </c>
      <c r="H3315" s="25" t="s">
        <v>35</v>
      </c>
      <c r="I3315" s="25" t="s">
        <v>980</v>
      </c>
      <c r="J3315" s="25" t="s">
        <v>9</v>
      </c>
      <c r="K3315" s="25" t="s">
        <v>9</v>
      </c>
      <c r="L3315" s="25" t="s">
        <v>30</v>
      </c>
      <c r="M3315" s="25"/>
      <c r="N3315" s="25" t="s">
        <v>69</v>
      </c>
    </row>
    <row r="3316">
      <c r="A3316" s="171" t="s">
        <v>638</v>
      </c>
      <c r="B3316" s="171" t="s">
        <v>18</v>
      </c>
      <c r="C3316" s="171" t="s">
        <v>74</v>
      </c>
      <c r="D3316" s="279" t="s">
        <v>1167</v>
      </c>
      <c r="E3316" s="240">
        <v>43637.0</v>
      </c>
      <c r="F3316" s="21" t="str">
        <f t="shared" si="252"/>
        <v>Jun-2019</v>
      </c>
      <c r="G3316" s="32" t="s">
        <v>20</v>
      </c>
      <c r="H3316" s="25" t="s">
        <v>35</v>
      </c>
      <c r="I3316" s="25" t="s">
        <v>407</v>
      </c>
      <c r="J3316" s="25" t="s">
        <v>44</v>
      </c>
      <c r="K3316" s="25" t="s">
        <v>9</v>
      </c>
      <c r="L3316" s="25" t="s">
        <v>24</v>
      </c>
      <c r="M3316" s="25" t="s">
        <v>24</v>
      </c>
      <c r="N3316" s="25" t="s">
        <v>69</v>
      </c>
    </row>
    <row r="3317">
      <c r="A3317" s="240">
        <v>43637.0</v>
      </c>
      <c r="B3317" s="171" t="s">
        <v>18</v>
      </c>
      <c r="C3317" s="171" t="s">
        <v>74</v>
      </c>
      <c r="D3317" s="279" t="s">
        <v>1167</v>
      </c>
      <c r="E3317" s="240">
        <v>43637.0</v>
      </c>
      <c r="F3317" s="21" t="str">
        <f t="shared" si="252"/>
        <v>Jun-2019</v>
      </c>
      <c r="G3317" s="32" t="s">
        <v>25</v>
      </c>
      <c r="H3317" s="25" t="s">
        <v>35</v>
      </c>
      <c r="I3317" s="25" t="s">
        <v>407</v>
      </c>
      <c r="J3317" s="25" t="s">
        <v>44</v>
      </c>
      <c r="K3317" s="25" t="s">
        <v>9</v>
      </c>
      <c r="L3317" s="25" t="s">
        <v>30</v>
      </c>
      <c r="M3317" s="25"/>
      <c r="N3317" s="25" t="s">
        <v>106</v>
      </c>
    </row>
    <row r="3318">
      <c r="A3318" s="301" t="s">
        <v>1168</v>
      </c>
      <c r="B3318" s="171" t="s">
        <v>18</v>
      </c>
      <c r="C3318" s="171" t="s">
        <v>74</v>
      </c>
      <c r="D3318" s="279" t="s">
        <v>1167</v>
      </c>
      <c r="E3318" s="240">
        <v>43637.0</v>
      </c>
      <c r="F3318" s="21" t="str">
        <f t="shared" si="252"/>
        <v>Jun-2019</v>
      </c>
      <c r="G3318" s="32" t="s">
        <v>32</v>
      </c>
      <c r="H3318" s="25" t="s">
        <v>35</v>
      </c>
      <c r="I3318" s="25" t="s">
        <v>407</v>
      </c>
      <c r="J3318" s="25" t="s">
        <v>44</v>
      </c>
      <c r="K3318" s="25" t="s">
        <v>9</v>
      </c>
      <c r="L3318" s="25" t="s">
        <v>24</v>
      </c>
      <c r="M3318" s="25"/>
      <c r="N3318" s="25" t="s">
        <v>99</v>
      </c>
    </row>
    <row r="3319">
      <c r="A3319" s="171" t="s">
        <v>74</v>
      </c>
      <c r="B3319" s="171" t="s">
        <v>18</v>
      </c>
      <c r="C3319" s="171" t="s">
        <v>74</v>
      </c>
      <c r="D3319" s="279" t="s">
        <v>1167</v>
      </c>
      <c r="E3319" s="240">
        <v>43637.0</v>
      </c>
      <c r="F3319" s="21" t="str">
        <f t="shared" si="252"/>
        <v>Jun-2019</v>
      </c>
      <c r="G3319" s="32" t="s">
        <v>20</v>
      </c>
      <c r="H3319" s="25" t="s">
        <v>35</v>
      </c>
      <c r="I3319" s="25" t="s">
        <v>839</v>
      </c>
      <c r="J3319" s="25" t="s">
        <v>27</v>
      </c>
      <c r="K3319" s="25" t="s">
        <v>9</v>
      </c>
      <c r="L3319" s="25" t="s">
        <v>30</v>
      </c>
      <c r="M3319" s="25" t="s">
        <v>30</v>
      </c>
      <c r="N3319" s="25" t="s">
        <v>69</v>
      </c>
    </row>
    <row r="3320">
      <c r="A3320" s="172"/>
      <c r="B3320" s="171" t="s">
        <v>18</v>
      </c>
      <c r="C3320" s="171" t="s">
        <v>74</v>
      </c>
      <c r="D3320" s="279" t="s">
        <v>1167</v>
      </c>
      <c r="E3320" s="240">
        <v>43637.0</v>
      </c>
      <c r="F3320" s="21" t="str">
        <f t="shared" si="252"/>
        <v>Jun-2019</v>
      </c>
      <c r="G3320" s="32" t="s">
        <v>25</v>
      </c>
      <c r="H3320" s="25" t="s">
        <v>35</v>
      </c>
      <c r="I3320" s="25" t="s">
        <v>839</v>
      </c>
      <c r="J3320" s="25" t="s">
        <v>27</v>
      </c>
      <c r="K3320" s="25" t="s">
        <v>9</v>
      </c>
      <c r="L3320" s="25" t="s">
        <v>30</v>
      </c>
      <c r="M3320" s="25"/>
      <c r="N3320" s="25" t="s">
        <v>69</v>
      </c>
    </row>
    <row r="3321">
      <c r="A3321" s="172"/>
      <c r="B3321" s="171" t="s">
        <v>18</v>
      </c>
      <c r="C3321" s="171" t="s">
        <v>74</v>
      </c>
      <c r="D3321" s="279" t="s">
        <v>1167</v>
      </c>
      <c r="E3321" s="240">
        <v>43637.0</v>
      </c>
      <c r="F3321" s="21" t="str">
        <f t="shared" si="252"/>
        <v>Jun-2019</v>
      </c>
      <c r="G3321" s="32" t="s">
        <v>20</v>
      </c>
      <c r="H3321" s="25" t="s">
        <v>35</v>
      </c>
      <c r="I3321" s="25" t="s">
        <v>360</v>
      </c>
      <c r="J3321" s="25" t="s">
        <v>216</v>
      </c>
      <c r="K3321" s="25" t="s">
        <v>9</v>
      </c>
      <c r="L3321" s="25" t="s">
        <v>24</v>
      </c>
      <c r="M3321" s="25" t="s">
        <v>24</v>
      </c>
      <c r="N3321" s="25" t="s">
        <v>37</v>
      </c>
    </row>
    <row r="3322">
      <c r="A3322" s="172"/>
      <c r="B3322" s="171" t="s">
        <v>18</v>
      </c>
      <c r="C3322" s="171" t="s">
        <v>74</v>
      </c>
      <c r="D3322" s="279" t="s">
        <v>1167</v>
      </c>
      <c r="E3322" s="240">
        <v>43637.0</v>
      </c>
      <c r="F3322" s="21" t="str">
        <f t="shared" si="252"/>
        <v>Jun-2019</v>
      </c>
      <c r="G3322" s="32" t="s">
        <v>25</v>
      </c>
      <c r="H3322" s="25" t="s">
        <v>35</v>
      </c>
      <c r="I3322" s="25" t="s">
        <v>360</v>
      </c>
      <c r="J3322" s="25" t="s">
        <v>216</v>
      </c>
      <c r="K3322" s="25" t="s">
        <v>9</v>
      </c>
      <c r="L3322" s="25" t="s">
        <v>24</v>
      </c>
      <c r="M3322" s="25"/>
      <c r="N3322" s="25" t="s">
        <v>69</v>
      </c>
    </row>
    <row r="3323">
      <c r="A3323" s="94"/>
      <c r="G3323" s="32"/>
    </row>
    <row r="3324">
      <c r="A3324" s="318" t="s">
        <v>1169</v>
      </c>
      <c r="B3324" s="319" t="s">
        <v>1170</v>
      </c>
      <c r="C3324" s="319" t="s">
        <v>1171</v>
      </c>
      <c r="D3324" s="318" t="s">
        <v>1169</v>
      </c>
      <c r="E3324" s="320">
        <v>43644.0</v>
      </c>
      <c r="F3324" s="21" t="str">
        <f t="shared" ref="F3324:F3332" si="253">TEXT(E3316:E3324, "mmm") &amp; "-" &amp; TEXT(E3316:E3324, "yyyy") </f>
        <v>Jun-2019</v>
      </c>
      <c r="G3324" s="32" t="s">
        <v>20</v>
      </c>
      <c r="H3324" s="25" t="s">
        <v>273</v>
      </c>
      <c r="I3324" s="25" t="s">
        <v>1172</v>
      </c>
      <c r="J3324" s="25" t="s">
        <v>139</v>
      </c>
      <c r="K3324" s="25" t="s">
        <v>9</v>
      </c>
      <c r="L3324" s="25" t="s">
        <v>24</v>
      </c>
      <c r="M3324" s="25" t="s">
        <v>30</v>
      </c>
      <c r="N3324" s="25" t="s">
        <v>37</v>
      </c>
      <c r="Q3324" s="25" t="s">
        <v>1173</v>
      </c>
    </row>
    <row r="3325">
      <c r="A3325" s="319" t="s">
        <v>1170</v>
      </c>
      <c r="B3325" s="319" t="s">
        <v>1170</v>
      </c>
      <c r="C3325" s="319" t="s">
        <v>1171</v>
      </c>
      <c r="D3325" s="318" t="s">
        <v>1169</v>
      </c>
      <c r="E3325" s="320">
        <v>43644.0</v>
      </c>
      <c r="F3325" s="21" t="str">
        <f t="shared" si="253"/>
        <v>Jun-2019</v>
      </c>
      <c r="G3325" s="32" t="s">
        <v>25</v>
      </c>
      <c r="H3325" s="25" t="s">
        <v>273</v>
      </c>
      <c r="I3325" s="25" t="s">
        <v>1172</v>
      </c>
      <c r="J3325" s="25" t="s">
        <v>139</v>
      </c>
      <c r="K3325" s="25" t="s">
        <v>9</v>
      </c>
      <c r="L3325" s="25" t="s">
        <v>30</v>
      </c>
      <c r="M3325" s="25"/>
      <c r="N3325" s="25" t="s">
        <v>69</v>
      </c>
      <c r="Q3325" s="25" t="s">
        <v>1173</v>
      </c>
    </row>
    <row r="3326">
      <c r="A3326" s="319" t="s">
        <v>1174</v>
      </c>
      <c r="B3326" s="319" t="s">
        <v>1170</v>
      </c>
      <c r="C3326" s="319" t="s">
        <v>1171</v>
      </c>
      <c r="D3326" s="318" t="s">
        <v>1169</v>
      </c>
      <c r="E3326" s="320">
        <v>43644.0</v>
      </c>
      <c r="F3326" s="21" t="str">
        <f t="shared" si="253"/>
        <v>Jun-2019</v>
      </c>
      <c r="G3326" s="32" t="s">
        <v>32</v>
      </c>
      <c r="H3326" s="25" t="s">
        <v>273</v>
      </c>
      <c r="I3326" s="25" t="s">
        <v>1172</v>
      </c>
      <c r="J3326" s="25" t="s">
        <v>139</v>
      </c>
      <c r="K3326" s="25" t="s">
        <v>9</v>
      </c>
      <c r="L3326" s="25" t="s">
        <v>30</v>
      </c>
      <c r="M3326" s="25"/>
      <c r="N3326" s="25" t="s">
        <v>99</v>
      </c>
      <c r="Q3326" s="25" t="s">
        <v>1173</v>
      </c>
    </row>
    <row r="3327">
      <c r="A3327" s="320">
        <v>43644.0</v>
      </c>
      <c r="B3327" s="319" t="s">
        <v>1170</v>
      </c>
      <c r="C3327" s="319" t="s">
        <v>1171</v>
      </c>
      <c r="D3327" s="318" t="s">
        <v>1169</v>
      </c>
      <c r="E3327" s="320">
        <v>43644.0</v>
      </c>
      <c r="F3327" s="21" t="str">
        <f t="shared" si="253"/>
        <v>Jun-2019</v>
      </c>
      <c r="G3327" s="32" t="s">
        <v>20</v>
      </c>
      <c r="H3327" s="25" t="s">
        <v>273</v>
      </c>
      <c r="I3327" s="25" t="s">
        <v>1175</v>
      </c>
      <c r="J3327" s="25" t="s">
        <v>216</v>
      </c>
      <c r="K3327" s="25" t="s">
        <v>9</v>
      </c>
      <c r="L3327" s="25" t="s">
        <v>24</v>
      </c>
      <c r="M3327" s="25" t="s">
        <v>24</v>
      </c>
      <c r="N3327" s="25" t="s">
        <v>98</v>
      </c>
      <c r="Q3327" s="25" t="s">
        <v>1176</v>
      </c>
    </row>
    <row r="3328">
      <c r="A3328" s="321" t="s">
        <v>1177</v>
      </c>
      <c r="B3328" s="319" t="s">
        <v>1170</v>
      </c>
      <c r="C3328" s="319" t="s">
        <v>1171</v>
      </c>
      <c r="D3328" s="318" t="s">
        <v>1169</v>
      </c>
      <c r="E3328" s="320">
        <v>43644.0</v>
      </c>
      <c r="F3328" s="21" t="str">
        <f t="shared" si="253"/>
        <v>Jun-2019</v>
      </c>
      <c r="G3328" s="32" t="s">
        <v>25</v>
      </c>
      <c r="H3328" s="25" t="s">
        <v>273</v>
      </c>
      <c r="I3328" s="25" t="s">
        <v>1175</v>
      </c>
      <c r="J3328" s="25" t="s">
        <v>216</v>
      </c>
      <c r="K3328" s="25" t="s">
        <v>9</v>
      </c>
      <c r="L3328" s="25" t="s">
        <v>24</v>
      </c>
      <c r="M3328" s="25"/>
      <c r="N3328" s="25" t="s">
        <v>98</v>
      </c>
      <c r="Q3328" s="25" t="s">
        <v>1176</v>
      </c>
    </row>
    <row r="3329">
      <c r="A3329" s="319" t="s">
        <v>1178</v>
      </c>
      <c r="B3329" s="319" t="s">
        <v>1170</v>
      </c>
      <c r="C3329" s="319" t="s">
        <v>1171</v>
      </c>
      <c r="D3329" s="318" t="s">
        <v>1169</v>
      </c>
      <c r="E3329" s="320">
        <v>43644.0</v>
      </c>
      <c r="F3329" s="21" t="str">
        <f t="shared" si="253"/>
        <v>Jun-2019</v>
      </c>
      <c r="G3329" s="32" t="s">
        <v>20</v>
      </c>
      <c r="H3329" s="25" t="s">
        <v>273</v>
      </c>
      <c r="I3329" s="25" t="s">
        <v>1179</v>
      </c>
      <c r="J3329" s="25" t="s">
        <v>23</v>
      </c>
      <c r="K3329" s="25" t="s">
        <v>9</v>
      </c>
      <c r="L3329" s="25" t="s">
        <v>30</v>
      </c>
      <c r="M3329" s="25" t="s">
        <v>30</v>
      </c>
      <c r="N3329" s="25" t="s">
        <v>37</v>
      </c>
    </row>
    <row r="3330">
      <c r="A3330" s="321" t="s">
        <v>1180</v>
      </c>
      <c r="B3330" s="319" t="s">
        <v>1170</v>
      </c>
      <c r="C3330" s="319" t="s">
        <v>1171</v>
      </c>
      <c r="D3330" s="318" t="s">
        <v>1169</v>
      </c>
      <c r="E3330" s="320">
        <v>43644.0</v>
      </c>
      <c r="F3330" s="21" t="str">
        <f t="shared" si="253"/>
        <v>Jun-2019</v>
      </c>
      <c r="G3330" s="32" t="s">
        <v>25</v>
      </c>
      <c r="H3330" s="25" t="s">
        <v>273</v>
      </c>
      <c r="I3330" s="25" t="s">
        <v>1179</v>
      </c>
      <c r="J3330" s="25" t="s">
        <v>23</v>
      </c>
      <c r="K3330" s="25" t="s">
        <v>9</v>
      </c>
      <c r="L3330" s="25" t="s">
        <v>30</v>
      </c>
      <c r="M3330" s="25"/>
      <c r="N3330" s="25" t="s">
        <v>37</v>
      </c>
    </row>
    <row r="3331">
      <c r="A3331" s="319" t="s">
        <v>1171</v>
      </c>
      <c r="B3331" s="319" t="s">
        <v>1170</v>
      </c>
      <c r="C3331" s="319" t="s">
        <v>1171</v>
      </c>
      <c r="D3331" s="318" t="s">
        <v>1169</v>
      </c>
      <c r="E3331" s="320">
        <v>43644.0</v>
      </c>
      <c r="F3331" s="21" t="str">
        <f t="shared" si="253"/>
        <v>Jun-2019</v>
      </c>
      <c r="G3331" s="32" t="s">
        <v>20</v>
      </c>
      <c r="H3331" s="25" t="s">
        <v>273</v>
      </c>
      <c r="I3331" s="25" t="s">
        <v>1181</v>
      </c>
      <c r="J3331" s="25" t="s">
        <v>86</v>
      </c>
      <c r="K3331" s="25" t="s">
        <v>9</v>
      </c>
      <c r="L3331" s="25" t="s">
        <v>24</v>
      </c>
      <c r="M3331" s="25" t="s">
        <v>24</v>
      </c>
      <c r="N3331" s="25" t="s">
        <v>69</v>
      </c>
      <c r="Q3331" s="25" t="s">
        <v>1182</v>
      </c>
    </row>
    <row r="3332">
      <c r="A3332" s="322"/>
      <c r="B3332" s="319" t="s">
        <v>1170</v>
      </c>
      <c r="C3332" s="319" t="s">
        <v>1171</v>
      </c>
      <c r="D3332" s="318" t="s">
        <v>1169</v>
      </c>
      <c r="E3332" s="320">
        <v>43644.0</v>
      </c>
      <c r="F3332" s="21" t="str">
        <f t="shared" si="253"/>
        <v>Jun-2019</v>
      </c>
      <c r="G3332" s="32" t="s">
        <v>25</v>
      </c>
      <c r="H3332" s="25" t="s">
        <v>273</v>
      </c>
      <c r="I3332" s="25" t="s">
        <v>1181</v>
      </c>
      <c r="J3332" s="25" t="s">
        <v>86</v>
      </c>
      <c r="K3332" s="25" t="s">
        <v>9</v>
      </c>
      <c r="L3332" s="25" t="s">
        <v>24</v>
      </c>
      <c r="M3332" s="25"/>
      <c r="N3332" s="25" t="s">
        <v>99</v>
      </c>
      <c r="Q3332" s="25" t="s">
        <v>1182</v>
      </c>
    </row>
    <row r="3333">
      <c r="A3333" s="94"/>
      <c r="G3333" s="32"/>
    </row>
    <row r="3334">
      <c r="A3334" s="323" t="s">
        <v>1183</v>
      </c>
      <c r="B3334" s="324" t="s">
        <v>1184</v>
      </c>
      <c r="C3334" s="324" t="s">
        <v>19</v>
      </c>
      <c r="D3334" s="323" t="s">
        <v>1183</v>
      </c>
      <c r="E3334" s="325">
        <v>43660.0</v>
      </c>
      <c r="F3334" s="21" t="str">
        <f t="shared" ref="F3334:F3342" si="254">TEXT(E3326:E3334, "mmm") &amp; "-" &amp; TEXT(E3326:E3334, "yyyy") </f>
        <v>Jul-2019</v>
      </c>
      <c r="G3334" s="32" t="s">
        <v>20</v>
      </c>
      <c r="H3334" s="25" t="s">
        <v>35</v>
      </c>
      <c r="I3334" s="25" t="s">
        <v>100</v>
      </c>
      <c r="J3334" s="25" t="s">
        <v>9</v>
      </c>
      <c r="K3334" s="25" t="s">
        <v>9</v>
      </c>
      <c r="L3334" s="25" t="s">
        <v>30</v>
      </c>
      <c r="M3334" s="25" t="s">
        <v>30</v>
      </c>
      <c r="N3334" s="25" t="s">
        <v>69</v>
      </c>
    </row>
    <row r="3335">
      <c r="A3335" s="324" t="s">
        <v>1184</v>
      </c>
      <c r="B3335" s="324" t="s">
        <v>1184</v>
      </c>
      <c r="C3335" s="324" t="s">
        <v>19</v>
      </c>
      <c r="D3335" s="323" t="s">
        <v>1183</v>
      </c>
      <c r="E3335" s="325">
        <v>43660.0</v>
      </c>
      <c r="F3335" s="21" t="str">
        <f t="shared" si="254"/>
        <v>Jul-2019</v>
      </c>
      <c r="G3335" s="32" t="s">
        <v>25</v>
      </c>
      <c r="H3335" s="25" t="s">
        <v>35</v>
      </c>
      <c r="I3335" s="25" t="s">
        <v>100</v>
      </c>
      <c r="J3335" s="25" t="s">
        <v>9</v>
      </c>
      <c r="K3335" s="25" t="s">
        <v>9</v>
      </c>
      <c r="L3335" s="25" t="s">
        <v>30</v>
      </c>
      <c r="M3335" s="25"/>
      <c r="N3335" s="25" t="s">
        <v>37</v>
      </c>
    </row>
    <row r="3336">
      <c r="A3336" s="324" t="s">
        <v>1185</v>
      </c>
      <c r="B3336" s="324" t="s">
        <v>1184</v>
      </c>
      <c r="C3336" s="324" t="s">
        <v>19</v>
      </c>
      <c r="D3336" s="323" t="s">
        <v>1183</v>
      </c>
      <c r="E3336" s="325">
        <v>43660.0</v>
      </c>
      <c r="F3336" s="21" t="str">
        <f t="shared" si="254"/>
        <v>Jul-2019</v>
      </c>
      <c r="G3336" s="32" t="s">
        <v>20</v>
      </c>
      <c r="H3336" s="25" t="s">
        <v>35</v>
      </c>
      <c r="I3336" s="25" t="s">
        <v>1186</v>
      </c>
      <c r="J3336" s="25" t="s">
        <v>48</v>
      </c>
      <c r="K3336" s="25" t="s">
        <v>9</v>
      </c>
      <c r="L3336" s="25" t="s">
        <v>24</v>
      </c>
      <c r="M3336" s="25" t="s">
        <v>24</v>
      </c>
      <c r="N3336" s="25" t="s">
        <v>98</v>
      </c>
      <c r="Q3336" s="25" t="s">
        <v>1187</v>
      </c>
    </row>
    <row r="3337">
      <c r="A3337" s="325">
        <v>43660.0</v>
      </c>
      <c r="B3337" s="324" t="s">
        <v>1184</v>
      </c>
      <c r="C3337" s="324" t="s">
        <v>19</v>
      </c>
      <c r="D3337" s="323" t="s">
        <v>1183</v>
      </c>
      <c r="E3337" s="325">
        <v>43660.0</v>
      </c>
      <c r="F3337" s="21" t="str">
        <f t="shared" si="254"/>
        <v>Jul-2019</v>
      </c>
      <c r="G3337" s="32" t="s">
        <v>25</v>
      </c>
      <c r="H3337" s="25" t="s">
        <v>35</v>
      </c>
      <c r="I3337" s="25" t="s">
        <v>1186</v>
      </c>
      <c r="J3337" s="25" t="s">
        <v>48</v>
      </c>
      <c r="K3337" s="25" t="s">
        <v>9</v>
      </c>
      <c r="L3337" s="25" t="s">
        <v>24</v>
      </c>
      <c r="M3337" s="25"/>
      <c r="N3337" s="25" t="s">
        <v>106</v>
      </c>
      <c r="Q3337" s="25" t="s">
        <v>1187</v>
      </c>
    </row>
    <row r="3338">
      <c r="A3338" s="326" t="s">
        <v>1188</v>
      </c>
      <c r="B3338" s="324" t="s">
        <v>1184</v>
      </c>
      <c r="C3338" s="324" t="s">
        <v>19</v>
      </c>
      <c r="D3338" s="323" t="s">
        <v>1183</v>
      </c>
      <c r="E3338" s="325">
        <v>43660.0</v>
      </c>
      <c r="F3338" s="21" t="str">
        <f t="shared" si="254"/>
        <v>Jul-2019</v>
      </c>
      <c r="G3338" s="32" t="s">
        <v>20</v>
      </c>
      <c r="H3338" s="25" t="s">
        <v>35</v>
      </c>
      <c r="I3338" s="25" t="s">
        <v>943</v>
      </c>
      <c r="J3338" s="25" t="s">
        <v>27</v>
      </c>
      <c r="K3338" s="25" t="s">
        <v>9</v>
      </c>
      <c r="L3338" s="25" t="s">
        <v>30</v>
      </c>
      <c r="M3338" s="25" t="s">
        <v>30</v>
      </c>
      <c r="N3338" s="25" t="s">
        <v>98</v>
      </c>
    </row>
    <row r="3339">
      <c r="A3339" s="324" t="s">
        <v>19</v>
      </c>
      <c r="B3339" s="324" t="s">
        <v>1184</v>
      </c>
      <c r="C3339" s="324" t="s">
        <v>19</v>
      </c>
      <c r="D3339" s="323" t="s">
        <v>1183</v>
      </c>
      <c r="E3339" s="325">
        <v>43660.0</v>
      </c>
      <c r="F3339" s="21" t="str">
        <f t="shared" si="254"/>
        <v>Jul-2019</v>
      </c>
      <c r="G3339" s="32" t="s">
        <v>25</v>
      </c>
      <c r="H3339" s="25" t="s">
        <v>35</v>
      </c>
      <c r="I3339" s="25" t="s">
        <v>943</v>
      </c>
      <c r="J3339" s="25" t="s">
        <v>27</v>
      </c>
      <c r="K3339" s="25" t="s">
        <v>9</v>
      </c>
      <c r="L3339" s="25" t="s">
        <v>30</v>
      </c>
      <c r="M3339" s="25"/>
      <c r="N3339" s="25" t="s">
        <v>69</v>
      </c>
    </row>
    <row r="3340">
      <c r="A3340" s="324" t="s">
        <v>918</v>
      </c>
      <c r="B3340" s="324" t="s">
        <v>1184</v>
      </c>
      <c r="C3340" s="324" t="s">
        <v>19</v>
      </c>
      <c r="D3340" s="323" t="s">
        <v>1183</v>
      </c>
      <c r="E3340" s="325">
        <v>43660.0</v>
      </c>
      <c r="F3340" s="21" t="str">
        <f t="shared" si="254"/>
        <v>Jul-2019</v>
      </c>
      <c r="G3340" t="s">
        <v>146</v>
      </c>
      <c r="H3340" s="25" t="s">
        <v>35</v>
      </c>
      <c r="I3340" s="25" t="s">
        <v>1138</v>
      </c>
      <c r="J3340" s="25" t="s">
        <v>27</v>
      </c>
      <c r="K3340" s="25" t="s">
        <v>9</v>
      </c>
      <c r="L3340" s="25" t="s">
        <v>24</v>
      </c>
      <c r="M3340" s="25" t="s">
        <v>24</v>
      </c>
      <c r="N3340" s="25" t="s">
        <v>69</v>
      </c>
    </row>
    <row r="3341">
      <c r="A3341" s="326" t="s">
        <v>1189</v>
      </c>
      <c r="B3341" s="324" t="s">
        <v>1184</v>
      </c>
      <c r="C3341" s="324" t="s">
        <v>19</v>
      </c>
      <c r="D3341" s="323" t="s">
        <v>1183</v>
      </c>
      <c r="E3341" s="325">
        <v>43660.0</v>
      </c>
      <c r="F3341" s="21" t="str">
        <f t="shared" si="254"/>
        <v>Jul-2019</v>
      </c>
      <c r="G3341" t="s">
        <v>149</v>
      </c>
      <c r="H3341" s="25" t="s">
        <v>35</v>
      </c>
      <c r="I3341" s="25" t="s">
        <v>1138</v>
      </c>
      <c r="J3341" s="25" t="s">
        <v>27</v>
      </c>
      <c r="K3341" s="25" t="s">
        <v>9</v>
      </c>
      <c r="L3341" s="25" t="s">
        <v>24</v>
      </c>
      <c r="M3341" s="25"/>
      <c r="N3341" s="25" t="s">
        <v>106</v>
      </c>
    </row>
    <row r="3342">
      <c r="A3342" s="327"/>
      <c r="B3342" s="324" t="s">
        <v>1184</v>
      </c>
      <c r="C3342" s="324" t="s">
        <v>19</v>
      </c>
      <c r="D3342" s="323" t="s">
        <v>1183</v>
      </c>
      <c r="E3342" s="325">
        <v>43660.0</v>
      </c>
      <c r="F3342" s="21" t="str">
        <f t="shared" si="254"/>
        <v>Jul-2019</v>
      </c>
      <c r="G3342" t="s">
        <v>222</v>
      </c>
      <c r="H3342" s="25" t="s">
        <v>35</v>
      </c>
      <c r="I3342" s="25" t="s">
        <v>1138</v>
      </c>
      <c r="J3342" s="25" t="s">
        <v>27</v>
      </c>
      <c r="K3342" s="25" t="s">
        <v>9</v>
      </c>
      <c r="L3342" s="25" t="s">
        <v>24</v>
      </c>
      <c r="M3342" s="25"/>
      <c r="N3342" s="25" t="s">
        <v>29</v>
      </c>
    </row>
    <row r="3343">
      <c r="A3343" s="94"/>
    </row>
    <row r="3344">
      <c r="A3344" s="279" t="s">
        <v>1190</v>
      </c>
      <c r="B3344" s="171" t="s">
        <v>18</v>
      </c>
      <c r="C3344" s="171" t="s">
        <v>74</v>
      </c>
      <c r="D3344" s="279" t="s">
        <v>1190</v>
      </c>
      <c r="E3344" s="240">
        <v>43665.0</v>
      </c>
      <c r="F3344" s="21" t="str">
        <f t="shared" ref="F3344:F3358" si="255">TEXT(E3336:E3344, "mmm") &amp; "-" &amp; TEXT(E3336:E3344, "yyyy") </f>
        <v>Jul-2019</v>
      </c>
      <c r="G3344" s="32" t="s">
        <v>20</v>
      </c>
      <c r="H3344" s="25" t="s">
        <v>35</v>
      </c>
      <c r="I3344" s="25" t="s">
        <v>871</v>
      </c>
      <c r="J3344" s="25" t="s">
        <v>138</v>
      </c>
      <c r="K3344" s="25" t="s">
        <v>9</v>
      </c>
      <c r="L3344" s="25" t="s">
        <v>30</v>
      </c>
      <c r="M3344" s="25" t="s">
        <v>30</v>
      </c>
      <c r="N3344" s="25" t="s">
        <v>98</v>
      </c>
    </row>
    <row r="3345">
      <c r="A3345" s="171" t="s">
        <v>18</v>
      </c>
      <c r="B3345" s="171" t="s">
        <v>18</v>
      </c>
      <c r="C3345" s="171" t="s">
        <v>74</v>
      </c>
      <c r="D3345" s="279" t="s">
        <v>1190</v>
      </c>
      <c r="E3345" s="240">
        <v>43665.0</v>
      </c>
      <c r="F3345" s="21" t="str">
        <f t="shared" si="255"/>
        <v>Jul-2019</v>
      </c>
      <c r="G3345" s="32" t="s">
        <v>25</v>
      </c>
      <c r="H3345" s="25" t="s">
        <v>35</v>
      </c>
      <c r="I3345" s="25" t="s">
        <v>871</v>
      </c>
      <c r="J3345" s="25" t="s">
        <v>138</v>
      </c>
      <c r="K3345" s="25" t="s">
        <v>9</v>
      </c>
      <c r="L3345" s="25" t="s">
        <v>24</v>
      </c>
      <c r="M3345" s="25"/>
      <c r="N3345" s="25" t="s">
        <v>106</v>
      </c>
    </row>
    <row r="3346">
      <c r="A3346" s="171" t="s">
        <v>638</v>
      </c>
      <c r="B3346" s="171" t="s">
        <v>18</v>
      </c>
      <c r="C3346" s="171" t="s">
        <v>74</v>
      </c>
      <c r="D3346" s="279" t="s">
        <v>1190</v>
      </c>
      <c r="E3346" s="240">
        <v>43665.0</v>
      </c>
      <c r="F3346" s="21" t="str">
        <f t="shared" si="255"/>
        <v>Jul-2019</v>
      </c>
      <c r="G3346" s="32" t="s">
        <v>32</v>
      </c>
      <c r="H3346" s="25" t="s">
        <v>35</v>
      </c>
      <c r="I3346" s="25" t="s">
        <v>871</v>
      </c>
      <c r="J3346" s="25" t="s">
        <v>138</v>
      </c>
      <c r="K3346" s="25" t="s">
        <v>9</v>
      </c>
      <c r="L3346" s="25" t="s">
        <v>30</v>
      </c>
      <c r="M3346" s="25"/>
      <c r="N3346" s="25" t="s">
        <v>106</v>
      </c>
    </row>
    <row r="3347">
      <c r="A3347" s="240">
        <v>43665.0</v>
      </c>
      <c r="B3347" s="171" t="s">
        <v>18</v>
      </c>
      <c r="C3347" s="171" t="s">
        <v>74</v>
      </c>
      <c r="D3347" s="279" t="s">
        <v>1190</v>
      </c>
      <c r="E3347" s="240">
        <v>43665.0</v>
      </c>
      <c r="F3347" s="21" t="str">
        <f t="shared" si="255"/>
        <v>Jul-2019</v>
      </c>
      <c r="G3347" s="32" t="s">
        <v>20</v>
      </c>
      <c r="H3347" s="25" t="s">
        <v>35</v>
      </c>
      <c r="I3347" s="25" t="s">
        <v>1191</v>
      </c>
      <c r="J3347" s="25" t="s">
        <v>139</v>
      </c>
      <c r="K3347" s="25" t="s">
        <v>9</v>
      </c>
      <c r="L3347" s="25" t="s">
        <v>30</v>
      </c>
      <c r="M3347" s="25" t="s">
        <v>30</v>
      </c>
      <c r="N3347" s="25" t="s">
        <v>37</v>
      </c>
    </row>
    <row r="3348">
      <c r="A3348" s="171" t="s">
        <v>74</v>
      </c>
      <c r="B3348" s="171" t="s">
        <v>18</v>
      </c>
      <c r="C3348" s="171" t="s">
        <v>74</v>
      </c>
      <c r="D3348" s="279" t="s">
        <v>1190</v>
      </c>
      <c r="E3348" s="240">
        <v>43665.0</v>
      </c>
      <c r="F3348" s="21" t="str">
        <f t="shared" si="255"/>
        <v>Jul-2019</v>
      </c>
      <c r="G3348" s="32" t="s">
        <v>25</v>
      </c>
      <c r="H3348" s="25" t="s">
        <v>35</v>
      </c>
      <c r="I3348" s="25" t="s">
        <v>1191</v>
      </c>
      <c r="J3348" s="25" t="s">
        <v>139</v>
      </c>
      <c r="K3348" s="25" t="s">
        <v>9</v>
      </c>
      <c r="L3348" s="25" t="s">
        <v>24</v>
      </c>
      <c r="M3348" s="25"/>
      <c r="N3348" s="25" t="s">
        <v>37</v>
      </c>
    </row>
    <row r="3349">
      <c r="A3349" s="301" t="s">
        <v>1192</v>
      </c>
      <c r="B3349" s="171" t="s">
        <v>18</v>
      </c>
      <c r="C3349" s="171" t="s">
        <v>74</v>
      </c>
      <c r="D3349" s="279" t="s">
        <v>1190</v>
      </c>
      <c r="E3349" s="240">
        <v>43665.0</v>
      </c>
      <c r="F3349" s="21" t="str">
        <f t="shared" si="255"/>
        <v>Jul-2019</v>
      </c>
      <c r="G3349" s="32" t="s">
        <v>32</v>
      </c>
      <c r="H3349" s="25" t="s">
        <v>35</v>
      </c>
      <c r="I3349" s="25" t="s">
        <v>1191</v>
      </c>
      <c r="J3349" s="25" t="s">
        <v>139</v>
      </c>
      <c r="K3349" s="25" t="s">
        <v>9</v>
      </c>
      <c r="L3349" s="25" t="s">
        <v>30</v>
      </c>
      <c r="M3349" s="25"/>
      <c r="N3349" s="25" t="s">
        <v>106</v>
      </c>
    </row>
    <row r="3350">
      <c r="A3350" s="172"/>
      <c r="B3350" s="171" t="s">
        <v>18</v>
      </c>
      <c r="C3350" s="171" t="s">
        <v>74</v>
      </c>
      <c r="D3350" s="279" t="s">
        <v>1190</v>
      </c>
      <c r="E3350" s="240">
        <v>43665.0</v>
      </c>
      <c r="F3350" s="21" t="str">
        <f t="shared" si="255"/>
        <v>Jul-2019</v>
      </c>
      <c r="G3350" t="s">
        <v>146</v>
      </c>
      <c r="H3350" s="25" t="s">
        <v>35</v>
      </c>
      <c r="I3350" s="25" t="s">
        <v>393</v>
      </c>
      <c r="J3350" s="25" t="s">
        <v>102</v>
      </c>
      <c r="K3350" s="25" t="s">
        <v>9</v>
      </c>
      <c r="L3350" s="25" t="s">
        <v>30</v>
      </c>
      <c r="M3350" s="25" t="s">
        <v>30</v>
      </c>
      <c r="N3350" s="25" t="s">
        <v>99</v>
      </c>
    </row>
    <row r="3351">
      <c r="A3351" s="172"/>
      <c r="B3351" s="171" t="s">
        <v>18</v>
      </c>
      <c r="C3351" s="171" t="s">
        <v>74</v>
      </c>
      <c r="D3351" s="279" t="s">
        <v>1190</v>
      </c>
      <c r="E3351" s="240">
        <v>43665.0</v>
      </c>
      <c r="F3351" s="21" t="str">
        <f t="shared" si="255"/>
        <v>Jul-2019</v>
      </c>
      <c r="G3351" t="s">
        <v>149</v>
      </c>
      <c r="H3351" s="25" t="s">
        <v>35</v>
      </c>
      <c r="I3351" s="25" t="s">
        <v>393</v>
      </c>
      <c r="J3351" s="25" t="s">
        <v>102</v>
      </c>
      <c r="K3351" s="25" t="s">
        <v>9</v>
      </c>
      <c r="L3351" s="25" t="s">
        <v>30</v>
      </c>
      <c r="M3351" s="25"/>
      <c r="N3351" s="25" t="s">
        <v>29</v>
      </c>
    </row>
    <row r="3352">
      <c r="A3352" s="172"/>
      <c r="B3352" s="171" t="s">
        <v>18</v>
      </c>
      <c r="C3352" s="171" t="s">
        <v>74</v>
      </c>
      <c r="D3352" s="279" t="s">
        <v>1190</v>
      </c>
      <c r="E3352" s="240">
        <v>43665.0</v>
      </c>
      <c r="F3352" s="21" t="str">
        <f t="shared" si="255"/>
        <v>Jul-2019</v>
      </c>
      <c r="G3352" t="s">
        <v>222</v>
      </c>
      <c r="H3352" s="25" t="s">
        <v>35</v>
      </c>
      <c r="I3352" s="25" t="s">
        <v>393</v>
      </c>
      <c r="J3352" s="25" t="s">
        <v>102</v>
      </c>
      <c r="K3352" s="25" t="s">
        <v>9</v>
      </c>
      <c r="L3352" s="25" t="s">
        <v>30</v>
      </c>
      <c r="M3352" s="25"/>
      <c r="N3352" s="25" t="s">
        <v>29</v>
      </c>
    </row>
    <row r="3353">
      <c r="A3353" s="172"/>
      <c r="B3353" s="171" t="s">
        <v>18</v>
      </c>
      <c r="C3353" s="171" t="s">
        <v>74</v>
      </c>
      <c r="D3353" s="279" t="s">
        <v>1190</v>
      </c>
      <c r="E3353" s="240">
        <v>43665.0</v>
      </c>
      <c r="F3353" s="21" t="str">
        <f t="shared" si="255"/>
        <v>Jul-2019</v>
      </c>
      <c r="G3353" t="s">
        <v>146</v>
      </c>
      <c r="H3353" s="25" t="s">
        <v>35</v>
      </c>
      <c r="I3353" s="25" t="s">
        <v>394</v>
      </c>
      <c r="J3353" s="25" t="s">
        <v>27</v>
      </c>
      <c r="K3353" s="25" t="s">
        <v>9</v>
      </c>
      <c r="L3353" s="25" t="s">
        <v>24</v>
      </c>
      <c r="M3353" s="25" t="s">
        <v>24</v>
      </c>
      <c r="N3353" s="25" t="s">
        <v>37</v>
      </c>
    </row>
    <row r="3354">
      <c r="A3354" s="172"/>
      <c r="B3354" s="171" t="s">
        <v>18</v>
      </c>
      <c r="C3354" s="171" t="s">
        <v>74</v>
      </c>
      <c r="D3354" s="279" t="s">
        <v>1190</v>
      </c>
      <c r="E3354" s="240">
        <v>43665.0</v>
      </c>
      <c r="F3354" s="21" t="str">
        <f t="shared" si="255"/>
        <v>Jul-2019</v>
      </c>
      <c r="G3354" t="s">
        <v>149</v>
      </c>
      <c r="H3354" s="25" t="s">
        <v>35</v>
      </c>
      <c r="I3354" s="25" t="s">
        <v>394</v>
      </c>
      <c r="J3354" s="25" t="s">
        <v>27</v>
      </c>
      <c r="K3354" s="25" t="s">
        <v>9</v>
      </c>
      <c r="L3354" s="25" t="s">
        <v>24</v>
      </c>
      <c r="M3354" s="25"/>
      <c r="N3354" s="25" t="s">
        <v>98</v>
      </c>
    </row>
    <row r="3355">
      <c r="A3355" s="172"/>
      <c r="B3355" s="171" t="s">
        <v>18</v>
      </c>
      <c r="C3355" s="171" t="s">
        <v>74</v>
      </c>
      <c r="D3355" s="279" t="s">
        <v>1190</v>
      </c>
      <c r="E3355" s="240">
        <v>43665.0</v>
      </c>
      <c r="F3355" s="21" t="str">
        <f t="shared" si="255"/>
        <v>Jul-2019</v>
      </c>
      <c r="G3355" t="s">
        <v>222</v>
      </c>
      <c r="H3355" s="25" t="s">
        <v>35</v>
      </c>
      <c r="I3355" s="25" t="s">
        <v>394</v>
      </c>
      <c r="J3355" s="25" t="s">
        <v>27</v>
      </c>
      <c r="K3355" s="25" t="s">
        <v>9</v>
      </c>
      <c r="L3355" s="25" t="s">
        <v>24</v>
      </c>
      <c r="M3355" s="25"/>
      <c r="N3355" s="25" t="s">
        <v>98</v>
      </c>
    </row>
    <row r="3356">
      <c r="A3356" s="172"/>
      <c r="B3356" s="171" t="s">
        <v>18</v>
      </c>
      <c r="C3356" s="171" t="s">
        <v>74</v>
      </c>
      <c r="D3356" s="279" t="s">
        <v>1190</v>
      </c>
      <c r="E3356" s="240">
        <v>43665.0</v>
      </c>
      <c r="F3356" s="21" t="str">
        <f t="shared" si="255"/>
        <v>Jul-2019</v>
      </c>
      <c r="G3356" t="s">
        <v>146</v>
      </c>
      <c r="H3356" s="25" t="s">
        <v>35</v>
      </c>
      <c r="I3356" s="25" t="s">
        <v>393</v>
      </c>
      <c r="J3356" s="25" t="s">
        <v>102</v>
      </c>
      <c r="K3356" s="25" t="s">
        <v>9</v>
      </c>
      <c r="L3356" s="25" t="s">
        <v>24</v>
      </c>
      <c r="M3356" s="25" t="s">
        <v>24</v>
      </c>
      <c r="N3356" s="25" t="s">
        <v>98</v>
      </c>
    </row>
    <row r="3357">
      <c r="A3357" s="172"/>
      <c r="B3357" s="171" t="s">
        <v>18</v>
      </c>
      <c r="C3357" s="171" t="s">
        <v>74</v>
      </c>
      <c r="D3357" s="279" t="s">
        <v>1190</v>
      </c>
      <c r="E3357" s="240">
        <v>43665.0</v>
      </c>
      <c r="F3357" s="21" t="str">
        <f t="shared" si="255"/>
        <v>Jul-2019</v>
      </c>
      <c r="G3357" t="s">
        <v>149</v>
      </c>
      <c r="H3357" s="25" t="s">
        <v>35</v>
      </c>
      <c r="I3357" s="25" t="s">
        <v>393</v>
      </c>
      <c r="J3357" s="25" t="s">
        <v>102</v>
      </c>
      <c r="K3357" s="25" t="s">
        <v>9</v>
      </c>
      <c r="L3357" s="25" t="s">
        <v>24</v>
      </c>
      <c r="M3357" s="25"/>
      <c r="N3357" s="25" t="s">
        <v>69</v>
      </c>
    </row>
    <row r="3358">
      <c r="A3358" s="172"/>
      <c r="B3358" s="171" t="s">
        <v>18</v>
      </c>
      <c r="C3358" s="171" t="s">
        <v>74</v>
      </c>
      <c r="D3358" s="279" t="s">
        <v>1190</v>
      </c>
      <c r="E3358" s="240">
        <v>43665.0</v>
      </c>
      <c r="F3358" s="21" t="str">
        <f t="shared" si="255"/>
        <v>Jul-2019</v>
      </c>
      <c r="G3358" t="s">
        <v>222</v>
      </c>
      <c r="H3358" s="25" t="s">
        <v>35</v>
      </c>
      <c r="I3358" s="25" t="s">
        <v>393</v>
      </c>
      <c r="J3358" s="25" t="s">
        <v>102</v>
      </c>
      <c r="K3358" s="25" t="s">
        <v>9</v>
      </c>
      <c r="L3358" s="25" t="s">
        <v>24</v>
      </c>
      <c r="M3358" s="25"/>
      <c r="N3358" s="25" t="s">
        <v>106</v>
      </c>
    </row>
    <row r="3359">
      <c r="A3359" s="94"/>
    </row>
    <row r="3360">
      <c r="A3360" s="279" t="s">
        <v>1193</v>
      </c>
      <c r="B3360" s="171" t="s">
        <v>18</v>
      </c>
      <c r="C3360" s="171" t="s">
        <v>74</v>
      </c>
      <c r="D3360" s="279" t="s">
        <v>1193</v>
      </c>
      <c r="E3360" s="240">
        <v>43672.0</v>
      </c>
      <c r="F3360" s="21" t="str">
        <f t="shared" ref="F3360:F3375" si="256">TEXT(E3352:E3360, "mmm") &amp; "-" &amp; TEXT(E3352:E3360, "yyyy") </f>
        <v>Jul-2019</v>
      </c>
      <c r="G3360" s="32" t="s">
        <v>20</v>
      </c>
      <c r="H3360" s="25" t="s">
        <v>35</v>
      </c>
      <c r="I3360" s="25" t="s">
        <v>1194</v>
      </c>
      <c r="J3360" s="25" t="s">
        <v>9</v>
      </c>
      <c r="K3360" s="25" t="s">
        <v>9</v>
      </c>
      <c r="L3360" s="25" t="s">
        <v>30</v>
      </c>
      <c r="M3360" s="25" t="s">
        <v>30</v>
      </c>
      <c r="N3360" s="25" t="s">
        <v>98</v>
      </c>
    </row>
    <row r="3361">
      <c r="A3361" s="171" t="s">
        <v>18</v>
      </c>
      <c r="B3361" s="171" t="s">
        <v>18</v>
      </c>
      <c r="C3361" s="171" t="s">
        <v>74</v>
      </c>
      <c r="D3361" s="279" t="s">
        <v>1193</v>
      </c>
      <c r="E3361" s="240">
        <v>43672.0</v>
      </c>
      <c r="F3361" s="21" t="str">
        <f t="shared" si="256"/>
        <v>Jul-2019</v>
      </c>
      <c r="G3361" s="32" t="s">
        <v>25</v>
      </c>
      <c r="H3361" s="25" t="s">
        <v>35</v>
      </c>
      <c r="I3361" s="25" t="s">
        <v>1194</v>
      </c>
      <c r="J3361" s="25" t="s">
        <v>9</v>
      </c>
      <c r="K3361" s="25" t="s">
        <v>9</v>
      </c>
      <c r="L3361" s="25" t="s">
        <v>24</v>
      </c>
      <c r="M3361" s="25"/>
      <c r="N3361" s="25" t="s">
        <v>106</v>
      </c>
    </row>
    <row r="3362">
      <c r="A3362" s="171" t="s">
        <v>638</v>
      </c>
      <c r="B3362" s="171" t="s">
        <v>18</v>
      </c>
      <c r="C3362" s="171" t="s">
        <v>74</v>
      </c>
      <c r="D3362" s="279" t="s">
        <v>1193</v>
      </c>
      <c r="E3362" s="240">
        <v>43672.0</v>
      </c>
      <c r="F3362" s="21" t="str">
        <f t="shared" si="256"/>
        <v>Jul-2019</v>
      </c>
      <c r="G3362" s="32" t="s">
        <v>32</v>
      </c>
      <c r="H3362" s="25" t="s">
        <v>35</v>
      </c>
      <c r="I3362" s="25" t="s">
        <v>1194</v>
      </c>
      <c r="J3362" s="25" t="s">
        <v>9</v>
      </c>
      <c r="K3362" s="25" t="s">
        <v>9</v>
      </c>
      <c r="L3362" s="25" t="s">
        <v>30</v>
      </c>
      <c r="M3362" s="25"/>
      <c r="N3362" s="25" t="s">
        <v>69</v>
      </c>
    </row>
    <row r="3363">
      <c r="A3363" s="240">
        <v>43672.0</v>
      </c>
      <c r="B3363" s="171" t="s">
        <v>18</v>
      </c>
      <c r="C3363" s="171" t="s">
        <v>74</v>
      </c>
      <c r="D3363" s="279" t="s">
        <v>1193</v>
      </c>
      <c r="E3363" s="240">
        <v>43672.0</v>
      </c>
      <c r="F3363" s="21" t="str">
        <f t="shared" si="256"/>
        <v>Jul-2019</v>
      </c>
      <c r="G3363" s="32" t="s">
        <v>20</v>
      </c>
      <c r="H3363" s="25" t="s">
        <v>35</v>
      </c>
      <c r="I3363" s="25" t="s">
        <v>407</v>
      </c>
      <c r="J3363" s="25" t="s">
        <v>44</v>
      </c>
      <c r="K3363" s="25" t="s">
        <v>9</v>
      </c>
      <c r="L3363" s="25" t="s">
        <v>30</v>
      </c>
      <c r="M3363" s="25" t="s">
        <v>30</v>
      </c>
      <c r="N3363" s="25" t="s">
        <v>69</v>
      </c>
    </row>
    <row r="3364">
      <c r="A3364" s="171" t="s">
        <v>74</v>
      </c>
      <c r="B3364" s="171" t="s">
        <v>18</v>
      </c>
      <c r="C3364" s="171" t="s">
        <v>74</v>
      </c>
      <c r="D3364" s="279" t="s">
        <v>1193</v>
      </c>
      <c r="E3364" s="240">
        <v>43672.0</v>
      </c>
      <c r="F3364" s="21" t="str">
        <f t="shared" si="256"/>
        <v>Jul-2019</v>
      </c>
      <c r="G3364" s="32" t="s">
        <v>25</v>
      </c>
      <c r="H3364" s="25" t="s">
        <v>35</v>
      </c>
      <c r="I3364" s="25" t="s">
        <v>407</v>
      </c>
      <c r="J3364" s="25" t="s">
        <v>44</v>
      </c>
      <c r="K3364" s="25" t="s">
        <v>9</v>
      </c>
      <c r="L3364" s="25" t="s">
        <v>30</v>
      </c>
      <c r="M3364" s="25"/>
      <c r="N3364" s="25" t="s">
        <v>99</v>
      </c>
    </row>
    <row r="3365">
      <c r="A3365" s="301" t="s">
        <v>1195</v>
      </c>
      <c r="B3365" s="171" t="s">
        <v>18</v>
      </c>
      <c r="C3365" s="171" t="s">
        <v>74</v>
      </c>
      <c r="D3365" s="279" t="s">
        <v>1193</v>
      </c>
      <c r="E3365" s="240">
        <v>43672.0</v>
      </c>
      <c r="F3365" s="21" t="str">
        <f t="shared" si="256"/>
        <v>Jul-2019</v>
      </c>
      <c r="G3365" s="32" t="s">
        <v>20</v>
      </c>
      <c r="H3365" s="25" t="s">
        <v>35</v>
      </c>
      <c r="I3365" s="25" t="s">
        <v>947</v>
      </c>
      <c r="J3365" s="25" t="s">
        <v>71</v>
      </c>
      <c r="K3365" s="25" t="s">
        <v>9</v>
      </c>
      <c r="L3365" s="25" t="s">
        <v>30</v>
      </c>
      <c r="M3365" s="25" t="s">
        <v>24</v>
      </c>
      <c r="N3365" s="25" t="s">
        <v>98</v>
      </c>
    </row>
    <row r="3366">
      <c r="A3366" s="172"/>
      <c r="B3366" s="171" t="s">
        <v>18</v>
      </c>
      <c r="C3366" s="171" t="s">
        <v>74</v>
      </c>
      <c r="D3366" s="279" t="s">
        <v>1193</v>
      </c>
      <c r="E3366" s="240">
        <v>43672.0</v>
      </c>
      <c r="F3366" s="21" t="str">
        <f t="shared" si="256"/>
        <v>Jul-2019</v>
      </c>
      <c r="G3366" s="32" t="s">
        <v>25</v>
      </c>
      <c r="H3366" s="25" t="s">
        <v>35</v>
      </c>
      <c r="I3366" s="25" t="s">
        <v>947</v>
      </c>
      <c r="J3366" s="25" t="s">
        <v>71</v>
      </c>
      <c r="K3366" s="25" t="s">
        <v>9</v>
      </c>
      <c r="L3366" s="25" t="s">
        <v>24</v>
      </c>
      <c r="M3366" s="25"/>
      <c r="N3366" s="25" t="s">
        <v>99</v>
      </c>
    </row>
    <row r="3367">
      <c r="A3367" s="172"/>
      <c r="B3367" s="171" t="s">
        <v>18</v>
      </c>
      <c r="C3367" s="171" t="s">
        <v>74</v>
      </c>
      <c r="D3367" s="279" t="s">
        <v>1193</v>
      </c>
      <c r="E3367" s="240">
        <v>43672.0</v>
      </c>
      <c r="F3367" s="21" t="str">
        <f t="shared" si="256"/>
        <v>Jul-2019</v>
      </c>
      <c r="G3367" s="32" t="s">
        <v>32</v>
      </c>
      <c r="H3367" s="25" t="s">
        <v>35</v>
      </c>
      <c r="I3367" s="25" t="s">
        <v>947</v>
      </c>
      <c r="J3367" s="25" t="s">
        <v>71</v>
      </c>
      <c r="K3367" s="25" t="s">
        <v>9</v>
      </c>
      <c r="L3367" s="25" t="s">
        <v>24</v>
      </c>
      <c r="M3367" s="25"/>
      <c r="N3367" s="25" t="s">
        <v>106</v>
      </c>
    </row>
    <row r="3368">
      <c r="A3368" s="172"/>
      <c r="B3368" s="171" t="s">
        <v>18</v>
      </c>
      <c r="C3368" s="171" t="s">
        <v>74</v>
      </c>
      <c r="D3368" s="279" t="s">
        <v>1193</v>
      </c>
      <c r="E3368" s="240">
        <v>43672.0</v>
      </c>
      <c r="F3368" s="21" t="str">
        <f t="shared" si="256"/>
        <v>Jul-2019</v>
      </c>
      <c r="G3368" s="32" t="s">
        <v>20</v>
      </c>
      <c r="H3368" s="25" t="s">
        <v>35</v>
      </c>
      <c r="I3368" s="25" t="s">
        <v>360</v>
      </c>
      <c r="J3368" s="25" t="s">
        <v>216</v>
      </c>
      <c r="K3368" s="25" t="s">
        <v>9</v>
      </c>
      <c r="L3368" s="25" t="s">
        <v>24</v>
      </c>
      <c r="M3368" s="25" t="s">
        <v>30</v>
      </c>
      <c r="N3368" s="25" t="s">
        <v>37</v>
      </c>
    </row>
    <row r="3369">
      <c r="A3369" s="172"/>
      <c r="B3369" s="171" t="s">
        <v>18</v>
      </c>
      <c r="C3369" s="171" t="s">
        <v>74</v>
      </c>
      <c r="D3369" s="279" t="s">
        <v>1193</v>
      </c>
      <c r="E3369" s="240">
        <v>43672.0</v>
      </c>
      <c r="F3369" s="21" t="str">
        <f t="shared" si="256"/>
        <v>Jul-2019</v>
      </c>
      <c r="G3369" s="32" t="s">
        <v>25</v>
      </c>
      <c r="H3369" s="25" t="s">
        <v>35</v>
      </c>
      <c r="I3369" s="25" t="s">
        <v>360</v>
      </c>
      <c r="J3369" s="25" t="s">
        <v>216</v>
      </c>
      <c r="K3369" s="25" t="s">
        <v>9</v>
      </c>
      <c r="L3369" s="25" t="s">
        <v>30</v>
      </c>
      <c r="M3369" s="25"/>
      <c r="N3369" s="25" t="s">
        <v>69</v>
      </c>
    </row>
    <row r="3370">
      <c r="A3370" s="172"/>
      <c r="B3370" s="171" t="s">
        <v>18</v>
      </c>
      <c r="C3370" s="171" t="s">
        <v>74</v>
      </c>
      <c r="D3370" s="279" t="s">
        <v>1193</v>
      </c>
      <c r="E3370" s="240">
        <v>43672.0</v>
      </c>
      <c r="F3370" s="21" t="str">
        <f t="shared" si="256"/>
        <v>Jul-2019</v>
      </c>
      <c r="G3370" s="32" t="s">
        <v>32</v>
      </c>
      <c r="H3370" s="25" t="s">
        <v>35</v>
      </c>
      <c r="I3370" s="25" t="s">
        <v>360</v>
      </c>
      <c r="J3370" s="25" t="s">
        <v>216</v>
      </c>
      <c r="K3370" s="25" t="s">
        <v>9</v>
      </c>
      <c r="L3370" s="25" t="s">
        <v>30</v>
      </c>
      <c r="M3370" s="25"/>
      <c r="N3370" s="25" t="s">
        <v>99</v>
      </c>
    </row>
    <row r="3371">
      <c r="A3371" s="172"/>
      <c r="B3371" s="171" t="s">
        <v>18</v>
      </c>
      <c r="C3371" s="171" t="s">
        <v>74</v>
      </c>
      <c r="D3371" s="279" t="s">
        <v>1193</v>
      </c>
      <c r="E3371" s="240">
        <v>43672.0</v>
      </c>
      <c r="F3371" s="21" t="str">
        <f t="shared" si="256"/>
        <v>Jul-2019</v>
      </c>
      <c r="G3371" t="s">
        <v>146</v>
      </c>
      <c r="H3371" s="25" t="s">
        <v>35</v>
      </c>
      <c r="I3371" s="25" t="s">
        <v>1138</v>
      </c>
      <c r="J3371" s="25" t="s">
        <v>27</v>
      </c>
      <c r="K3371" s="25" t="s">
        <v>9</v>
      </c>
      <c r="L3371" s="25" t="s">
        <v>24</v>
      </c>
      <c r="M3371" s="25" t="s">
        <v>24</v>
      </c>
      <c r="N3371" s="25" t="s">
        <v>69</v>
      </c>
    </row>
    <row r="3372">
      <c r="A3372" s="172"/>
      <c r="B3372" s="171" t="s">
        <v>18</v>
      </c>
      <c r="C3372" s="171" t="s">
        <v>74</v>
      </c>
      <c r="D3372" s="279" t="s">
        <v>1193</v>
      </c>
      <c r="E3372" s="240">
        <v>43672.0</v>
      </c>
      <c r="F3372" s="21" t="str">
        <f t="shared" si="256"/>
        <v>Jul-2019</v>
      </c>
      <c r="G3372" t="s">
        <v>149</v>
      </c>
      <c r="H3372" s="25" t="s">
        <v>35</v>
      </c>
      <c r="I3372" s="25" t="s">
        <v>1138</v>
      </c>
      <c r="J3372" s="25" t="s">
        <v>27</v>
      </c>
      <c r="K3372" s="25" t="s">
        <v>9</v>
      </c>
      <c r="L3372" s="25" t="s">
        <v>30</v>
      </c>
      <c r="M3372" s="25"/>
      <c r="N3372" s="25" t="s">
        <v>98</v>
      </c>
    </row>
    <row r="3373">
      <c r="A3373" s="172"/>
      <c r="B3373" s="171" t="s">
        <v>18</v>
      </c>
      <c r="C3373" s="171" t="s">
        <v>74</v>
      </c>
      <c r="D3373" s="279" t="s">
        <v>1193</v>
      </c>
      <c r="E3373" s="240">
        <v>43672.0</v>
      </c>
      <c r="F3373" s="21" t="str">
        <f t="shared" si="256"/>
        <v>Jul-2019</v>
      </c>
      <c r="G3373" t="s">
        <v>222</v>
      </c>
      <c r="H3373" s="25" t="s">
        <v>35</v>
      </c>
      <c r="I3373" s="25" t="s">
        <v>1138</v>
      </c>
      <c r="J3373" s="25" t="s">
        <v>27</v>
      </c>
      <c r="K3373" s="25" t="s">
        <v>9</v>
      </c>
      <c r="L3373" s="25" t="s">
        <v>30</v>
      </c>
      <c r="M3373" s="25"/>
      <c r="N3373" s="25" t="s">
        <v>29</v>
      </c>
    </row>
    <row r="3374">
      <c r="A3374" s="172"/>
      <c r="B3374" s="171" t="s">
        <v>18</v>
      </c>
      <c r="C3374" s="171" t="s">
        <v>74</v>
      </c>
      <c r="D3374" s="279" t="s">
        <v>1193</v>
      </c>
      <c r="E3374" s="240">
        <v>43672.0</v>
      </c>
      <c r="F3374" s="21" t="str">
        <f t="shared" si="256"/>
        <v>Jul-2019</v>
      </c>
      <c r="G3374" t="s">
        <v>467</v>
      </c>
      <c r="H3374" s="25" t="s">
        <v>35</v>
      </c>
      <c r="I3374" s="25" t="s">
        <v>1138</v>
      </c>
      <c r="J3374" s="25" t="s">
        <v>27</v>
      </c>
      <c r="K3374" s="25" t="s">
        <v>9</v>
      </c>
      <c r="L3374" s="25" t="s">
        <v>24</v>
      </c>
      <c r="M3374" s="25"/>
      <c r="N3374" s="25" t="s">
        <v>37</v>
      </c>
    </row>
    <row r="3375">
      <c r="A3375" s="172"/>
      <c r="B3375" s="171" t="s">
        <v>18</v>
      </c>
      <c r="C3375" s="171" t="s">
        <v>74</v>
      </c>
      <c r="D3375" s="279" t="s">
        <v>1193</v>
      </c>
      <c r="E3375" s="240">
        <v>43672.0</v>
      </c>
      <c r="F3375" s="21" t="str">
        <f t="shared" si="256"/>
        <v>Jul-2019</v>
      </c>
      <c r="G3375" s="25" t="s">
        <v>480</v>
      </c>
      <c r="H3375" s="25" t="s">
        <v>35</v>
      </c>
      <c r="I3375" s="25" t="s">
        <v>1138</v>
      </c>
      <c r="J3375" s="25" t="s">
        <v>27</v>
      </c>
      <c r="K3375" s="25" t="s">
        <v>9</v>
      </c>
      <c r="L3375" s="25" t="s">
        <v>24</v>
      </c>
      <c r="M3375" s="25"/>
      <c r="N3375" s="25" t="s">
        <v>106</v>
      </c>
    </row>
    <row r="3376">
      <c r="A3376" s="94"/>
    </row>
    <row r="3377">
      <c r="A3377" s="279" t="s">
        <v>1196</v>
      </c>
      <c r="B3377" s="171" t="s">
        <v>527</v>
      </c>
      <c r="C3377" s="171" t="s">
        <v>19</v>
      </c>
      <c r="D3377" s="279" t="s">
        <v>1196</v>
      </c>
      <c r="E3377" s="240">
        <v>43673.0</v>
      </c>
      <c r="F3377" s="21" t="str">
        <f t="shared" ref="F3377:F3400" si="257">TEXT(E3369:E3377, "mmm") &amp; "-" &amp; TEXT(E3369:E3377, "yyyy") </f>
        <v>Jul-2019</v>
      </c>
      <c r="G3377" s="32" t="s">
        <v>20</v>
      </c>
      <c r="H3377" s="25" t="s">
        <v>35</v>
      </c>
      <c r="I3377" s="25" t="s">
        <v>167</v>
      </c>
      <c r="J3377" s="25" t="s">
        <v>27</v>
      </c>
      <c r="K3377" s="25" t="s">
        <v>9</v>
      </c>
      <c r="L3377" s="25" t="s">
        <v>30</v>
      </c>
      <c r="M3377" s="25" t="s">
        <v>30</v>
      </c>
      <c r="N3377" s="25" t="s">
        <v>98</v>
      </c>
    </row>
    <row r="3378">
      <c r="A3378" s="171" t="s">
        <v>527</v>
      </c>
      <c r="B3378" s="171" t="s">
        <v>527</v>
      </c>
      <c r="C3378" s="171" t="s">
        <v>19</v>
      </c>
      <c r="D3378" s="279" t="s">
        <v>1196</v>
      </c>
      <c r="E3378" s="240">
        <v>43673.0</v>
      </c>
      <c r="F3378" s="21" t="str">
        <f t="shared" si="257"/>
        <v>Jul-2019</v>
      </c>
      <c r="G3378" s="32" t="s">
        <v>25</v>
      </c>
      <c r="H3378" s="25" t="s">
        <v>35</v>
      </c>
      <c r="I3378" s="25" t="s">
        <v>167</v>
      </c>
      <c r="J3378" s="25" t="s">
        <v>27</v>
      </c>
      <c r="K3378" s="25" t="s">
        <v>9</v>
      </c>
      <c r="L3378" s="25" t="s">
        <v>30</v>
      </c>
      <c r="M3378" s="25"/>
      <c r="N3378" s="25" t="s">
        <v>37</v>
      </c>
    </row>
    <row r="3379">
      <c r="A3379" s="171" t="s">
        <v>529</v>
      </c>
      <c r="B3379" s="171" t="s">
        <v>527</v>
      </c>
      <c r="C3379" s="171" t="s">
        <v>19</v>
      </c>
      <c r="D3379" s="279" t="s">
        <v>1196</v>
      </c>
      <c r="E3379" s="240">
        <v>43673.0</v>
      </c>
      <c r="F3379" s="21" t="str">
        <f t="shared" si="257"/>
        <v>Jul-2019</v>
      </c>
      <c r="G3379" s="32" t="s">
        <v>20</v>
      </c>
      <c r="H3379" s="25" t="s">
        <v>35</v>
      </c>
      <c r="I3379" s="25" t="s">
        <v>911</v>
      </c>
      <c r="J3379" s="25" t="s">
        <v>44</v>
      </c>
      <c r="K3379" s="25" t="s">
        <v>9</v>
      </c>
      <c r="L3379" s="25" t="s">
        <v>30</v>
      </c>
      <c r="M3379" s="25" t="s">
        <v>24</v>
      </c>
      <c r="N3379" s="25" t="s">
        <v>69</v>
      </c>
    </row>
    <row r="3380">
      <c r="A3380" s="240">
        <v>43673.0</v>
      </c>
      <c r="B3380" s="171" t="s">
        <v>527</v>
      </c>
      <c r="C3380" s="171" t="s">
        <v>19</v>
      </c>
      <c r="D3380" s="279" t="s">
        <v>1196</v>
      </c>
      <c r="E3380" s="240">
        <v>43673.0</v>
      </c>
      <c r="F3380" s="21" t="str">
        <f t="shared" si="257"/>
        <v>Jul-2019</v>
      </c>
      <c r="G3380" s="32" t="s">
        <v>25</v>
      </c>
      <c r="H3380" s="25" t="s">
        <v>35</v>
      </c>
      <c r="I3380" s="25" t="s">
        <v>911</v>
      </c>
      <c r="J3380" s="25" t="s">
        <v>44</v>
      </c>
      <c r="K3380" s="25" t="s">
        <v>9</v>
      </c>
      <c r="L3380" s="25" t="s">
        <v>24</v>
      </c>
      <c r="M3380" s="25"/>
      <c r="N3380" s="25" t="s">
        <v>98</v>
      </c>
    </row>
    <row r="3381">
      <c r="A3381" s="301" t="s">
        <v>1197</v>
      </c>
      <c r="B3381" s="171" t="s">
        <v>527</v>
      </c>
      <c r="C3381" s="171" t="s">
        <v>19</v>
      </c>
      <c r="D3381" s="279" t="s">
        <v>1196</v>
      </c>
      <c r="E3381" s="240">
        <v>43673.0</v>
      </c>
      <c r="F3381" s="21" t="str">
        <f t="shared" si="257"/>
        <v>Jul-2019</v>
      </c>
      <c r="G3381" s="32" t="s">
        <v>32</v>
      </c>
      <c r="H3381" s="25" t="s">
        <v>35</v>
      </c>
      <c r="I3381" s="25" t="s">
        <v>911</v>
      </c>
      <c r="J3381" s="25" t="s">
        <v>44</v>
      </c>
      <c r="K3381" s="25" t="s">
        <v>9</v>
      </c>
      <c r="L3381" s="25" t="s">
        <v>24</v>
      </c>
      <c r="M3381" s="25"/>
      <c r="N3381" s="25" t="s">
        <v>106</v>
      </c>
    </row>
    <row r="3382">
      <c r="A3382" s="171" t="s">
        <v>19</v>
      </c>
      <c r="B3382" s="171" t="s">
        <v>527</v>
      </c>
      <c r="C3382" s="171" t="s">
        <v>19</v>
      </c>
      <c r="D3382" s="279" t="s">
        <v>1196</v>
      </c>
      <c r="E3382" s="240">
        <v>43673.0</v>
      </c>
      <c r="F3382" s="21" t="str">
        <f t="shared" si="257"/>
        <v>Jul-2019</v>
      </c>
      <c r="G3382" s="32" t="s">
        <v>20</v>
      </c>
      <c r="H3382" s="25" t="s">
        <v>35</v>
      </c>
      <c r="I3382" s="25" t="s">
        <v>233</v>
      </c>
      <c r="J3382" s="25" t="s">
        <v>27</v>
      </c>
      <c r="K3382" s="25" t="s">
        <v>9</v>
      </c>
      <c r="L3382" s="25" t="s">
        <v>30</v>
      </c>
      <c r="M3382" s="25" t="s">
        <v>30</v>
      </c>
      <c r="N3382" s="25" t="s">
        <v>98</v>
      </c>
    </row>
    <row r="3383">
      <c r="A3383" s="171" t="s">
        <v>1198</v>
      </c>
      <c r="B3383" s="171" t="s">
        <v>527</v>
      </c>
      <c r="C3383" s="171" t="s">
        <v>19</v>
      </c>
      <c r="D3383" s="279" t="s">
        <v>1196</v>
      </c>
      <c r="E3383" s="240">
        <v>43673.0</v>
      </c>
      <c r="F3383" s="21" t="str">
        <f t="shared" si="257"/>
        <v>Jul-2019</v>
      </c>
      <c r="G3383" s="32" t="s">
        <v>25</v>
      </c>
      <c r="H3383" s="25" t="s">
        <v>35</v>
      </c>
      <c r="I3383" s="25" t="s">
        <v>233</v>
      </c>
      <c r="J3383" s="25" t="s">
        <v>27</v>
      </c>
      <c r="K3383" s="25" t="s">
        <v>9</v>
      </c>
      <c r="L3383" s="25" t="s">
        <v>30</v>
      </c>
      <c r="M3383" s="25"/>
      <c r="N3383" s="25" t="s">
        <v>37</v>
      </c>
    </row>
    <row r="3384">
      <c r="A3384" s="301" t="s">
        <v>1199</v>
      </c>
      <c r="B3384" s="171" t="s">
        <v>527</v>
      </c>
      <c r="C3384" s="171" t="s">
        <v>19</v>
      </c>
      <c r="D3384" s="279" t="s">
        <v>1196</v>
      </c>
      <c r="E3384" s="240">
        <v>43673.0</v>
      </c>
      <c r="F3384" s="21" t="str">
        <f t="shared" si="257"/>
        <v>Jul-2019</v>
      </c>
      <c r="G3384" s="32" t="s">
        <v>20</v>
      </c>
      <c r="H3384" s="25" t="s">
        <v>35</v>
      </c>
      <c r="I3384" s="25" t="s">
        <v>726</v>
      </c>
      <c r="J3384" s="25" t="s">
        <v>216</v>
      </c>
      <c r="K3384" s="25" t="s">
        <v>9</v>
      </c>
      <c r="L3384" s="25" t="s">
        <v>30</v>
      </c>
      <c r="M3384" s="25" t="s">
        <v>24</v>
      </c>
      <c r="N3384" s="25" t="s">
        <v>37</v>
      </c>
    </row>
    <row r="3385">
      <c r="A3385" s="172"/>
      <c r="B3385" s="171" t="s">
        <v>527</v>
      </c>
      <c r="C3385" s="171" t="s">
        <v>19</v>
      </c>
      <c r="D3385" s="279" t="s">
        <v>1196</v>
      </c>
      <c r="E3385" s="240">
        <v>43673.0</v>
      </c>
      <c r="F3385" s="21" t="str">
        <f t="shared" si="257"/>
        <v>Jul-2019</v>
      </c>
      <c r="G3385" s="32" t="s">
        <v>25</v>
      </c>
      <c r="H3385" s="25" t="s">
        <v>35</v>
      </c>
      <c r="I3385" s="25" t="s">
        <v>726</v>
      </c>
      <c r="J3385" s="25" t="s">
        <v>216</v>
      </c>
      <c r="K3385" s="25" t="s">
        <v>9</v>
      </c>
      <c r="L3385" s="25" t="s">
        <v>24</v>
      </c>
      <c r="M3385" s="25"/>
      <c r="N3385" s="25" t="s">
        <v>99</v>
      </c>
    </row>
    <row r="3386">
      <c r="A3386" s="172"/>
      <c r="B3386" s="171" t="s">
        <v>527</v>
      </c>
      <c r="C3386" s="171" t="s">
        <v>19</v>
      </c>
      <c r="D3386" s="279" t="s">
        <v>1196</v>
      </c>
      <c r="E3386" s="240">
        <v>43673.0</v>
      </c>
      <c r="F3386" s="21" t="str">
        <f t="shared" si="257"/>
        <v>Jul-2019</v>
      </c>
      <c r="G3386" s="32" t="s">
        <v>32</v>
      </c>
      <c r="H3386" s="25" t="s">
        <v>35</v>
      </c>
      <c r="I3386" s="25" t="s">
        <v>726</v>
      </c>
      <c r="J3386" s="25" t="s">
        <v>216</v>
      </c>
      <c r="K3386" s="25" t="s">
        <v>9</v>
      </c>
      <c r="L3386" s="25" t="s">
        <v>24</v>
      </c>
      <c r="M3386" s="25"/>
      <c r="N3386" s="25" t="s">
        <v>98</v>
      </c>
    </row>
    <row r="3387">
      <c r="A3387" s="172"/>
      <c r="B3387" s="171" t="s">
        <v>527</v>
      </c>
      <c r="C3387" s="171" t="s">
        <v>19</v>
      </c>
      <c r="D3387" s="279" t="s">
        <v>1196</v>
      </c>
      <c r="E3387" s="240">
        <v>43673.0</v>
      </c>
      <c r="F3387" s="21" t="str">
        <f t="shared" si="257"/>
        <v>Jul-2019</v>
      </c>
      <c r="G3387" s="32" t="s">
        <v>20</v>
      </c>
      <c r="H3387" s="25" t="s">
        <v>35</v>
      </c>
      <c r="I3387" s="25" t="s">
        <v>1200</v>
      </c>
      <c r="J3387" s="25" t="s">
        <v>9</v>
      </c>
      <c r="K3387" s="25" t="s">
        <v>9</v>
      </c>
      <c r="L3387" s="25" t="s">
        <v>30</v>
      </c>
      <c r="M3387" s="25" t="s">
        <v>30</v>
      </c>
      <c r="N3387" s="25" t="s">
        <v>69</v>
      </c>
    </row>
    <row r="3388">
      <c r="A3388" s="172"/>
      <c r="B3388" s="171" t="s">
        <v>527</v>
      </c>
      <c r="C3388" s="171" t="s">
        <v>19</v>
      </c>
      <c r="D3388" s="279" t="s">
        <v>1196</v>
      </c>
      <c r="E3388" s="240">
        <v>43673.0</v>
      </c>
      <c r="F3388" s="21" t="str">
        <f t="shared" si="257"/>
        <v>Jul-2019</v>
      </c>
      <c r="G3388" s="32" t="s">
        <v>25</v>
      </c>
      <c r="H3388" s="25" t="s">
        <v>35</v>
      </c>
      <c r="I3388" s="25" t="s">
        <v>1200</v>
      </c>
      <c r="J3388" s="25" t="s">
        <v>9</v>
      </c>
      <c r="K3388" s="25" t="s">
        <v>9</v>
      </c>
      <c r="L3388" s="25" t="s">
        <v>30</v>
      </c>
      <c r="M3388" s="25"/>
      <c r="N3388" s="25" t="s">
        <v>37</v>
      </c>
    </row>
    <row r="3389">
      <c r="A3389" s="172"/>
      <c r="B3389" s="171" t="s">
        <v>527</v>
      </c>
      <c r="C3389" s="171" t="s">
        <v>19</v>
      </c>
      <c r="D3389" s="279" t="s">
        <v>1196</v>
      </c>
      <c r="E3389" s="240">
        <v>43673.0</v>
      </c>
      <c r="F3389" s="21" t="str">
        <f t="shared" si="257"/>
        <v>Jul-2019</v>
      </c>
      <c r="G3389" s="32" t="s">
        <v>20</v>
      </c>
      <c r="H3389" s="25" t="s">
        <v>35</v>
      </c>
      <c r="I3389" s="25" t="s">
        <v>655</v>
      </c>
      <c r="J3389" s="25" t="s">
        <v>655</v>
      </c>
      <c r="K3389" s="25" t="s">
        <v>9</v>
      </c>
      <c r="L3389" s="25" t="s">
        <v>30</v>
      </c>
      <c r="M3389" s="25" t="s">
        <v>30</v>
      </c>
      <c r="N3389" s="25" t="s">
        <v>29</v>
      </c>
    </row>
    <row r="3390">
      <c r="A3390" s="172"/>
      <c r="B3390" s="171" t="s">
        <v>527</v>
      </c>
      <c r="C3390" s="171" t="s">
        <v>19</v>
      </c>
      <c r="D3390" s="279" t="s">
        <v>1196</v>
      </c>
      <c r="E3390" s="240">
        <v>43673.0</v>
      </c>
      <c r="F3390" s="21" t="str">
        <f t="shared" si="257"/>
        <v>Jul-2019</v>
      </c>
      <c r="G3390" s="32" t="s">
        <v>25</v>
      </c>
      <c r="H3390" s="25" t="s">
        <v>35</v>
      </c>
      <c r="I3390" s="25" t="s">
        <v>655</v>
      </c>
      <c r="J3390" s="25" t="s">
        <v>655</v>
      </c>
      <c r="K3390" s="25" t="s">
        <v>9</v>
      </c>
      <c r="L3390" s="25" t="s">
        <v>30</v>
      </c>
      <c r="M3390" s="25"/>
      <c r="N3390" s="25" t="s">
        <v>98</v>
      </c>
    </row>
    <row r="3391">
      <c r="A3391" s="172"/>
      <c r="B3391" s="171" t="s">
        <v>527</v>
      </c>
      <c r="C3391" s="171" t="s">
        <v>19</v>
      </c>
      <c r="D3391" s="279" t="s">
        <v>1196</v>
      </c>
      <c r="E3391" s="240">
        <v>43673.0</v>
      </c>
      <c r="F3391" s="21" t="str">
        <f t="shared" si="257"/>
        <v>Jul-2019</v>
      </c>
      <c r="G3391" s="32" t="s">
        <v>20</v>
      </c>
      <c r="H3391" s="25" t="s">
        <v>35</v>
      </c>
      <c r="I3391" s="25" t="s">
        <v>1138</v>
      </c>
      <c r="J3391" s="25" t="s">
        <v>27</v>
      </c>
      <c r="K3391" s="25" t="s">
        <v>9</v>
      </c>
      <c r="L3391" s="25" t="s">
        <v>30</v>
      </c>
      <c r="M3391" s="25" t="s">
        <v>24</v>
      </c>
      <c r="N3391" s="25" t="s">
        <v>37</v>
      </c>
    </row>
    <row r="3392">
      <c r="A3392" s="172"/>
      <c r="B3392" s="171" t="s">
        <v>527</v>
      </c>
      <c r="C3392" s="171" t="s">
        <v>19</v>
      </c>
      <c r="D3392" s="279" t="s">
        <v>1196</v>
      </c>
      <c r="E3392" s="240">
        <v>43673.0</v>
      </c>
      <c r="F3392" s="21" t="str">
        <f t="shared" si="257"/>
        <v>Jul-2019</v>
      </c>
      <c r="G3392" s="32" t="s">
        <v>25</v>
      </c>
      <c r="H3392" s="25" t="s">
        <v>35</v>
      </c>
      <c r="I3392" s="25" t="s">
        <v>1138</v>
      </c>
      <c r="J3392" s="25" t="s">
        <v>27</v>
      </c>
      <c r="K3392" s="25" t="s">
        <v>9</v>
      </c>
      <c r="L3392" s="25" t="s">
        <v>24</v>
      </c>
      <c r="M3392" s="25"/>
      <c r="N3392" s="25" t="s">
        <v>69</v>
      </c>
    </row>
    <row r="3393">
      <c r="A3393" s="172"/>
      <c r="B3393" s="171" t="s">
        <v>527</v>
      </c>
      <c r="C3393" s="171" t="s">
        <v>19</v>
      </c>
      <c r="D3393" s="279" t="s">
        <v>1196</v>
      </c>
      <c r="E3393" s="240">
        <v>43673.0</v>
      </c>
      <c r="F3393" s="21" t="str">
        <f t="shared" si="257"/>
        <v>Jul-2019</v>
      </c>
      <c r="G3393" s="32" t="s">
        <v>32</v>
      </c>
      <c r="H3393" s="25" t="s">
        <v>35</v>
      </c>
      <c r="I3393" s="25" t="s">
        <v>1138</v>
      </c>
      <c r="J3393" s="25" t="s">
        <v>27</v>
      </c>
      <c r="K3393" s="25" t="s">
        <v>9</v>
      </c>
      <c r="L3393" s="25" t="s">
        <v>24</v>
      </c>
      <c r="M3393" s="25"/>
      <c r="N3393" s="25" t="s">
        <v>106</v>
      </c>
    </row>
    <row r="3394">
      <c r="A3394" s="172"/>
      <c r="B3394" s="171" t="s">
        <v>527</v>
      </c>
      <c r="C3394" s="171" t="s">
        <v>19</v>
      </c>
      <c r="D3394" s="279" t="s">
        <v>1196</v>
      </c>
      <c r="E3394" s="240">
        <v>43673.0</v>
      </c>
      <c r="F3394" s="21" t="str">
        <f t="shared" si="257"/>
        <v>Jul-2019</v>
      </c>
      <c r="G3394" s="32" t="s">
        <v>20</v>
      </c>
      <c r="H3394" s="25" t="s">
        <v>35</v>
      </c>
      <c r="I3394" s="25" t="s">
        <v>233</v>
      </c>
      <c r="J3394" s="25" t="s">
        <v>27</v>
      </c>
      <c r="K3394" s="25" t="s">
        <v>9</v>
      </c>
      <c r="L3394" s="25" t="s">
        <v>30</v>
      </c>
      <c r="M3394" s="25" t="s">
        <v>30</v>
      </c>
      <c r="N3394" s="25" t="s">
        <v>98</v>
      </c>
    </row>
    <row r="3395">
      <c r="A3395" s="172"/>
      <c r="B3395" s="171" t="s">
        <v>527</v>
      </c>
      <c r="C3395" s="171" t="s">
        <v>19</v>
      </c>
      <c r="D3395" s="279" t="s">
        <v>1196</v>
      </c>
      <c r="E3395" s="240">
        <v>43673.0</v>
      </c>
      <c r="F3395" s="21" t="str">
        <f t="shared" si="257"/>
        <v>Jul-2019</v>
      </c>
      <c r="G3395" s="32" t="s">
        <v>25</v>
      </c>
      <c r="H3395" s="25" t="s">
        <v>35</v>
      </c>
      <c r="I3395" s="25" t="s">
        <v>233</v>
      </c>
      <c r="J3395" s="25" t="s">
        <v>27</v>
      </c>
      <c r="K3395" s="25" t="s">
        <v>9</v>
      </c>
      <c r="L3395" s="25" t="s">
        <v>30</v>
      </c>
      <c r="M3395" s="25"/>
      <c r="N3395" s="25" t="s">
        <v>37</v>
      </c>
    </row>
    <row r="3396">
      <c r="A3396" s="172"/>
      <c r="B3396" s="171" t="s">
        <v>527</v>
      </c>
      <c r="C3396" s="171" t="s">
        <v>19</v>
      </c>
      <c r="D3396" s="279" t="s">
        <v>1196</v>
      </c>
      <c r="E3396" s="240">
        <v>43673.0</v>
      </c>
      <c r="F3396" s="21" t="str">
        <f t="shared" si="257"/>
        <v>Jul-2019</v>
      </c>
      <c r="G3396" t="s">
        <v>146</v>
      </c>
      <c r="H3396" s="25" t="s">
        <v>35</v>
      </c>
      <c r="I3396" s="25" t="s">
        <v>1201</v>
      </c>
      <c r="J3396" s="25" t="s">
        <v>140</v>
      </c>
      <c r="K3396" s="25" t="s">
        <v>9</v>
      </c>
      <c r="L3396" s="25" t="s">
        <v>30</v>
      </c>
      <c r="M3396" s="25" t="s">
        <v>24</v>
      </c>
      <c r="N3396" s="25" t="s">
        <v>37</v>
      </c>
      <c r="Q3396" s="25" t="s">
        <v>56</v>
      </c>
    </row>
    <row r="3397">
      <c r="A3397" s="172"/>
      <c r="B3397" s="171" t="s">
        <v>527</v>
      </c>
      <c r="C3397" s="171" t="s">
        <v>19</v>
      </c>
      <c r="D3397" s="279" t="s">
        <v>1196</v>
      </c>
      <c r="E3397" s="240">
        <v>43673.0</v>
      </c>
      <c r="F3397" s="21" t="str">
        <f t="shared" si="257"/>
        <v>Jul-2019</v>
      </c>
      <c r="G3397" t="s">
        <v>149</v>
      </c>
      <c r="H3397" s="25" t="s">
        <v>35</v>
      </c>
      <c r="I3397" s="25" t="s">
        <v>1201</v>
      </c>
      <c r="J3397" s="25" t="s">
        <v>140</v>
      </c>
      <c r="K3397" s="25" t="s">
        <v>9</v>
      </c>
      <c r="L3397" s="25" t="s">
        <v>24</v>
      </c>
      <c r="M3397" s="25"/>
      <c r="N3397" s="25" t="s">
        <v>29</v>
      </c>
      <c r="Q3397" s="25" t="s">
        <v>56</v>
      </c>
    </row>
    <row r="3398">
      <c r="A3398" s="172"/>
      <c r="B3398" s="171" t="s">
        <v>527</v>
      </c>
      <c r="C3398" s="171" t="s">
        <v>19</v>
      </c>
      <c r="D3398" s="279" t="s">
        <v>1196</v>
      </c>
      <c r="E3398" s="240">
        <v>43673.0</v>
      </c>
      <c r="F3398" s="21" t="str">
        <f t="shared" si="257"/>
        <v>Jul-2019</v>
      </c>
      <c r="G3398" t="s">
        <v>222</v>
      </c>
      <c r="H3398" s="25" t="s">
        <v>35</v>
      </c>
      <c r="I3398" s="25" t="s">
        <v>1201</v>
      </c>
      <c r="J3398" s="25" t="s">
        <v>140</v>
      </c>
      <c r="K3398" s="25" t="s">
        <v>9</v>
      </c>
      <c r="L3398" s="25" t="s">
        <v>24</v>
      </c>
      <c r="M3398" s="25"/>
      <c r="N3398" s="25" t="s">
        <v>69</v>
      </c>
      <c r="Q3398" s="25" t="s">
        <v>56</v>
      </c>
    </row>
    <row r="3399">
      <c r="A3399" s="172"/>
      <c r="B3399" s="171" t="s">
        <v>527</v>
      </c>
      <c r="C3399" s="171" t="s">
        <v>19</v>
      </c>
      <c r="D3399" s="279" t="s">
        <v>1196</v>
      </c>
      <c r="E3399" s="240">
        <v>43673.0</v>
      </c>
      <c r="F3399" s="21" t="str">
        <f t="shared" si="257"/>
        <v>Jul-2019</v>
      </c>
      <c r="G3399" t="s">
        <v>467</v>
      </c>
      <c r="H3399" s="25" t="s">
        <v>35</v>
      </c>
      <c r="I3399" s="25" t="s">
        <v>1201</v>
      </c>
      <c r="J3399" s="25" t="s">
        <v>140</v>
      </c>
      <c r="K3399" s="25" t="s">
        <v>9</v>
      </c>
      <c r="L3399" s="25" t="s">
        <v>30</v>
      </c>
      <c r="M3399" s="25"/>
      <c r="N3399" s="25" t="s">
        <v>69</v>
      </c>
      <c r="Q3399" s="25" t="s">
        <v>56</v>
      </c>
    </row>
    <row r="3400">
      <c r="A3400" s="172"/>
      <c r="B3400" s="171" t="s">
        <v>527</v>
      </c>
      <c r="C3400" s="171" t="s">
        <v>19</v>
      </c>
      <c r="D3400" s="279" t="s">
        <v>1196</v>
      </c>
      <c r="E3400" s="240">
        <v>43673.0</v>
      </c>
      <c r="F3400" s="21" t="str">
        <f t="shared" si="257"/>
        <v>Jul-2019</v>
      </c>
      <c r="G3400" s="25" t="s">
        <v>480</v>
      </c>
      <c r="H3400" s="25" t="s">
        <v>35</v>
      </c>
      <c r="I3400" s="25" t="s">
        <v>1201</v>
      </c>
      <c r="J3400" s="25" t="s">
        <v>140</v>
      </c>
      <c r="K3400" s="25" t="s">
        <v>9</v>
      </c>
      <c r="L3400" s="25" t="s">
        <v>24</v>
      </c>
      <c r="M3400" s="25"/>
      <c r="N3400" s="25" t="s">
        <v>106</v>
      </c>
      <c r="Q3400" s="25" t="s">
        <v>56</v>
      </c>
    </row>
    <row r="3401">
      <c r="A3401" s="94"/>
    </row>
    <row r="3402">
      <c r="A3402" s="279" t="s">
        <v>1202</v>
      </c>
      <c r="B3402" s="171" t="s">
        <v>18</v>
      </c>
      <c r="C3402" s="171" t="s">
        <v>74</v>
      </c>
      <c r="D3402" s="279" t="s">
        <v>1202</v>
      </c>
      <c r="E3402" s="240">
        <v>43679.0</v>
      </c>
      <c r="F3402" s="21" t="str">
        <f t="shared" ref="F3402:F3414" si="258">TEXT(E3394:E3402, "mmm") &amp; "-" &amp; TEXT(E3394:E3402, "yyyy") </f>
        <v>Aug-2019</v>
      </c>
      <c r="G3402" s="32" t="s">
        <v>20</v>
      </c>
      <c r="H3402" s="25" t="s">
        <v>35</v>
      </c>
      <c r="I3402" s="25" t="s">
        <v>1113</v>
      </c>
      <c r="J3402" s="25" t="s">
        <v>64</v>
      </c>
      <c r="K3402" s="25" t="s">
        <v>9</v>
      </c>
      <c r="L3402" s="25" t="s">
        <v>30</v>
      </c>
      <c r="M3402" s="25" t="s">
        <v>30</v>
      </c>
      <c r="N3402" s="25" t="s">
        <v>98</v>
      </c>
    </row>
    <row r="3403">
      <c r="A3403" s="171" t="s">
        <v>18</v>
      </c>
      <c r="B3403" s="171" t="s">
        <v>18</v>
      </c>
      <c r="C3403" s="171" t="s">
        <v>74</v>
      </c>
      <c r="D3403" s="279" t="s">
        <v>1202</v>
      </c>
      <c r="E3403" s="240">
        <v>43679.0</v>
      </c>
      <c r="F3403" s="21" t="str">
        <f t="shared" si="258"/>
        <v>Aug-2019</v>
      </c>
      <c r="G3403" s="32" t="s">
        <v>25</v>
      </c>
      <c r="H3403" s="25" t="s">
        <v>35</v>
      </c>
      <c r="I3403" s="25" t="s">
        <v>1113</v>
      </c>
      <c r="J3403" s="25" t="s">
        <v>64</v>
      </c>
      <c r="K3403" s="25" t="s">
        <v>9</v>
      </c>
      <c r="L3403" s="25" t="s">
        <v>30</v>
      </c>
      <c r="M3403" s="25"/>
      <c r="N3403" s="25" t="s">
        <v>99</v>
      </c>
    </row>
    <row r="3404">
      <c r="A3404" s="171" t="s">
        <v>638</v>
      </c>
      <c r="B3404" s="171" t="s">
        <v>18</v>
      </c>
      <c r="C3404" s="171" t="s">
        <v>74</v>
      </c>
      <c r="D3404" s="279" t="s">
        <v>1202</v>
      </c>
      <c r="E3404" s="240">
        <v>43679.0</v>
      </c>
      <c r="F3404" s="21" t="str">
        <f t="shared" si="258"/>
        <v>Aug-2019</v>
      </c>
      <c r="G3404" s="32" t="s">
        <v>20</v>
      </c>
      <c r="H3404" s="25" t="s">
        <v>35</v>
      </c>
      <c r="I3404" s="25" t="s">
        <v>393</v>
      </c>
      <c r="J3404" s="25" t="s">
        <v>102</v>
      </c>
      <c r="K3404" s="25" t="s">
        <v>9</v>
      </c>
      <c r="L3404" s="25" t="s">
        <v>24</v>
      </c>
      <c r="M3404" s="25" t="s">
        <v>30</v>
      </c>
      <c r="N3404" s="25" t="s">
        <v>98</v>
      </c>
    </row>
    <row r="3405">
      <c r="A3405" s="240">
        <v>43679.0</v>
      </c>
      <c r="B3405" s="171" t="s">
        <v>18</v>
      </c>
      <c r="C3405" s="171" t="s">
        <v>74</v>
      </c>
      <c r="D3405" s="279" t="s">
        <v>1202</v>
      </c>
      <c r="E3405" s="240">
        <v>43679.0</v>
      </c>
      <c r="F3405" s="21" t="str">
        <f t="shared" si="258"/>
        <v>Aug-2019</v>
      </c>
      <c r="G3405" s="32" t="s">
        <v>25</v>
      </c>
      <c r="H3405" s="25" t="s">
        <v>35</v>
      </c>
      <c r="I3405" s="25" t="s">
        <v>393</v>
      </c>
      <c r="J3405" s="25" t="s">
        <v>102</v>
      </c>
      <c r="K3405" s="25" t="s">
        <v>9</v>
      </c>
      <c r="L3405" s="25" t="s">
        <v>30</v>
      </c>
      <c r="M3405" s="25"/>
      <c r="N3405" s="25" t="s">
        <v>106</v>
      </c>
    </row>
    <row r="3406">
      <c r="A3406" s="301" t="s">
        <v>1203</v>
      </c>
      <c r="B3406" s="171" t="s">
        <v>18</v>
      </c>
      <c r="C3406" s="171" t="s">
        <v>74</v>
      </c>
      <c r="D3406" s="279" t="s">
        <v>1202</v>
      </c>
      <c r="E3406" s="240">
        <v>43679.0</v>
      </c>
      <c r="F3406" s="21" t="str">
        <f t="shared" si="258"/>
        <v>Aug-2019</v>
      </c>
      <c r="G3406" s="32" t="s">
        <v>32</v>
      </c>
      <c r="H3406" s="25" t="s">
        <v>35</v>
      </c>
      <c r="I3406" s="25" t="s">
        <v>393</v>
      </c>
      <c r="J3406" s="25" t="s">
        <v>102</v>
      </c>
      <c r="K3406" s="25" t="s">
        <v>9</v>
      </c>
      <c r="L3406" s="25" t="s">
        <v>30</v>
      </c>
      <c r="M3406" s="25"/>
      <c r="N3406" s="25" t="s">
        <v>37</v>
      </c>
    </row>
    <row r="3407">
      <c r="A3407" s="171" t="s">
        <v>74</v>
      </c>
      <c r="B3407" s="171" t="s">
        <v>18</v>
      </c>
      <c r="C3407" s="171" t="s">
        <v>74</v>
      </c>
      <c r="D3407" s="279" t="s">
        <v>1202</v>
      </c>
      <c r="E3407" s="240">
        <v>43679.0</v>
      </c>
      <c r="F3407" s="21" t="str">
        <f t="shared" si="258"/>
        <v>Aug-2019</v>
      </c>
      <c r="G3407" t="s">
        <v>146</v>
      </c>
      <c r="H3407" s="25" t="s">
        <v>35</v>
      </c>
      <c r="I3407" s="25" t="s">
        <v>90</v>
      </c>
      <c r="J3407" s="25" t="s">
        <v>9</v>
      </c>
      <c r="K3407" s="25" t="s">
        <v>9</v>
      </c>
      <c r="L3407" s="25" t="s">
        <v>24</v>
      </c>
      <c r="M3407" s="25" t="s">
        <v>24</v>
      </c>
      <c r="N3407" s="25" t="s">
        <v>69</v>
      </c>
    </row>
    <row r="3408">
      <c r="A3408" s="172"/>
      <c r="B3408" s="171" t="s">
        <v>18</v>
      </c>
      <c r="C3408" s="171" t="s">
        <v>74</v>
      </c>
      <c r="D3408" s="279" t="s">
        <v>1202</v>
      </c>
      <c r="E3408" s="240">
        <v>43679.0</v>
      </c>
      <c r="F3408" s="21" t="str">
        <f t="shared" si="258"/>
        <v>Aug-2019</v>
      </c>
      <c r="G3408" t="s">
        <v>149</v>
      </c>
      <c r="H3408" s="25" t="s">
        <v>35</v>
      </c>
      <c r="I3408" s="25" t="s">
        <v>90</v>
      </c>
      <c r="J3408" s="25" t="s">
        <v>9</v>
      </c>
      <c r="K3408" s="25" t="s">
        <v>9</v>
      </c>
      <c r="L3408" s="25" t="s">
        <v>24</v>
      </c>
      <c r="M3408" s="25"/>
      <c r="N3408" s="25" t="s">
        <v>99</v>
      </c>
    </row>
    <row r="3409">
      <c r="A3409" s="172"/>
      <c r="B3409" s="171" t="s">
        <v>18</v>
      </c>
      <c r="C3409" s="171" t="s">
        <v>74</v>
      </c>
      <c r="D3409" s="279" t="s">
        <v>1202</v>
      </c>
      <c r="E3409" s="240">
        <v>43679.0</v>
      </c>
      <c r="F3409" s="21" t="str">
        <f t="shared" si="258"/>
        <v>Aug-2019</v>
      </c>
      <c r="G3409" t="s">
        <v>222</v>
      </c>
      <c r="H3409" s="25" t="s">
        <v>35</v>
      </c>
      <c r="I3409" s="25" t="s">
        <v>90</v>
      </c>
      <c r="J3409" s="25" t="s">
        <v>9</v>
      </c>
      <c r="K3409" s="25" t="s">
        <v>9</v>
      </c>
      <c r="L3409" s="25" t="s">
        <v>24</v>
      </c>
      <c r="M3409" s="25"/>
      <c r="N3409" s="25" t="s">
        <v>69</v>
      </c>
    </row>
    <row r="3410">
      <c r="A3410" s="172"/>
      <c r="B3410" s="171" t="s">
        <v>18</v>
      </c>
      <c r="C3410" s="171" t="s">
        <v>74</v>
      </c>
      <c r="D3410" s="279" t="s">
        <v>1202</v>
      </c>
      <c r="E3410" s="240">
        <v>43679.0</v>
      </c>
      <c r="F3410" s="21" t="str">
        <f t="shared" si="258"/>
        <v>Aug-2019</v>
      </c>
      <c r="G3410" t="s">
        <v>146</v>
      </c>
      <c r="H3410" s="25" t="s">
        <v>35</v>
      </c>
      <c r="I3410" s="25" t="s">
        <v>452</v>
      </c>
      <c r="J3410" s="25" t="s">
        <v>27</v>
      </c>
      <c r="K3410" s="25" t="s">
        <v>9</v>
      </c>
      <c r="L3410" s="25" t="s">
        <v>24</v>
      </c>
      <c r="M3410" s="25" t="s">
        <v>24</v>
      </c>
      <c r="N3410" s="25" t="s">
        <v>98</v>
      </c>
    </row>
    <row r="3411">
      <c r="A3411" s="172"/>
      <c r="B3411" s="171" t="s">
        <v>18</v>
      </c>
      <c r="C3411" s="171" t="s">
        <v>74</v>
      </c>
      <c r="D3411" s="279" t="s">
        <v>1202</v>
      </c>
      <c r="E3411" s="240">
        <v>43679.0</v>
      </c>
      <c r="F3411" s="21" t="str">
        <f t="shared" si="258"/>
        <v>Aug-2019</v>
      </c>
      <c r="G3411" t="s">
        <v>149</v>
      </c>
      <c r="H3411" s="25" t="s">
        <v>35</v>
      </c>
      <c r="I3411" s="25" t="s">
        <v>452</v>
      </c>
      <c r="J3411" s="25" t="s">
        <v>27</v>
      </c>
      <c r="K3411" s="25" t="s">
        <v>9</v>
      </c>
      <c r="L3411" s="25" t="s">
        <v>30</v>
      </c>
      <c r="M3411" s="25"/>
      <c r="N3411" s="25" t="s">
        <v>37</v>
      </c>
    </row>
    <row r="3412">
      <c r="A3412" s="172"/>
      <c r="B3412" s="171" t="s">
        <v>18</v>
      </c>
      <c r="C3412" s="171" t="s">
        <v>74</v>
      </c>
      <c r="D3412" s="279" t="s">
        <v>1202</v>
      </c>
      <c r="E3412" s="240">
        <v>43679.0</v>
      </c>
      <c r="F3412" s="21" t="str">
        <f t="shared" si="258"/>
        <v>Aug-2019</v>
      </c>
      <c r="G3412" t="s">
        <v>222</v>
      </c>
      <c r="H3412" s="25" t="s">
        <v>35</v>
      </c>
      <c r="I3412" s="25" t="s">
        <v>452</v>
      </c>
      <c r="J3412" s="25" t="s">
        <v>27</v>
      </c>
      <c r="K3412" s="25" t="s">
        <v>9</v>
      </c>
      <c r="L3412" s="25" t="s">
        <v>30</v>
      </c>
      <c r="M3412" s="25"/>
      <c r="N3412" s="25" t="s">
        <v>29</v>
      </c>
    </row>
    <row r="3413">
      <c r="A3413" s="172"/>
      <c r="B3413" s="171" t="s">
        <v>18</v>
      </c>
      <c r="C3413" s="171" t="s">
        <v>74</v>
      </c>
      <c r="D3413" s="279" t="s">
        <v>1202</v>
      </c>
      <c r="E3413" s="240">
        <v>43679.0</v>
      </c>
      <c r="F3413" s="21" t="str">
        <f t="shared" si="258"/>
        <v>Aug-2019</v>
      </c>
      <c r="G3413" t="s">
        <v>467</v>
      </c>
      <c r="H3413" s="25" t="s">
        <v>35</v>
      </c>
      <c r="I3413" s="25" t="s">
        <v>452</v>
      </c>
      <c r="J3413" s="25" t="s">
        <v>27</v>
      </c>
      <c r="K3413" s="25" t="s">
        <v>9</v>
      </c>
      <c r="L3413" s="25" t="s">
        <v>24</v>
      </c>
      <c r="M3413" s="25"/>
      <c r="N3413" s="25" t="s">
        <v>99</v>
      </c>
    </row>
    <row r="3414">
      <c r="A3414" s="172"/>
      <c r="B3414" s="171" t="s">
        <v>18</v>
      </c>
      <c r="C3414" s="171" t="s">
        <v>74</v>
      </c>
      <c r="D3414" s="279" t="s">
        <v>1202</v>
      </c>
      <c r="E3414" s="240">
        <v>43679.0</v>
      </c>
      <c r="F3414" s="21" t="str">
        <f t="shared" si="258"/>
        <v>Aug-2019</v>
      </c>
      <c r="G3414" s="25" t="s">
        <v>480</v>
      </c>
      <c r="H3414" s="25" t="s">
        <v>35</v>
      </c>
      <c r="I3414" s="25" t="s">
        <v>452</v>
      </c>
      <c r="J3414" s="25" t="s">
        <v>27</v>
      </c>
      <c r="K3414" s="25" t="s">
        <v>9</v>
      </c>
      <c r="L3414" s="25" t="s">
        <v>24</v>
      </c>
      <c r="M3414" s="25"/>
      <c r="N3414" s="25" t="s">
        <v>98</v>
      </c>
    </row>
    <row r="3415">
      <c r="A3415" s="94"/>
    </row>
    <row r="3416">
      <c r="A3416" s="279" t="s">
        <v>1204</v>
      </c>
      <c r="B3416" s="171" t="s">
        <v>18</v>
      </c>
      <c r="C3416" s="171" t="s">
        <v>74</v>
      </c>
      <c r="D3416" s="279" t="s">
        <v>1204</v>
      </c>
      <c r="E3416" s="240">
        <v>43687.0</v>
      </c>
      <c r="F3416" s="21" t="str">
        <f t="shared" ref="F3416:F3422" si="259">TEXT(E3408:E3416, "mmm") &amp; "-" &amp; TEXT(E3408:E3416, "yyyy") </f>
        <v>Aug-2019</v>
      </c>
      <c r="G3416" s="32" t="s">
        <v>20</v>
      </c>
      <c r="H3416" s="25" t="s">
        <v>35</v>
      </c>
      <c r="I3416" s="25" t="s">
        <v>1205</v>
      </c>
      <c r="J3416" s="25" t="s">
        <v>97</v>
      </c>
      <c r="K3416" s="25" t="s">
        <v>9</v>
      </c>
      <c r="L3416" s="25" t="s">
        <v>30</v>
      </c>
      <c r="M3416" s="25" t="s">
        <v>30</v>
      </c>
      <c r="N3416" s="25" t="s">
        <v>98</v>
      </c>
    </row>
    <row r="3417">
      <c r="A3417" s="171" t="s">
        <v>18</v>
      </c>
      <c r="B3417" s="171" t="s">
        <v>18</v>
      </c>
      <c r="C3417" s="171" t="s">
        <v>74</v>
      </c>
      <c r="D3417" s="279" t="s">
        <v>1204</v>
      </c>
      <c r="E3417" s="240">
        <v>43687.0</v>
      </c>
      <c r="F3417" s="21" t="str">
        <f t="shared" si="259"/>
        <v>Aug-2019</v>
      </c>
      <c r="G3417" s="32" t="s">
        <v>25</v>
      </c>
      <c r="H3417" s="25" t="s">
        <v>35</v>
      </c>
      <c r="I3417" s="25" t="s">
        <v>1205</v>
      </c>
      <c r="J3417" s="25" t="s">
        <v>97</v>
      </c>
      <c r="K3417" s="25" t="s">
        <v>9</v>
      </c>
      <c r="L3417" s="25" t="s">
        <v>30</v>
      </c>
      <c r="M3417" s="25"/>
      <c r="N3417" s="25" t="s">
        <v>99</v>
      </c>
    </row>
    <row r="3418">
      <c r="A3418" s="171" t="s">
        <v>638</v>
      </c>
      <c r="B3418" s="171" t="s">
        <v>18</v>
      </c>
      <c r="C3418" s="171" t="s">
        <v>74</v>
      </c>
      <c r="D3418" s="279" t="s">
        <v>1204</v>
      </c>
      <c r="E3418" s="240">
        <v>43687.0</v>
      </c>
      <c r="F3418" s="21" t="str">
        <f t="shared" si="259"/>
        <v>Aug-2019</v>
      </c>
      <c r="G3418" s="32" t="s">
        <v>20</v>
      </c>
      <c r="H3418" s="25" t="s">
        <v>35</v>
      </c>
      <c r="I3418" s="25" t="s">
        <v>871</v>
      </c>
      <c r="J3418" s="25" t="s">
        <v>138</v>
      </c>
      <c r="K3418" s="25" t="s">
        <v>9</v>
      </c>
      <c r="L3418" s="25" t="s">
        <v>24</v>
      </c>
      <c r="M3418" s="25" t="s">
        <v>24</v>
      </c>
      <c r="N3418" s="25" t="s">
        <v>98</v>
      </c>
    </row>
    <row r="3419">
      <c r="A3419" s="240">
        <v>43687.0</v>
      </c>
      <c r="B3419" s="171" t="s">
        <v>18</v>
      </c>
      <c r="C3419" s="171" t="s">
        <v>74</v>
      </c>
      <c r="D3419" s="279" t="s">
        <v>1204</v>
      </c>
      <c r="E3419" s="240">
        <v>43687.0</v>
      </c>
      <c r="F3419" s="21" t="str">
        <f t="shared" si="259"/>
        <v>Aug-2019</v>
      </c>
      <c r="G3419" s="32" t="s">
        <v>25</v>
      </c>
      <c r="H3419" s="25" t="s">
        <v>35</v>
      </c>
      <c r="I3419" s="25" t="s">
        <v>871</v>
      </c>
      <c r="J3419" s="25" t="s">
        <v>138</v>
      </c>
      <c r="K3419" s="25" t="s">
        <v>9</v>
      </c>
      <c r="L3419" s="25" t="s">
        <v>30</v>
      </c>
      <c r="M3419" s="25"/>
      <c r="N3419" s="25" t="s">
        <v>106</v>
      </c>
    </row>
    <row r="3420">
      <c r="A3420" s="301" t="s">
        <v>1206</v>
      </c>
      <c r="B3420" s="171" t="s">
        <v>18</v>
      </c>
      <c r="C3420" s="171" t="s">
        <v>74</v>
      </c>
      <c r="D3420" s="279" t="s">
        <v>1204</v>
      </c>
      <c r="E3420" s="240">
        <v>43687.0</v>
      </c>
      <c r="F3420" s="21" t="str">
        <f t="shared" si="259"/>
        <v>Aug-2019</v>
      </c>
      <c r="G3420" s="32" t="s">
        <v>32</v>
      </c>
      <c r="H3420" s="25" t="s">
        <v>35</v>
      </c>
      <c r="I3420" s="25" t="s">
        <v>871</v>
      </c>
      <c r="J3420" s="25" t="s">
        <v>138</v>
      </c>
      <c r="K3420" s="25" t="s">
        <v>9</v>
      </c>
      <c r="L3420" s="25" t="s">
        <v>24</v>
      </c>
      <c r="M3420" s="25"/>
      <c r="N3420" s="25" t="s">
        <v>37</v>
      </c>
    </row>
    <row r="3421">
      <c r="A3421" s="171" t="s">
        <v>74</v>
      </c>
      <c r="B3421" s="171" t="s">
        <v>18</v>
      </c>
      <c r="C3421" s="171" t="s">
        <v>74</v>
      </c>
      <c r="D3421" s="279" t="s">
        <v>1204</v>
      </c>
      <c r="E3421" s="240">
        <v>43687.0</v>
      </c>
      <c r="F3421" s="21" t="str">
        <f t="shared" si="259"/>
        <v>Aug-2019</v>
      </c>
      <c r="G3421" s="32" t="s">
        <v>20</v>
      </c>
      <c r="H3421" s="25" t="s">
        <v>35</v>
      </c>
      <c r="I3421" s="25" t="s">
        <v>726</v>
      </c>
      <c r="J3421" s="25" t="s">
        <v>216</v>
      </c>
      <c r="K3421" s="25" t="s">
        <v>9</v>
      </c>
      <c r="L3421" s="25" t="s">
        <v>24</v>
      </c>
      <c r="M3421" s="25" t="s">
        <v>24</v>
      </c>
      <c r="N3421" s="25" t="s">
        <v>37</v>
      </c>
    </row>
    <row r="3422">
      <c r="A3422" s="172"/>
      <c r="B3422" s="171" t="s">
        <v>18</v>
      </c>
      <c r="C3422" s="171" t="s">
        <v>74</v>
      </c>
      <c r="D3422" s="279" t="s">
        <v>1204</v>
      </c>
      <c r="E3422" s="240">
        <v>43687.0</v>
      </c>
      <c r="F3422" s="21" t="str">
        <f t="shared" si="259"/>
        <v>Aug-2019</v>
      </c>
      <c r="G3422" s="32" t="s">
        <v>25</v>
      </c>
      <c r="H3422" s="25" t="s">
        <v>35</v>
      </c>
      <c r="I3422" s="25" t="s">
        <v>726</v>
      </c>
      <c r="J3422" s="25" t="s">
        <v>216</v>
      </c>
      <c r="K3422" s="25" t="s">
        <v>9</v>
      </c>
      <c r="L3422" s="25" t="s">
        <v>24</v>
      </c>
      <c r="M3422" s="25"/>
      <c r="N3422" s="25" t="s">
        <v>106</v>
      </c>
    </row>
    <row r="3423">
      <c r="A3423" s="94"/>
      <c r="G3423" s="32"/>
    </row>
    <row r="3424">
      <c r="A3424" s="279" t="s">
        <v>1207</v>
      </c>
      <c r="B3424" s="171" t="s">
        <v>18</v>
      </c>
      <c r="C3424" s="171" t="s">
        <v>74</v>
      </c>
      <c r="D3424" s="279" t="s">
        <v>1207</v>
      </c>
      <c r="E3424" s="240">
        <v>43693.0</v>
      </c>
      <c r="F3424" s="21" t="str">
        <f t="shared" ref="F3424:F3438" si="260">TEXT(E3416:E3424, "mmm") &amp; "-" &amp; TEXT(E3416:E3424, "yyyy") </f>
        <v>Aug-2019</v>
      </c>
      <c r="G3424" s="32" t="s">
        <v>20</v>
      </c>
      <c r="H3424" s="25" t="s">
        <v>35</v>
      </c>
      <c r="I3424" s="25" t="s">
        <v>1208</v>
      </c>
      <c r="J3424" s="25" t="s">
        <v>9</v>
      </c>
      <c r="K3424" s="25" t="s">
        <v>9</v>
      </c>
      <c r="L3424" s="25" t="s">
        <v>30</v>
      </c>
      <c r="M3424" s="25" t="s">
        <v>30</v>
      </c>
      <c r="N3424" s="25" t="s">
        <v>98</v>
      </c>
    </row>
    <row r="3425">
      <c r="A3425" s="171" t="s">
        <v>18</v>
      </c>
      <c r="B3425" s="171" t="s">
        <v>18</v>
      </c>
      <c r="C3425" s="171" t="s">
        <v>74</v>
      </c>
      <c r="D3425" s="279" t="s">
        <v>1207</v>
      </c>
      <c r="E3425" s="240">
        <v>43693.0</v>
      </c>
      <c r="F3425" s="21" t="str">
        <f t="shared" si="260"/>
        <v>Aug-2019</v>
      </c>
      <c r="G3425" s="32" t="s">
        <v>25</v>
      </c>
      <c r="H3425" s="25" t="s">
        <v>35</v>
      </c>
      <c r="I3425" s="25" t="s">
        <v>1208</v>
      </c>
      <c r="J3425" s="25" t="s">
        <v>9</v>
      </c>
      <c r="K3425" s="25" t="s">
        <v>9</v>
      </c>
      <c r="L3425" s="25" t="s">
        <v>30</v>
      </c>
      <c r="M3425" s="25"/>
      <c r="N3425" s="25" t="s">
        <v>69</v>
      </c>
    </row>
    <row r="3426">
      <c r="A3426" s="171" t="s">
        <v>638</v>
      </c>
      <c r="B3426" s="171" t="s">
        <v>18</v>
      </c>
      <c r="C3426" s="171" t="s">
        <v>74</v>
      </c>
      <c r="D3426" s="279" t="s">
        <v>1207</v>
      </c>
      <c r="E3426" s="240">
        <v>43693.0</v>
      </c>
      <c r="F3426" s="21" t="str">
        <f t="shared" si="260"/>
        <v>Aug-2019</v>
      </c>
      <c r="G3426" s="32" t="s">
        <v>20</v>
      </c>
      <c r="H3426" s="25" t="s">
        <v>35</v>
      </c>
      <c r="I3426" s="25" t="s">
        <v>394</v>
      </c>
      <c r="J3426" s="25" t="s">
        <v>27</v>
      </c>
      <c r="K3426" s="25" t="s">
        <v>9</v>
      </c>
      <c r="L3426" s="25" t="s">
        <v>24</v>
      </c>
      <c r="M3426" s="25" t="s">
        <v>24</v>
      </c>
      <c r="N3426" s="25" t="s">
        <v>37</v>
      </c>
    </row>
    <row r="3427">
      <c r="A3427" s="240">
        <v>43693.0</v>
      </c>
      <c r="B3427" s="171" t="s">
        <v>18</v>
      </c>
      <c r="C3427" s="171" t="s">
        <v>74</v>
      </c>
      <c r="D3427" s="279" t="s">
        <v>1207</v>
      </c>
      <c r="E3427" s="240">
        <v>43693.0</v>
      </c>
      <c r="F3427" s="21" t="str">
        <f t="shared" si="260"/>
        <v>Aug-2019</v>
      </c>
      <c r="G3427" s="32" t="s">
        <v>25</v>
      </c>
      <c r="H3427" s="25" t="s">
        <v>35</v>
      </c>
      <c r="I3427" s="25" t="s">
        <v>394</v>
      </c>
      <c r="J3427" s="25" t="s">
        <v>27</v>
      </c>
      <c r="K3427" s="25" t="s">
        <v>9</v>
      </c>
      <c r="L3427" s="25" t="s">
        <v>30</v>
      </c>
      <c r="M3427" s="25"/>
      <c r="N3427" s="25" t="s">
        <v>106</v>
      </c>
    </row>
    <row r="3428">
      <c r="A3428" s="301" t="s">
        <v>1209</v>
      </c>
      <c r="B3428" s="171" t="s">
        <v>18</v>
      </c>
      <c r="C3428" s="171" t="s">
        <v>74</v>
      </c>
      <c r="D3428" s="279" t="s">
        <v>1207</v>
      </c>
      <c r="E3428" s="240">
        <v>43693.0</v>
      </c>
      <c r="F3428" s="21" t="str">
        <f t="shared" si="260"/>
        <v>Aug-2019</v>
      </c>
      <c r="G3428" s="32" t="s">
        <v>32</v>
      </c>
      <c r="H3428" s="25" t="s">
        <v>35</v>
      </c>
      <c r="I3428" s="25" t="s">
        <v>394</v>
      </c>
      <c r="J3428" s="25" t="s">
        <v>27</v>
      </c>
      <c r="K3428" s="25" t="s">
        <v>9</v>
      </c>
      <c r="L3428" s="25" t="s">
        <v>24</v>
      </c>
      <c r="M3428" s="25"/>
      <c r="N3428" s="25" t="s">
        <v>69</v>
      </c>
    </row>
    <row r="3429">
      <c r="A3429" s="171" t="s">
        <v>74</v>
      </c>
      <c r="B3429" s="171" t="s">
        <v>18</v>
      </c>
      <c r="C3429" s="171" t="s">
        <v>74</v>
      </c>
      <c r="D3429" s="279" t="s">
        <v>1207</v>
      </c>
      <c r="E3429" s="240">
        <v>43693.0</v>
      </c>
      <c r="F3429" s="21" t="str">
        <f t="shared" si="260"/>
        <v>Aug-2019</v>
      </c>
      <c r="G3429" s="32" t="s">
        <v>20</v>
      </c>
      <c r="H3429" s="25" t="s">
        <v>35</v>
      </c>
      <c r="I3429" s="25" t="s">
        <v>122</v>
      </c>
      <c r="J3429" s="25" t="s">
        <v>44</v>
      </c>
      <c r="K3429" s="25" t="s">
        <v>9</v>
      </c>
      <c r="L3429" s="25" t="s">
        <v>24</v>
      </c>
      <c r="M3429" s="25" t="s">
        <v>24</v>
      </c>
      <c r="N3429" s="25" t="s">
        <v>99</v>
      </c>
    </row>
    <row r="3430">
      <c r="A3430" s="301" t="s">
        <v>1210</v>
      </c>
      <c r="B3430" s="171" t="s">
        <v>18</v>
      </c>
      <c r="C3430" s="171" t="s">
        <v>74</v>
      </c>
      <c r="D3430" s="279" t="s">
        <v>1207</v>
      </c>
      <c r="E3430" s="240">
        <v>43693.0</v>
      </c>
      <c r="F3430" s="21" t="str">
        <f t="shared" si="260"/>
        <v>Aug-2019</v>
      </c>
      <c r="G3430" s="32" t="s">
        <v>25</v>
      </c>
      <c r="H3430" s="25" t="s">
        <v>35</v>
      </c>
      <c r="I3430" s="25" t="s">
        <v>122</v>
      </c>
      <c r="J3430" s="25" t="s">
        <v>44</v>
      </c>
      <c r="K3430" s="25" t="s">
        <v>9</v>
      </c>
      <c r="L3430" s="25" t="s">
        <v>24</v>
      </c>
      <c r="M3430" s="25"/>
      <c r="N3430" s="25" t="s">
        <v>69</v>
      </c>
    </row>
    <row r="3431">
      <c r="A3431" s="172"/>
      <c r="B3431" s="171" t="s">
        <v>18</v>
      </c>
      <c r="C3431" s="171" t="s">
        <v>74</v>
      </c>
      <c r="D3431" s="279" t="s">
        <v>1207</v>
      </c>
      <c r="E3431" s="240">
        <v>43693.0</v>
      </c>
      <c r="F3431" s="21" t="str">
        <f t="shared" si="260"/>
        <v>Aug-2019</v>
      </c>
      <c r="G3431" s="32" t="s">
        <v>20</v>
      </c>
      <c r="H3431" s="25" t="s">
        <v>277</v>
      </c>
      <c r="I3431" s="25" t="s">
        <v>1211</v>
      </c>
      <c r="J3431" s="25" t="s">
        <v>139</v>
      </c>
      <c r="K3431" s="25" t="s">
        <v>64</v>
      </c>
      <c r="L3431" s="25" t="s">
        <v>719</v>
      </c>
      <c r="M3431" s="25" t="s">
        <v>719</v>
      </c>
      <c r="N3431" s="25" t="s">
        <v>98</v>
      </c>
    </row>
    <row r="3432">
      <c r="A3432" s="172"/>
      <c r="B3432" s="171" t="s">
        <v>18</v>
      </c>
      <c r="C3432" s="171" t="s">
        <v>74</v>
      </c>
      <c r="D3432" s="279" t="s">
        <v>1207</v>
      </c>
      <c r="E3432" s="240">
        <v>43693.0</v>
      </c>
      <c r="F3432" s="21" t="str">
        <f t="shared" si="260"/>
        <v>Aug-2019</v>
      </c>
      <c r="G3432" s="32" t="s">
        <v>25</v>
      </c>
      <c r="H3432" s="25" t="s">
        <v>277</v>
      </c>
      <c r="I3432" s="25" t="s">
        <v>1211</v>
      </c>
      <c r="J3432" s="25" t="s">
        <v>139</v>
      </c>
      <c r="K3432" s="25" t="s">
        <v>64</v>
      </c>
      <c r="L3432" s="25" t="s">
        <v>719</v>
      </c>
      <c r="M3432" s="25"/>
      <c r="N3432" s="25" t="s">
        <v>29</v>
      </c>
    </row>
    <row r="3433">
      <c r="A3433" s="172"/>
      <c r="B3433" s="171" t="s">
        <v>18</v>
      </c>
      <c r="C3433" s="171" t="s">
        <v>74</v>
      </c>
      <c r="D3433" s="279" t="s">
        <v>1207</v>
      </c>
      <c r="E3433" s="240">
        <v>43693.0</v>
      </c>
      <c r="F3433" s="21" t="str">
        <f t="shared" si="260"/>
        <v>Aug-2019</v>
      </c>
      <c r="G3433" s="32" t="s">
        <v>20</v>
      </c>
      <c r="H3433" s="25" t="s">
        <v>277</v>
      </c>
      <c r="I3433" s="25" t="s">
        <v>127</v>
      </c>
      <c r="J3433" s="25" t="s">
        <v>479</v>
      </c>
      <c r="K3433" s="25" t="s">
        <v>64</v>
      </c>
      <c r="L3433" s="25" t="s">
        <v>719</v>
      </c>
      <c r="M3433" s="25" t="s">
        <v>719</v>
      </c>
      <c r="N3433" s="25" t="s">
        <v>98</v>
      </c>
    </row>
    <row r="3434">
      <c r="A3434" s="172"/>
      <c r="B3434" s="171" t="s">
        <v>18</v>
      </c>
      <c r="C3434" s="171" t="s">
        <v>74</v>
      </c>
      <c r="D3434" s="279" t="s">
        <v>1207</v>
      </c>
      <c r="E3434" s="240">
        <v>43693.0</v>
      </c>
      <c r="F3434" s="21" t="str">
        <f t="shared" si="260"/>
        <v>Aug-2019</v>
      </c>
      <c r="G3434" s="32" t="s">
        <v>25</v>
      </c>
      <c r="H3434" s="25" t="s">
        <v>277</v>
      </c>
      <c r="I3434" s="25" t="s">
        <v>127</v>
      </c>
      <c r="J3434" s="25" t="s">
        <v>1212</v>
      </c>
      <c r="K3434" s="25" t="s">
        <v>64</v>
      </c>
      <c r="L3434" s="25" t="s">
        <v>719</v>
      </c>
      <c r="M3434" s="25"/>
      <c r="N3434" s="25" t="s">
        <v>106</v>
      </c>
    </row>
    <row r="3435">
      <c r="A3435" s="172"/>
      <c r="B3435" s="171" t="s">
        <v>18</v>
      </c>
      <c r="C3435" s="171" t="s">
        <v>74</v>
      </c>
      <c r="D3435" s="279" t="s">
        <v>1207</v>
      </c>
      <c r="E3435" s="240">
        <v>43693.0</v>
      </c>
      <c r="F3435" s="21" t="str">
        <f t="shared" si="260"/>
        <v>Aug-2019</v>
      </c>
      <c r="G3435" s="32" t="s">
        <v>20</v>
      </c>
      <c r="H3435" s="25" t="s">
        <v>277</v>
      </c>
      <c r="I3435" s="25" t="s">
        <v>871</v>
      </c>
      <c r="J3435" s="25" t="s">
        <v>27</v>
      </c>
      <c r="K3435" s="25" t="s">
        <v>64</v>
      </c>
      <c r="L3435" s="25" t="s">
        <v>717</v>
      </c>
      <c r="M3435" s="25" t="s">
        <v>717</v>
      </c>
      <c r="N3435" s="25" t="s">
        <v>98</v>
      </c>
    </row>
    <row r="3436">
      <c r="A3436" s="172"/>
      <c r="B3436" s="171" t="s">
        <v>18</v>
      </c>
      <c r="C3436" s="171" t="s">
        <v>74</v>
      </c>
      <c r="D3436" s="279" t="s">
        <v>1207</v>
      </c>
      <c r="E3436" s="240">
        <v>43693.0</v>
      </c>
      <c r="F3436" s="21" t="str">
        <f t="shared" si="260"/>
        <v>Aug-2019</v>
      </c>
      <c r="G3436" s="32" t="s">
        <v>25</v>
      </c>
      <c r="H3436" s="25" t="s">
        <v>277</v>
      </c>
      <c r="I3436" s="25" t="s">
        <v>871</v>
      </c>
      <c r="J3436" s="25" t="s">
        <v>27</v>
      </c>
      <c r="K3436" s="25" t="s">
        <v>64</v>
      </c>
      <c r="L3436" s="25" t="s">
        <v>717</v>
      </c>
      <c r="M3436" s="25"/>
      <c r="N3436" s="25" t="s">
        <v>37</v>
      </c>
    </row>
    <row r="3437">
      <c r="A3437" s="172"/>
      <c r="B3437" s="171" t="s">
        <v>18</v>
      </c>
      <c r="C3437" s="171" t="s">
        <v>74</v>
      </c>
      <c r="D3437" s="279" t="s">
        <v>1207</v>
      </c>
      <c r="E3437" s="240">
        <v>43693.0</v>
      </c>
      <c r="F3437" s="21" t="str">
        <f t="shared" si="260"/>
        <v>Aug-2019</v>
      </c>
      <c r="G3437" s="32" t="s">
        <v>20</v>
      </c>
      <c r="H3437" s="25" t="s">
        <v>277</v>
      </c>
      <c r="I3437" s="25" t="s">
        <v>1213</v>
      </c>
      <c r="J3437" s="25" t="s">
        <v>27</v>
      </c>
      <c r="K3437" s="25" t="s">
        <v>64</v>
      </c>
      <c r="L3437" s="25" t="s">
        <v>717</v>
      </c>
      <c r="M3437" s="25" t="s">
        <v>717</v>
      </c>
      <c r="N3437" s="25" t="s">
        <v>37</v>
      </c>
    </row>
    <row r="3438">
      <c r="A3438" s="172"/>
      <c r="B3438" s="171" t="s">
        <v>18</v>
      </c>
      <c r="C3438" s="171" t="s">
        <v>74</v>
      </c>
      <c r="D3438" s="279" t="s">
        <v>1207</v>
      </c>
      <c r="E3438" s="240">
        <v>43693.0</v>
      </c>
      <c r="F3438" s="21" t="str">
        <f t="shared" si="260"/>
        <v>Aug-2019</v>
      </c>
      <c r="G3438" s="32" t="s">
        <v>25</v>
      </c>
      <c r="H3438" s="25" t="s">
        <v>277</v>
      </c>
      <c r="I3438" s="25" t="s">
        <v>1213</v>
      </c>
      <c r="J3438" s="25" t="s">
        <v>9</v>
      </c>
      <c r="K3438" s="25" t="s">
        <v>64</v>
      </c>
      <c r="L3438" s="25" t="s">
        <v>717</v>
      </c>
      <c r="M3438" s="25"/>
      <c r="N3438" s="25" t="s">
        <v>98</v>
      </c>
    </row>
    <row r="3439">
      <c r="A3439" s="94"/>
      <c r="G3439" s="32"/>
    </row>
    <row r="3440">
      <c r="A3440" s="279" t="s">
        <v>1214</v>
      </c>
      <c r="B3440" s="171" t="s">
        <v>18</v>
      </c>
      <c r="C3440" s="171" t="s">
        <v>74</v>
      </c>
      <c r="D3440" s="279" t="s">
        <v>1214</v>
      </c>
      <c r="E3440" s="240">
        <v>43701.0</v>
      </c>
      <c r="F3440" s="21" t="str">
        <f t="shared" ref="F3440:F3452" si="261">TEXT(E3432:E3440, "mmm") &amp; "-" &amp; TEXT(E3432:E3440, "yyyy") </f>
        <v>Aug-2019</v>
      </c>
      <c r="G3440" s="32" t="s">
        <v>20</v>
      </c>
      <c r="H3440" s="25" t="s">
        <v>35</v>
      </c>
      <c r="I3440" s="25" t="s">
        <v>1215</v>
      </c>
      <c r="J3440" s="25" t="s">
        <v>23</v>
      </c>
      <c r="K3440" s="25" t="s">
        <v>9</v>
      </c>
      <c r="L3440" s="25" t="s">
        <v>30</v>
      </c>
      <c r="M3440" s="25" t="s">
        <v>30</v>
      </c>
      <c r="N3440" s="25" t="s">
        <v>69</v>
      </c>
    </row>
    <row r="3441">
      <c r="A3441" s="171" t="s">
        <v>18</v>
      </c>
      <c r="B3441" s="171" t="s">
        <v>18</v>
      </c>
      <c r="C3441" s="171" t="s">
        <v>74</v>
      </c>
      <c r="D3441" s="279" t="s">
        <v>1214</v>
      </c>
      <c r="E3441" s="240">
        <v>43701.0</v>
      </c>
      <c r="F3441" s="21" t="str">
        <f t="shared" si="261"/>
        <v>Aug-2019</v>
      </c>
      <c r="G3441" s="32" t="s">
        <v>25</v>
      </c>
      <c r="H3441" s="25" t="s">
        <v>35</v>
      </c>
      <c r="I3441" s="25" t="s">
        <v>1215</v>
      </c>
      <c r="J3441" s="25" t="s">
        <v>23</v>
      </c>
      <c r="K3441" s="25" t="s">
        <v>9</v>
      </c>
      <c r="L3441" s="25" t="s">
        <v>30</v>
      </c>
      <c r="M3441" s="25"/>
      <c r="N3441" s="25" t="s">
        <v>106</v>
      </c>
    </row>
    <row r="3442">
      <c r="A3442" s="171" t="s">
        <v>638</v>
      </c>
      <c r="B3442" s="171" t="s">
        <v>18</v>
      </c>
      <c r="C3442" s="171" t="s">
        <v>74</v>
      </c>
      <c r="D3442" s="279" t="s">
        <v>1214</v>
      </c>
      <c r="E3442" s="240">
        <v>43701.0</v>
      </c>
      <c r="F3442" s="21" t="str">
        <f t="shared" si="261"/>
        <v>Aug-2019</v>
      </c>
      <c r="G3442" s="32" t="s">
        <v>20</v>
      </c>
      <c r="H3442" s="25" t="s">
        <v>35</v>
      </c>
      <c r="I3442" s="25" t="s">
        <v>1216</v>
      </c>
      <c r="J3442" s="25" t="s">
        <v>9</v>
      </c>
      <c r="K3442" s="25" t="s">
        <v>9</v>
      </c>
      <c r="L3442" s="25" t="s">
        <v>30</v>
      </c>
      <c r="M3442" s="25" t="s">
        <v>30</v>
      </c>
      <c r="N3442" s="25" t="s">
        <v>98</v>
      </c>
    </row>
    <row r="3443">
      <c r="A3443" s="240">
        <v>43701.0</v>
      </c>
      <c r="B3443" s="171" t="s">
        <v>18</v>
      </c>
      <c r="C3443" s="171" t="s">
        <v>74</v>
      </c>
      <c r="D3443" s="279" t="s">
        <v>1214</v>
      </c>
      <c r="E3443" s="240">
        <v>43701.0</v>
      </c>
      <c r="F3443" s="21" t="str">
        <f t="shared" si="261"/>
        <v>Aug-2019</v>
      </c>
      <c r="G3443" s="32" t="s">
        <v>25</v>
      </c>
      <c r="H3443" s="25" t="s">
        <v>35</v>
      </c>
      <c r="I3443" s="25" t="s">
        <v>1216</v>
      </c>
      <c r="J3443" s="25" t="s">
        <v>9</v>
      </c>
      <c r="K3443" s="25" t="s">
        <v>9</v>
      </c>
      <c r="L3443" s="25" t="s">
        <v>30</v>
      </c>
      <c r="M3443" s="25"/>
      <c r="N3443" s="25" t="s">
        <v>106</v>
      </c>
    </row>
    <row r="3444">
      <c r="A3444" s="301" t="s">
        <v>1217</v>
      </c>
      <c r="B3444" s="171" t="s">
        <v>18</v>
      </c>
      <c r="C3444" s="171" t="s">
        <v>74</v>
      </c>
      <c r="D3444" s="279" t="s">
        <v>1214</v>
      </c>
      <c r="E3444" s="240">
        <v>43701.0</v>
      </c>
      <c r="F3444" s="21" t="str">
        <f t="shared" si="261"/>
        <v>Aug-2019</v>
      </c>
      <c r="G3444" s="32" t="s">
        <v>20</v>
      </c>
      <c r="H3444" s="25" t="s">
        <v>35</v>
      </c>
      <c r="I3444" s="25" t="s">
        <v>1218</v>
      </c>
      <c r="J3444" s="25" t="s">
        <v>97</v>
      </c>
      <c r="K3444" s="25" t="s">
        <v>9</v>
      </c>
      <c r="L3444" s="25" t="s">
        <v>24</v>
      </c>
      <c r="M3444" s="25" t="s">
        <v>24</v>
      </c>
      <c r="N3444" s="25" t="s">
        <v>98</v>
      </c>
    </row>
    <row r="3445">
      <c r="A3445" s="171" t="s">
        <v>74</v>
      </c>
      <c r="B3445" s="171" t="s">
        <v>18</v>
      </c>
      <c r="C3445" s="171" t="s">
        <v>74</v>
      </c>
      <c r="D3445" s="279" t="s">
        <v>1214</v>
      </c>
      <c r="E3445" s="240">
        <v>43701.0</v>
      </c>
      <c r="F3445" s="21" t="str">
        <f t="shared" si="261"/>
        <v>Aug-2019</v>
      </c>
      <c r="G3445" s="32" t="s">
        <v>25</v>
      </c>
      <c r="H3445" s="25" t="s">
        <v>35</v>
      </c>
      <c r="I3445" s="25" t="s">
        <v>1218</v>
      </c>
      <c r="J3445" s="25" t="s">
        <v>97</v>
      </c>
      <c r="K3445" s="25" t="s">
        <v>9</v>
      </c>
      <c r="L3445" s="25" t="s">
        <v>24</v>
      </c>
      <c r="M3445" s="25"/>
      <c r="N3445" s="25" t="s">
        <v>106</v>
      </c>
    </row>
    <row r="3446">
      <c r="A3446" s="172"/>
      <c r="B3446" s="171" t="s">
        <v>18</v>
      </c>
      <c r="C3446" s="171" t="s">
        <v>74</v>
      </c>
      <c r="D3446" s="279" t="s">
        <v>1214</v>
      </c>
      <c r="E3446" s="240">
        <v>43701.0</v>
      </c>
      <c r="F3446" s="21" t="str">
        <f t="shared" si="261"/>
        <v>Aug-2019</v>
      </c>
      <c r="G3446" s="32" t="s">
        <v>20</v>
      </c>
      <c r="H3446" s="25" t="s">
        <v>35</v>
      </c>
      <c r="I3446" s="25">
        <v>248.0</v>
      </c>
      <c r="J3446" s="25" t="s">
        <v>27</v>
      </c>
      <c r="K3446" s="25" t="s">
        <v>9</v>
      </c>
      <c r="L3446" s="25" t="s">
        <v>24</v>
      </c>
      <c r="M3446" s="25" t="s">
        <v>30</v>
      </c>
      <c r="N3446" s="25" t="s">
        <v>37</v>
      </c>
    </row>
    <row r="3447">
      <c r="A3447" s="172"/>
      <c r="B3447" s="171" t="s">
        <v>18</v>
      </c>
      <c r="C3447" s="171" t="s">
        <v>74</v>
      </c>
      <c r="D3447" s="279" t="s">
        <v>1214</v>
      </c>
      <c r="E3447" s="240">
        <v>43701.0</v>
      </c>
      <c r="F3447" s="21" t="str">
        <f t="shared" si="261"/>
        <v>Aug-2019</v>
      </c>
      <c r="G3447" s="32" t="s">
        <v>25</v>
      </c>
      <c r="H3447" s="25" t="s">
        <v>35</v>
      </c>
      <c r="I3447" s="25">
        <v>248.0</v>
      </c>
      <c r="J3447" s="25" t="s">
        <v>27</v>
      </c>
      <c r="K3447" s="25" t="s">
        <v>9</v>
      </c>
      <c r="L3447" s="25" t="s">
        <v>30</v>
      </c>
      <c r="M3447" s="25"/>
      <c r="N3447" s="25" t="s">
        <v>106</v>
      </c>
    </row>
    <row r="3448">
      <c r="A3448" s="172"/>
      <c r="B3448" s="171" t="s">
        <v>18</v>
      </c>
      <c r="C3448" s="171" t="s">
        <v>74</v>
      </c>
      <c r="D3448" s="279" t="s">
        <v>1214</v>
      </c>
      <c r="E3448" s="240">
        <v>43701.0</v>
      </c>
      <c r="F3448" s="21" t="str">
        <f t="shared" si="261"/>
        <v>Aug-2019</v>
      </c>
      <c r="G3448" s="32" t="s">
        <v>32</v>
      </c>
      <c r="H3448" s="25" t="s">
        <v>35</v>
      </c>
      <c r="I3448" s="25">
        <v>248.0</v>
      </c>
      <c r="J3448" s="25" t="s">
        <v>27</v>
      </c>
      <c r="K3448" s="25" t="s">
        <v>9</v>
      </c>
      <c r="L3448" s="25" t="s">
        <v>30</v>
      </c>
      <c r="M3448" s="25"/>
      <c r="N3448" s="25" t="s">
        <v>69</v>
      </c>
    </row>
    <row r="3449">
      <c r="A3449" s="172"/>
      <c r="B3449" s="171" t="s">
        <v>18</v>
      </c>
      <c r="C3449" s="171" t="s">
        <v>74</v>
      </c>
      <c r="D3449" s="279" t="s">
        <v>1214</v>
      </c>
      <c r="E3449" s="240">
        <v>43701.0</v>
      </c>
      <c r="F3449" s="21" t="str">
        <f t="shared" si="261"/>
        <v>Aug-2019</v>
      </c>
      <c r="G3449" t="s">
        <v>146</v>
      </c>
      <c r="H3449" s="25" t="s">
        <v>35</v>
      </c>
      <c r="I3449" s="25" t="s">
        <v>1219</v>
      </c>
      <c r="J3449" s="25" t="s">
        <v>23</v>
      </c>
      <c r="K3449" s="25" t="s">
        <v>9</v>
      </c>
      <c r="L3449" s="25" t="s">
        <v>30</v>
      </c>
      <c r="M3449" s="25" t="s">
        <v>24</v>
      </c>
      <c r="N3449" s="25" t="s">
        <v>37</v>
      </c>
    </row>
    <row r="3450">
      <c r="A3450" s="172"/>
      <c r="B3450" s="171" t="s">
        <v>18</v>
      </c>
      <c r="C3450" s="171" t="s">
        <v>74</v>
      </c>
      <c r="D3450" s="279" t="s">
        <v>1214</v>
      </c>
      <c r="E3450" s="240">
        <v>43701.0</v>
      </c>
      <c r="F3450" s="21" t="str">
        <f t="shared" si="261"/>
        <v>Aug-2019</v>
      </c>
      <c r="G3450" t="s">
        <v>149</v>
      </c>
      <c r="H3450" s="25" t="s">
        <v>35</v>
      </c>
      <c r="I3450" s="25" t="s">
        <v>1219</v>
      </c>
      <c r="J3450" s="25" t="s">
        <v>23</v>
      </c>
      <c r="K3450" s="25" t="s">
        <v>9</v>
      </c>
      <c r="L3450" s="25" t="s">
        <v>24</v>
      </c>
      <c r="M3450" s="25"/>
      <c r="N3450" s="25" t="s">
        <v>98</v>
      </c>
    </row>
    <row r="3451">
      <c r="A3451" s="172"/>
      <c r="B3451" s="171" t="s">
        <v>18</v>
      </c>
      <c r="C3451" s="171" t="s">
        <v>74</v>
      </c>
      <c r="D3451" s="279" t="s">
        <v>1214</v>
      </c>
      <c r="E3451" s="240">
        <v>43701.0</v>
      </c>
      <c r="F3451" s="21" t="str">
        <f t="shared" si="261"/>
        <v>Aug-2019</v>
      </c>
      <c r="G3451" t="s">
        <v>222</v>
      </c>
      <c r="H3451" s="25" t="s">
        <v>35</v>
      </c>
      <c r="I3451" s="25" t="s">
        <v>1219</v>
      </c>
      <c r="J3451" s="25" t="s">
        <v>23</v>
      </c>
      <c r="K3451" s="25" t="s">
        <v>9</v>
      </c>
      <c r="L3451" s="25" t="s">
        <v>24</v>
      </c>
      <c r="M3451" s="25"/>
      <c r="N3451" s="25" t="s">
        <v>106</v>
      </c>
    </row>
    <row r="3452">
      <c r="A3452" s="172"/>
      <c r="B3452" s="171" t="s">
        <v>18</v>
      </c>
      <c r="C3452" s="171" t="s">
        <v>74</v>
      </c>
      <c r="D3452" s="279" t="s">
        <v>1214</v>
      </c>
      <c r="E3452" s="240">
        <v>43701.0</v>
      </c>
      <c r="F3452" s="21" t="str">
        <f t="shared" si="261"/>
        <v>Aug-2019</v>
      </c>
      <c r="G3452" t="s">
        <v>467</v>
      </c>
      <c r="H3452" s="25" t="s">
        <v>35</v>
      </c>
      <c r="I3452" s="25" t="s">
        <v>1219</v>
      </c>
      <c r="J3452" s="25" t="s">
        <v>23</v>
      </c>
      <c r="K3452" s="25" t="s">
        <v>9</v>
      </c>
      <c r="L3452" s="25" t="s">
        <v>24</v>
      </c>
      <c r="M3452" s="25"/>
      <c r="N3452" s="25" t="s">
        <v>29</v>
      </c>
    </row>
    <row r="3453">
      <c r="A3453" s="94"/>
    </row>
    <row r="3454">
      <c r="A3454" s="279" t="s">
        <v>1220</v>
      </c>
      <c r="B3454" s="171" t="s">
        <v>527</v>
      </c>
      <c r="C3454" s="171" t="s">
        <v>19</v>
      </c>
      <c r="D3454" s="279" t="s">
        <v>1220</v>
      </c>
      <c r="E3454" s="240">
        <v>43722.0</v>
      </c>
      <c r="F3454" s="21" t="str">
        <f t="shared" ref="F3454:F3485" si="262">TEXT(E3446:E3454, "mmm") &amp; "-" &amp; TEXT(E3446:E3454, "yyyy") </f>
        <v>Sep-2019</v>
      </c>
      <c r="G3454" s="32" t="s">
        <v>20</v>
      </c>
      <c r="H3454" s="25" t="s">
        <v>21</v>
      </c>
      <c r="I3454" s="25" t="s">
        <v>574</v>
      </c>
      <c r="J3454" s="25" t="s">
        <v>44</v>
      </c>
      <c r="K3454" s="25" t="s">
        <v>9</v>
      </c>
      <c r="L3454" s="25" t="s">
        <v>24</v>
      </c>
      <c r="M3454" s="25" t="s">
        <v>30</v>
      </c>
      <c r="N3454" s="25" t="s">
        <v>69</v>
      </c>
    </row>
    <row r="3455">
      <c r="A3455" s="171" t="s">
        <v>527</v>
      </c>
      <c r="B3455" s="171" t="s">
        <v>527</v>
      </c>
      <c r="C3455" s="171" t="s">
        <v>19</v>
      </c>
      <c r="D3455" s="279" t="s">
        <v>1220</v>
      </c>
      <c r="E3455" s="240">
        <v>43722.0</v>
      </c>
      <c r="F3455" s="21" t="str">
        <f t="shared" si="262"/>
        <v>Sep-2019</v>
      </c>
      <c r="G3455" s="32" t="s">
        <v>25</v>
      </c>
      <c r="H3455" s="25" t="s">
        <v>21</v>
      </c>
      <c r="I3455" s="25" t="s">
        <v>574</v>
      </c>
      <c r="J3455" s="25" t="s">
        <v>44</v>
      </c>
      <c r="K3455" s="25" t="s">
        <v>9</v>
      </c>
      <c r="L3455" s="25" t="s">
        <v>30</v>
      </c>
      <c r="M3455" s="25"/>
      <c r="N3455" s="25" t="s">
        <v>106</v>
      </c>
    </row>
    <row r="3456">
      <c r="A3456" s="171" t="s">
        <v>529</v>
      </c>
      <c r="B3456" s="171" t="s">
        <v>527</v>
      </c>
      <c r="C3456" s="171" t="s">
        <v>19</v>
      </c>
      <c r="D3456" s="279" t="s">
        <v>1220</v>
      </c>
      <c r="E3456" s="240">
        <v>43722.0</v>
      </c>
      <c r="F3456" s="21" t="str">
        <f t="shared" si="262"/>
        <v>Sep-2019</v>
      </c>
      <c r="G3456" s="32" t="s">
        <v>32</v>
      </c>
      <c r="H3456" s="25" t="s">
        <v>21</v>
      </c>
      <c r="I3456" s="25" t="s">
        <v>574</v>
      </c>
      <c r="J3456" s="25" t="s">
        <v>44</v>
      </c>
      <c r="K3456" s="25" t="s">
        <v>9</v>
      </c>
      <c r="L3456" s="25" t="s">
        <v>30</v>
      </c>
      <c r="M3456" s="25"/>
      <c r="N3456" s="25" t="s">
        <v>99</v>
      </c>
    </row>
    <row r="3457">
      <c r="A3457" s="240">
        <v>43722.0</v>
      </c>
      <c r="B3457" s="171" t="s">
        <v>527</v>
      </c>
      <c r="C3457" s="171" t="s">
        <v>19</v>
      </c>
      <c r="D3457" s="279" t="s">
        <v>1220</v>
      </c>
      <c r="E3457" s="240">
        <v>43722.0</v>
      </c>
      <c r="F3457" s="21" t="str">
        <f t="shared" si="262"/>
        <v>Sep-2019</v>
      </c>
      <c r="G3457" s="32" t="s">
        <v>20</v>
      </c>
      <c r="H3457" s="25" t="s">
        <v>21</v>
      </c>
      <c r="I3457" s="25" t="s">
        <v>1221</v>
      </c>
      <c r="J3457" s="25" t="s">
        <v>138</v>
      </c>
      <c r="K3457" s="25" t="s">
        <v>9</v>
      </c>
      <c r="L3457" s="25" t="s">
        <v>24</v>
      </c>
      <c r="M3457" s="25" t="s">
        <v>24</v>
      </c>
      <c r="N3457" s="25" t="s">
        <v>98</v>
      </c>
    </row>
    <row r="3458">
      <c r="A3458" s="301" t="s">
        <v>1222</v>
      </c>
      <c r="B3458" s="171" t="s">
        <v>527</v>
      </c>
      <c r="C3458" s="171" t="s">
        <v>19</v>
      </c>
      <c r="D3458" s="279" t="s">
        <v>1220</v>
      </c>
      <c r="E3458" s="240">
        <v>43722.0</v>
      </c>
      <c r="F3458" s="21" t="str">
        <f t="shared" si="262"/>
        <v>Sep-2019</v>
      </c>
      <c r="G3458" s="32" t="s">
        <v>25</v>
      </c>
      <c r="H3458" s="25" t="s">
        <v>21</v>
      </c>
      <c r="I3458" s="25" t="s">
        <v>1221</v>
      </c>
      <c r="J3458" s="25" t="s">
        <v>138</v>
      </c>
      <c r="K3458" s="25" t="s">
        <v>9</v>
      </c>
      <c r="L3458" s="25" t="s">
        <v>30</v>
      </c>
      <c r="M3458" s="25"/>
      <c r="N3458" s="25" t="s">
        <v>106</v>
      </c>
    </row>
    <row r="3459">
      <c r="A3459" s="171" t="s">
        <v>1223</v>
      </c>
      <c r="B3459" s="171" t="s">
        <v>527</v>
      </c>
      <c r="C3459" s="171" t="s">
        <v>19</v>
      </c>
      <c r="D3459" s="279" t="s">
        <v>1220</v>
      </c>
      <c r="E3459" s="240">
        <v>43722.0</v>
      </c>
      <c r="F3459" s="21" t="str">
        <f t="shared" si="262"/>
        <v>Sep-2019</v>
      </c>
      <c r="G3459" s="32" t="s">
        <v>32</v>
      </c>
      <c r="H3459" s="25" t="s">
        <v>21</v>
      </c>
      <c r="I3459" s="25" t="s">
        <v>1221</v>
      </c>
      <c r="J3459" s="25" t="s">
        <v>138</v>
      </c>
      <c r="K3459" s="25" t="s">
        <v>9</v>
      </c>
      <c r="L3459" s="25" t="s">
        <v>24</v>
      </c>
      <c r="M3459" s="25"/>
      <c r="N3459" s="25" t="s">
        <v>37</v>
      </c>
    </row>
    <row r="3460">
      <c r="A3460" s="301" t="s">
        <v>1224</v>
      </c>
      <c r="B3460" s="171" t="s">
        <v>527</v>
      </c>
      <c r="C3460" s="171" t="s">
        <v>19</v>
      </c>
      <c r="D3460" s="279" t="s">
        <v>1220</v>
      </c>
      <c r="E3460" s="240">
        <v>43722.0</v>
      </c>
      <c r="F3460" s="21" t="str">
        <f t="shared" si="262"/>
        <v>Sep-2019</v>
      </c>
      <c r="G3460" s="32" t="s">
        <v>20</v>
      </c>
      <c r="H3460" s="25" t="s">
        <v>21</v>
      </c>
      <c r="I3460" s="25" t="s">
        <v>1225</v>
      </c>
      <c r="J3460" s="25" t="s">
        <v>27</v>
      </c>
      <c r="K3460" s="25" t="s">
        <v>9</v>
      </c>
      <c r="L3460" s="25" t="s">
        <v>30</v>
      </c>
      <c r="M3460" s="25" t="s">
        <v>30</v>
      </c>
      <c r="N3460" s="25" t="s">
        <v>98</v>
      </c>
    </row>
    <row r="3461">
      <c r="A3461" s="172"/>
      <c r="B3461" s="171" t="s">
        <v>527</v>
      </c>
      <c r="C3461" s="171" t="s">
        <v>19</v>
      </c>
      <c r="D3461" s="279" t="s">
        <v>1220</v>
      </c>
      <c r="E3461" s="240">
        <v>43722.0</v>
      </c>
      <c r="F3461" s="21" t="str">
        <f t="shared" si="262"/>
        <v>Sep-2019</v>
      </c>
      <c r="G3461" s="32" t="s">
        <v>25</v>
      </c>
      <c r="H3461" s="25" t="s">
        <v>21</v>
      </c>
      <c r="I3461" s="25" t="s">
        <v>1225</v>
      </c>
      <c r="J3461" s="25" t="s">
        <v>27</v>
      </c>
      <c r="K3461" s="25" t="s">
        <v>9</v>
      </c>
      <c r="L3461" s="25" t="s">
        <v>30</v>
      </c>
      <c r="M3461" s="25"/>
      <c r="N3461" s="25" t="s">
        <v>106</v>
      </c>
    </row>
    <row r="3462">
      <c r="A3462" s="171" t="s">
        <v>19</v>
      </c>
      <c r="B3462" s="171" t="s">
        <v>527</v>
      </c>
      <c r="C3462" s="171" t="s">
        <v>19</v>
      </c>
      <c r="D3462" s="279" t="s">
        <v>1220</v>
      </c>
      <c r="E3462" s="240">
        <v>43722.0</v>
      </c>
      <c r="F3462" s="21" t="str">
        <f t="shared" si="262"/>
        <v>Sep-2019</v>
      </c>
      <c r="G3462" s="32" t="s">
        <v>20</v>
      </c>
      <c r="H3462" s="25" t="s">
        <v>21</v>
      </c>
      <c r="I3462" s="25" t="s">
        <v>944</v>
      </c>
      <c r="J3462" s="25" t="s">
        <v>9</v>
      </c>
      <c r="K3462" s="25" t="s">
        <v>9</v>
      </c>
      <c r="L3462" s="25" t="s">
        <v>24</v>
      </c>
      <c r="M3462" s="25" t="s">
        <v>24</v>
      </c>
      <c r="N3462" s="25" t="s">
        <v>69</v>
      </c>
    </row>
    <row r="3463">
      <c r="A3463" s="172"/>
      <c r="B3463" s="171" t="s">
        <v>527</v>
      </c>
      <c r="C3463" s="171" t="s">
        <v>19</v>
      </c>
      <c r="D3463" s="279" t="s">
        <v>1220</v>
      </c>
      <c r="E3463" s="240">
        <v>43722.0</v>
      </c>
      <c r="F3463" s="21" t="str">
        <f t="shared" si="262"/>
        <v>Sep-2019</v>
      </c>
      <c r="G3463" s="32" t="s">
        <v>25</v>
      </c>
      <c r="H3463" s="25" t="s">
        <v>21</v>
      </c>
      <c r="I3463" s="25" t="s">
        <v>944</v>
      </c>
      <c r="J3463" s="25" t="s">
        <v>9</v>
      </c>
      <c r="K3463" s="25" t="s">
        <v>9</v>
      </c>
      <c r="L3463" s="25" t="s">
        <v>24</v>
      </c>
      <c r="M3463" s="25"/>
      <c r="N3463" s="25" t="s">
        <v>99</v>
      </c>
    </row>
    <row r="3464">
      <c r="A3464" s="172"/>
      <c r="B3464" s="171" t="s">
        <v>527</v>
      </c>
      <c r="C3464" s="171" t="s">
        <v>19</v>
      </c>
      <c r="D3464" s="279" t="s">
        <v>1220</v>
      </c>
      <c r="E3464" s="240">
        <v>43722.0</v>
      </c>
      <c r="F3464" s="21" t="str">
        <f t="shared" si="262"/>
        <v>Sep-2019</v>
      </c>
      <c r="G3464" s="32" t="s">
        <v>20</v>
      </c>
      <c r="H3464" s="25" t="s">
        <v>21</v>
      </c>
      <c r="I3464" s="25" t="s">
        <v>1226</v>
      </c>
      <c r="J3464" s="25" t="s">
        <v>97</v>
      </c>
      <c r="K3464" s="25" t="s">
        <v>9</v>
      </c>
      <c r="L3464" s="25" t="s">
        <v>30</v>
      </c>
      <c r="M3464" s="25" t="s">
        <v>30</v>
      </c>
      <c r="N3464" s="25" t="s">
        <v>98</v>
      </c>
    </row>
    <row r="3465">
      <c r="A3465" s="172"/>
      <c r="B3465" s="171" t="s">
        <v>527</v>
      </c>
      <c r="C3465" s="171" t="s">
        <v>19</v>
      </c>
      <c r="D3465" s="279" t="s">
        <v>1220</v>
      </c>
      <c r="E3465" s="240">
        <v>43722.0</v>
      </c>
      <c r="F3465" s="21" t="str">
        <f t="shared" si="262"/>
        <v>Sep-2019</v>
      </c>
      <c r="G3465" s="32" t="s">
        <v>25</v>
      </c>
      <c r="H3465" s="25" t="s">
        <v>21</v>
      </c>
      <c r="I3465" s="25" t="s">
        <v>1226</v>
      </c>
      <c r="J3465" s="25" t="s">
        <v>97</v>
      </c>
      <c r="K3465" s="25" t="s">
        <v>9</v>
      </c>
      <c r="L3465" s="25" t="s">
        <v>24</v>
      </c>
      <c r="M3465" s="25"/>
      <c r="N3465" s="25" t="s">
        <v>99</v>
      </c>
    </row>
    <row r="3466">
      <c r="A3466" s="172"/>
      <c r="B3466" s="171" t="s">
        <v>527</v>
      </c>
      <c r="C3466" s="171" t="s">
        <v>19</v>
      </c>
      <c r="D3466" s="279" t="s">
        <v>1220</v>
      </c>
      <c r="E3466" s="240">
        <v>43722.0</v>
      </c>
      <c r="F3466" s="21" t="str">
        <f t="shared" si="262"/>
        <v>Sep-2019</v>
      </c>
      <c r="G3466" s="32" t="s">
        <v>32</v>
      </c>
      <c r="H3466" s="25" t="s">
        <v>21</v>
      </c>
      <c r="I3466" s="25" t="s">
        <v>1226</v>
      </c>
      <c r="J3466" s="25" t="s">
        <v>97</v>
      </c>
      <c r="K3466" s="25" t="s">
        <v>9</v>
      </c>
      <c r="L3466" s="25" t="s">
        <v>30</v>
      </c>
      <c r="M3466" s="25"/>
      <c r="N3466" s="25" t="s">
        <v>106</v>
      </c>
    </row>
    <row r="3467">
      <c r="A3467" s="172"/>
      <c r="B3467" s="171" t="s">
        <v>527</v>
      </c>
      <c r="C3467" s="171" t="s">
        <v>19</v>
      </c>
      <c r="D3467" s="279" t="s">
        <v>1220</v>
      </c>
      <c r="E3467" s="240">
        <v>43722.0</v>
      </c>
      <c r="F3467" s="21" t="str">
        <f t="shared" si="262"/>
        <v>Sep-2019</v>
      </c>
      <c r="G3467" s="32" t="s">
        <v>20</v>
      </c>
      <c r="H3467" s="25" t="s">
        <v>35</v>
      </c>
      <c r="I3467" s="25" t="s">
        <v>1138</v>
      </c>
      <c r="J3467" s="25" t="s">
        <v>27</v>
      </c>
      <c r="K3467" s="25" t="s">
        <v>9</v>
      </c>
      <c r="L3467" s="25" t="s">
        <v>24</v>
      </c>
      <c r="M3467" s="25" t="s">
        <v>30</v>
      </c>
      <c r="N3467" s="25" t="s">
        <v>37</v>
      </c>
    </row>
    <row r="3468">
      <c r="A3468" s="172"/>
      <c r="B3468" s="171" t="s">
        <v>527</v>
      </c>
      <c r="C3468" s="171" t="s">
        <v>19</v>
      </c>
      <c r="D3468" s="279" t="s">
        <v>1220</v>
      </c>
      <c r="E3468" s="240">
        <v>43722.0</v>
      </c>
      <c r="F3468" s="21" t="str">
        <f t="shared" si="262"/>
        <v>Sep-2019</v>
      </c>
      <c r="G3468" s="32" t="s">
        <v>25</v>
      </c>
      <c r="H3468" s="25" t="s">
        <v>35</v>
      </c>
      <c r="I3468" s="25" t="s">
        <v>1138</v>
      </c>
      <c r="J3468" s="25" t="s">
        <v>27</v>
      </c>
      <c r="K3468" s="25" t="s">
        <v>9</v>
      </c>
      <c r="L3468" s="25" t="s">
        <v>30</v>
      </c>
      <c r="M3468" s="25"/>
      <c r="N3468" s="25" t="s">
        <v>106</v>
      </c>
    </row>
    <row r="3469">
      <c r="A3469" s="172"/>
      <c r="B3469" s="171" t="s">
        <v>527</v>
      </c>
      <c r="C3469" s="171" t="s">
        <v>19</v>
      </c>
      <c r="D3469" s="279" t="s">
        <v>1220</v>
      </c>
      <c r="E3469" s="240">
        <v>43722.0</v>
      </c>
      <c r="F3469" s="21" t="str">
        <f t="shared" si="262"/>
        <v>Sep-2019</v>
      </c>
      <c r="G3469" s="32" t="s">
        <v>32</v>
      </c>
      <c r="H3469" s="25" t="s">
        <v>35</v>
      </c>
      <c r="I3469" s="25" t="s">
        <v>1138</v>
      </c>
      <c r="J3469" s="25" t="s">
        <v>27</v>
      </c>
      <c r="K3469" s="25" t="s">
        <v>9</v>
      </c>
      <c r="L3469" s="25" t="s">
        <v>30</v>
      </c>
      <c r="M3469" s="25"/>
      <c r="N3469" s="25" t="s">
        <v>69</v>
      </c>
    </row>
    <row r="3470">
      <c r="A3470" s="172"/>
      <c r="B3470" s="171" t="s">
        <v>527</v>
      </c>
      <c r="C3470" s="171" t="s">
        <v>19</v>
      </c>
      <c r="D3470" s="279" t="s">
        <v>1220</v>
      </c>
      <c r="E3470" s="240">
        <v>43722.0</v>
      </c>
      <c r="F3470" s="21" t="str">
        <f t="shared" si="262"/>
        <v>Sep-2019</v>
      </c>
      <c r="G3470" t="s">
        <v>146</v>
      </c>
      <c r="H3470" s="25" t="s">
        <v>35</v>
      </c>
      <c r="I3470" s="25" t="s">
        <v>1227</v>
      </c>
      <c r="J3470" s="25" t="s">
        <v>9</v>
      </c>
      <c r="K3470" s="25" t="s">
        <v>9</v>
      </c>
      <c r="L3470" s="25" t="s">
        <v>24</v>
      </c>
      <c r="M3470" s="25" t="s">
        <v>24</v>
      </c>
      <c r="N3470" s="25" t="s">
        <v>98</v>
      </c>
    </row>
    <row r="3471">
      <c r="A3471" s="172"/>
      <c r="B3471" s="171" t="s">
        <v>527</v>
      </c>
      <c r="C3471" s="171" t="s">
        <v>19</v>
      </c>
      <c r="D3471" s="279" t="s">
        <v>1220</v>
      </c>
      <c r="E3471" s="240">
        <v>43722.0</v>
      </c>
      <c r="F3471" s="21" t="str">
        <f t="shared" si="262"/>
        <v>Sep-2019</v>
      </c>
      <c r="G3471" t="s">
        <v>149</v>
      </c>
      <c r="H3471" s="25" t="s">
        <v>35</v>
      </c>
      <c r="I3471" s="25" t="s">
        <v>1227</v>
      </c>
      <c r="J3471" s="25" t="s">
        <v>9</v>
      </c>
      <c r="K3471" s="25" t="s">
        <v>9</v>
      </c>
      <c r="L3471" s="25" t="s">
        <v>24</v>
      </c>
      <c r="M3471" s="25"/>
      <c r="N3471" s="25" t="s">
        <v>69</v>
      </c>
    </row>
    <row r="3472">
      <c r="A3472" s="172"/>
      <c r="B3472" s="171" t="s">
        <v>527</v>
      </c>
      <c r="C3472" s="171" t="s">
        <v>19</v>
      </c>
      <c r="D3472" s="279" t="s">
        <v>1220</v>
      </c>
      <c r="E3472" s="240">
        <v>43722.0</v>
      </c>
      <c r="F3472" s="21" t="str">
        <f t="shared" si="262"/>
        <v>Sep-2019</v>
      </c>
      <c r="G3472" t="s">
        <v>222</v>
      </c>
      <c r="H3472" s="25" t="s">
        <v>35</v>
      </c>
      <c r="I3472" s="25" t="s">
        <v>1227</v>
      </c>
      <c r="J3472" s="25" t="s">
        <v>9</v>
      </c>
      <c r="K3472" s="25" t="s">
        <v>9</v>
      </c>
      <c r="L3472" s="25" t="s">
        <v>30</v>
      </c>
      <c r="M3472" s="25"/>
      <c r="N3472" s="25" t="s">
        <v>99</v>
      </c>
    </row>
    <row r="3473">
      <c r="A3473" s="172"/>
      <c r="B3473" s="171" t="s">
        <v>527</v>
      </c>
      <c r="C3473" s="171" t="s">
        <v>19</v>
      </c>
      <c r="D3473" s="279" t="s">
        <v>1220</v>
      </c>
      <c r="E3473" s="240">
        <v>43722.0</v>
      </c>
      <c r="F3473" s="21" t="str">
        <f t="shared" si="262"/>
        <v>Sep-2019</v>
      </c>
      <c r="G3473" t="s">
        <v>467</v>
      </c>
      <c r="H3473" s="25" t="s">
        <v>35</v>
      </c>
      <c r="I3473" s="25" t="s">
        <v>1227</v>
      </c>
      <c r="J3473" s="25" t="s">
        <v>9</v>
      </c>
      <c r="K3473" s="25" t="s">
        <v>9</v>
      </c>
      <c r="L3473" s="25" t="s">
        <v>24</v>
      </c>
      <c r="M3473" s="25"/>
      <c r="N3473" s="25" t="s">
        <v>98</v>
      </c>
    </row>
    <row r="3474">
      <c r="A3474" s="172"/>
      <c r="B3474" s="171" t="s">
        <v>527</v>
      </c>
      <c r="C3474" s="171" t="s">
        <v>19</v>
      </c>
      <c r="D3474" s="279" t="s">
        <v>1220</v>
      </c>
      <c r="E3474" s="240">
        <v>43722.0</v>
      </c>
      <c r="F3474" s="21" t="str">
        <f t="shared" si="262"/>
        <v>Sep-2019</v>
      </c>
      <c r="G3474" t="s">
        <v>146</v>
      </c>
      <c r="H3474" s="25" t="s">
        <v>35</v>
      </c>
      <c r="I3474" s="25" t="s">
        <v>989</v>
      </c>
      <c r="J3474" s="25" t="s">
        <v>86</v>
      </c>
      <c r="K3474" s="25" t="s">
        <v>9</v>
      </c>
      <c r="L3474" s="25" t="s">
        <v>30</v>
      </c>
      <c r="M3474" s="25" t="s">
        <v>30</v>
      </c>
      <c r="N3474" s="25" t="s">
        <v>69</v>
      </c>
    </row>
    <row r="3475">
      <c r="A3475" s="172"/>
      <c r="B3475" s="171" t="s">
        <v>527</v>
      </c>
      <c r="C3475" s="171" t="s">
        <v>19</v>
      </c>
      <c r="D3475" s="279" t="s">
        <v>1220</v>
      </c>
      <c r="E3475" s="240">
        <v>43722.0</v>
      </c>
      <c r="F3475" s="21" t="str">
        <f t="shared" si="262"/>
        <v>Sep-2019</v>
      </c>
      <c r="G3475" t="s">
        <v>149</v>
      </c>
      <c r="H3475" s="25" t="s">
        <v>35</v>
      </c>
      <c r="I3475" s="25" t="s">
        <v>989</v>
      </c>
      <c r="J3475" s="25" t="s">
        <v>86</v>
      </c>
      <c r="K3475" s="25" t="s">
        <v>9</v>
      </c>
      <c r="L3475" s="25" t="s">
        <v>30</v>
      </c>
      <c r="M3475" s="25"/>
      <c r="N3475" s="25" t="s">
        <v>37</v>
      </c>
    </row>
    <row r="3476">
      <c r="A3476" s="172"/>
      <c r="B3476" s="171" t="s">
        <v>527</v>
      </c>
      <c r="C3476" s="171" t="s">
        <v>19</v>
      </c>
      <c r="D3476" s="279" t="s">
        <v>1220</v>
      </c>
      <c r="E3476" s="240">
        <v>43722.0</v>
      </c>
      <c r="F3476" s="21" t="str">
        <f t="shared" si="262"/>
        <v>Sep-2019</v>
      </c>
      <c r="G3476" t="s">
        <v>222</v>
      </c>
      <c r="H3476" s="25" t="s">
        <v>35</v>
      </c>
      <c r="I3476" s="25" t="s">
        <v>989</v>
      </c>
      <c r="J3476" s="25" t="s">
        <v>27</v>
      </c>
      <c r="K3476" s="25" t="s">
        <v>9</v>
      </c>
      <c r="L3476" s="25" t="s">
        <v>30</v>
      </c>
      <c r="M3476" s="25"/>
      <c r="N3476" s="25" t="s">
        <v>37</v>
      </c>
    </row>
    <row r="3477">
      <c r="A3477" s="172"/>
      <c r="B3477" s="171" t="s">
        <v>527</v>
      </c>
      <c r="C3477" s="171" t="s">
        <v>19</v>
      </c>
      <c r="D3477" s="279" t="s">
        <v>1220</v>
      </c>
      <c r="E3477" s="240">
        <v>43722.0</v>
      </c>
      <c r="F3477" s="21" t="str">
        <f t="shared" si="262"/>
        <v>Sep-2019</v>
      </c>
      <c r="G3477" t="s">
        <v>146</v>
      </c>
      <c r="H3477" s="25" t="s">
        <v>35</v>
      </c>
      <c r="I3477" s="25" t="s">
        <v>1228</v>
      </c>
      <c r="J3477" s="25" t="s">
        <v>27</v>
      </c>
      <c r="K3477" s="25" t="s">
        <v>9</v>
      </c>
      <c r="L3477" s="25" t="s">
        <v>30</v>
      </c>
      <c r="M3477" s="25" t="s">
        <v>30</v>
      </c>
      <c r="N3477" s="25" t="s">
        <v>98</v>
      </c>
    </row>
    <row r="3478">
      <c r="A3478" s="172"/>
      <c r="B3478" s="171" t="s">
        <v>527</v>
      </c>
      <c r="C3478" s="171" t="s">
        <v>19</v>
      </c>
      <c r="D3478" s="279" t="s">
        <v>1220</v>
      </c>
      <c r="E3478" s="240">
        <v>43722.0</v>
      </c>
      <c r="F3478" s="21" t="str">
        <f t="shared" si="262"/>
        <v>Sep-2019</v>
      </c>
      <c r="G3478" t="s">
        <v>149</v>
      </c>
      <c r="H3478" s="25" t="s">
        <v>35</v>
      </c>
      <c r="I3478" s="25" t="s">
        <v>1228</v>
      </c>
      <c r="J3478" s="25" t="s">
        <v>27</v>
      </c>
      <c r="K3478" s="25" t="s">
        <v>9</v>
      </c>
      <c r="L3478" s="25" t="s">
        <v>24</v>
      </c>
      <c r="M3478" s="25"/>
      <c r="N3478" s="25" t="s">
        <v>69</v>
      </c>
    </row>
    <row r="3479">
      <c r="A3479" s="172"/>
      <c r="B3479" s="171" t="s">
        <v>527</v>
      </c>
      <c r="C3479" s="171" t="s">
        <v>19</v>
      </c>
      <c r="D3479" s="279" t="s">
        <v>1220</v>
      </c>
      <c r="E3479" s="240">
        <v>43722.0</v>
      </c>
      <c r="F3479" s="21" t="str">
        <f t="shared" si="262"/>
        <v>Sep-2019</v>
      </c>
      <c r="G3479" t="s">
        <v>222</v>
      </c>
      <c r="H3479" s="25" t="s">
        <v>35</v>
      </c>
      <c r="I3479" s="25" t="s">
        <v>1228</v>
      </c>
      <c r="J3479" s="25" t="s">
        <v>27</v>
      </c>
      <c r="K3479" s="25" t="s">
        <v>9</v>
      </c>
      <c r="L3479" s="25" t="s">
        <v>24</v>
      </c>
      <c r="M3479" s="25"/>
      <c r="N3479" s="25" t="s">
        <v>106</v>
      </c>
    </row>
    <row r="3480">
      <c r="A3480" s="172"/>
      <c r="B3480" s="171" t="s">
        <v>527</v>
      </c>
      <c r="C3480" s="171" t="s">
        <v>19</v>
      </c>
      <c r="D3480" s="279" t="s">
        <v>1220</v>
      </c>
      <c r="E3480" s="240">
        <v>43722.0</v>
      </c>
      <c r="F3480" s="21" t="str">
        <f t="shared" si="262"/>
        <v>Sep-2019</v>
      </c>
      <c r="G3480" t="s">
        <v>467</v>
      </c>
      <c r="H3480" s="25" t="s">
        <v>35</v>
      </c>
      <c r="I3480" s="25" t="s">
        <v>1228</v>
      </c>
      <c r="J3480" s="25" t="s">
        <v>27</v>
      </c>
      <c r="K3480" s="25" t="s">
        <v>9</v>
      </c>
      <c r="L3480" s="25" t="s">
        <v>30</v>
      </c>
      <c r="M3480" s="25"/>
      <c r="N3480" s="25" t="s">
        <v>106</v>
      </c>
    </row>
    <row r="3481">
      <c r="A3481" s="172"/>
      <c r="B3481" s="171" t="s">
        <v>527</v>
      </c>
      <c r="C3481" s="171" t="s">
        <v>19</v>
      </c>
      <c r="D3481" s="279" t="s">
        <v>1220</v>
      </c>
      <c r="E3481" s="240">
        <v>43722.0</v>
      </c>
      <c r="F3481" s="21" t="str">
        <f t="shared" si="262"/>
        <v>Sep-2019</v>
      </c>
      <c r="G3481" s="25" t="s">
        <v>480</v>
      </c>
      <c r="H3481" s="25" t="s">
        <v>35</v>
      </c>
      <c r="I3481" s="25" t="s">
        <v>1228</v>
      </c>
      <c r="J3481" s="25" t="s">
        <v>27</v>
      </c>
      <c r="K3481" s="25" t="s">
        <v>9</v>
      </c>
      <c r="L3481" s="25" t="s">
        <v>30</v>
      </c>
      <c r="M3481" s="25"/>
      <c r="N3481" s="25" t="s">
        <v>37</v>
      </c>
    </row>
    <row r="3482">
      <c r="A3482" s="172"/>
      <c r="B3482" s="171" t="s">
        <v>527</v>
      </c>
      <c r="C3482" s="171" t="s">
        <v>19</v>
      </c>
      <c r="D3482" s="279" t="s">
        <v>1220</v>
      </c>
      <c r="E3482" s="240">
        <v>43722.0</v>
      </c>
      <c r="F3482" s="21" t="str">
        <f t="shared" si="262"/>
        <v>Sep-2019</v>
      </c>
      <c r="G3482" t="s">
        <v>146</v>
      </c>
      <c r="H3482" s="25" t="s">
        <v>35</v>
      </c>
      <c r="I3482" s="25" t="s">
        <v>1221</v>
      </c>
      <c r="J3482" s="25" t="s">
        <v>138</v>
      </c>
      <c r="K3482" s="25" t="s">
        <v>9</v>
      </c>
      <c r="L3482" s="25" t="s">
        <v>24</v>
      </c>
      <c r="M3482" s="25" t="s">
        <v>24</v>
      </c>
      <c r="N3482" s="25" t="s">
        <v>98</v>
      </c>
    </row>
    <row r="3483">
      <c r="A3483" s="172"/>
      <c r="B3483" s="171" t="s">
        <v>527</v>
      </c>
      <c r="C3483" s="171" t="s">
        <v>19</v>
      </c>
      <c r="D3483" s="279" t="s">
        <v>1220</v>
      </c>
      <c r="E3483" s="240">
        <v>43722.0</v>
      </c>
      <c r="F3483" s="21" t="str">
        <f t="shared" si="262"/>
        <v>Sep-2019</v>
      </c>
      <c r="G3483" t="s">
        <v>149</v>
      </c>
      <c r="H3483" s="25" t="s">
        <v>35</v>
      </c>
      <c r="I3483" s="25" t="s">
        <v>1221</v>
      </c>
      <c r="J3483" s="25" t="s">
        <v>138</v>
      </c>
      <c r="K3483" s="25" t="s">
        <v>9</v>
      </c>
      <c r="L3483" s="25" t="s">
        <v>24</v>
      </c>
      <c r="M3483" s="25"/>
      <c r="N3483" s="25" t="s">
        <v>106</v>
      </c>
    </row>
    <row r="3484">
      <c r="A3484" s="172"/>
      <c r="B3484" s="171" t="s">
        <v>527</v>
      </c>
      <c r="C3484" s="171" t="s">
        <v>19</v>
      </c>
      <c r="D3484" s="279" t="s">
        <v>1220</v>
      </c>
      <c r="E3484" s="240">
        <v>43722.0</v>
      </c>
      <c r="F3484" s="21" t="str">
        <f t="shared" si="262"/>
        <v>Sep-2019</v>
      </c>
      <c r="G3484" t="s">
        <v>222</v>
      </c>
      <c r="H3484" s="25" t="s">
        <v>35</v>
      </c>
      <c r="I3484" s="25" t="s">
        <v>1221</v>
      </c>
      <c r="J3484" s="25" t="s">
        <v>138</v>
      </c>
      <c r="K3484" s="25" t="s">
        <v>9</v>
      </c>
      <c r="L3484" s="25" t="s">
        <v>30</v>
      </c>
      <c r="M3484" s="25"/>
      <c r="N3484" s="25" t="s">
        <v>69</v>
      </c>
    </row>
    <row r="3485">
      <c r="A3485" s="172"/>
      <c r="B3485" s="171" t="s">
        <v>527</v>
      </c>
      <c r="C3485" s="171" t="s">
        <v>19</v>
      </c>
      <c r="D3485" s="279" t="s">
        <v>1220</v>
      </c>
      <c r="E3485" s="240">
        <v>43722.0</v>
      </c>
      <c r="F3485" s="21" t="str">
        <f t="shared" si="262"/>
        <v>Sep-2019</v>
      </c>
      <c r="G3485" t="s">
        <v>467</v>
      </c>
      <c r="H3485" s="25" t="s">
        <v>35</v>
      </c>
      <c r="I3485" s="25" t="s">
        <v>1221</v>
      </c>
      <c r="J3485" s="25" t="s">
        <v>138</v>
      </c>
      <c r="K3485" s="25" t="s">
        <v>9</v>
      </c>
      <c r="L3485" s="25" t="s">
        <v>24</v>
      </c>
      <c r="M3485" s="25"/>
      <c r="N3485" s="25" t="s">
        <v>29</v>
      </c>
    </row>
    <row r="3486">
      <c r="A3486" s="94"/>
    </row>
    <row r="3487">
      <c r="A3487" s="279" t="s">
        <v>1229</v>
      </c>
      <c r="B3487" s="171" t="s">
        <v>18</v>
      </c>
      <c r="C3487" s="171" t="s">
        <v>74</v>
      </c>
      <c r="D3487" s="279" t="s">
        <v>1229</v>
      </c>
      <c r="E3487" s="240">
        <v>43738.0</v>
      </c>
      <c r="F3487" s="21" t="str">
        <f t="shared" ref="F3487:F3498" si="263">TEXT(E3479:E3487, "mmm") &amp; "-" &amp; TEXT(E3479:E3487, "yyyy") </f>
        <v>Sep-2019</v>
      </c>
      <c r="G3487" s="32" t="s">
        <v>20</v>
      </c>
      <c r="H3487" s="25" t="s">
        <v>35</v>
      </c>
      <c r="I3487" s="25" t="s">
        <v>1093</v>
      </c>
      <c r="J3487" s="25" t="s">
        <v>86</v>
      </c>
      <c r="K3487" s="25" t="s">
        <v>9</v>
      </c>
      <c r="L3487" s="25" t="s">
        <v>30</v>
      </c>
      <c r="M3487" s="25" t="s">
        <v>30</v>
      </c>
      <c r="N3487" s="25" t="s">
        <v>69</v>
      </c>
    </row>
    <row r="3488">
      <c r="A3488" s="171" t="s">
        <v>18</v>
      </c>
      <c r="B3488" s="171" t="s">
        <v>18</v>
      </c>
      <c r="C3488" s="171" t="s">
        <v>74</v>
      </c>
      <c r="D3488" s="279" t="s">
        <v>1229</v>
      </c>
      <c r="E3488" s="240">
        <v>43738.0</v>
      </c>
      <c r="F3488" s="21" t="str">
        <f t="shared" si="263"/>
        <v>Sep-2019</v>
      </c>
      <c r="G3488" s="32" t="s">
        <v>25</v>
      </c>
      <c r="H3488" s="25" t="s">
        <v>35</v>
      </c>
      <c r="I3488" s="25" t="s">
        <v>1093</v>
      </c>
      <c r="J3488" s="25" t="s">
        <v>86</v>
      </c>
      <c r="K3488" s="25" t="s">
        <v>9</v>
      </c>
      <c r="L3488" s="25" t="s">
        <v>30</v>
      </c>
      <c r="M3488" s="25"/>
      <c r="N3488" s="25" t="s">
        <v>98</v>
      </c>
    </row>
    <row r="3489">
      <c r="A3489" s="240">
        <v>43738.0</v>
      </c>
      <c r="B3489" s="171" t="s">
        <v>18</v>
      </c>
      <c r="C3489" s="171" t="s">
        <v>74</v>
      </c>
      <c r="D3489" s="279" t="s">
        <v>1229</v>
      </c>
      <c r="E3489" s="240">
        <v>43738.0</v>
      </c>
      <c r="F3489" s="21" t="str">
        <f t="shared" si="263"/>
        <v>Sep-2019</v>
      </c>
      <c r="G3489" s="32" t="s">
        <v>20</v>
      </c>
      <c r="H3489" s="25" t="s">
        <v>35</v>
      </c>
      <c r="I3489" s="25" t="s">
        <v>361</v>
      </c>
      <c r="J3489" s="25" t="s">
        <v>44</v>
      </c>
      <c r="K3489" s="25" t="s">
        <v>9</v>
      </c>
      <c r="L3489" s="25" t="s">
        <v>30</v>
      </c>
      <c r="M3489" s="25" t="s">
        <v>30</v>
      </c>
      <c r="N3489" s="25" t="s">
        <v>69</v>
      </c>
    </row>
    <row r="3490">
      <c r="A3490" s="172"/>
      <c r="B3490" s="171" t="s">
        <v>18</v>
      </c>
      <c r="C3490" s="171" t="s">
        <v>74</v>
      </c>
      <c r="D3490" s="279" t="s">
        <v>1229</v>
      </c>
      <c r="E3490" s="240">
        <v>43738.0</v>
      </c>
      <c r="F3490" s="21" t="str">
        <f t="shared" si="263"/>
        <v>Sep-2019</v>
      </c>
      <c r="G3490" s="32" t="s">
        <v>25</v>
      </c>
      <c r="H3490" s="25" t="s">
        <v>35</v>
      </c>
      <c r="I3490" s="25" t="s">
        <v>361</v>
      </c>
      <c r="J3490" s="25" t="s">
        <v>44</v>
      </c>
      <c r="K3490" s="25" t="s">
        <v>9</v>
      </c>
      <c r="L3490" s="25" t="s">
        <v>24</v>
      </c>
      <c r="M3490" s="25"/>
      <c r="N3490" s="25" t="s">
        <v>99</v>
      </c>
    </row>
    <row r="3491">
      <c r="A3491" s="301" t="s">
        <v>1230</v>
      </c>
      <c r="B3491" s="171" t="s">
        <v>18</v>
      </c>
      <c r="C3491" s="171" t="s">
        <v>74</v>
      </c>
      <c r="D3491" s="279" t="s">
        <v>1229</v>
      </c>
      <c r="E3491" s="240">
        <v>43738.0</v>
      </c>
      <c r="F3491" s="21" t="str">
        <f t="shared" si="263"/>
        <v>Sep-2019</v>
      </c>
      <c r="G3491" s="32" t="s">
        <v>32</v>
      </c>
      <c r="H3491" s="25" t="s">
        <v>35</v>
      </c>
      <c r="I3491" s="25" t="s">
        <v>361</v>
      </c>
      <c r="J3491" s="25" t="s">
        <v>44</v>
      </c>
      <c r="K3491" s="25" t="s">
        <v>9</v>
      </c>
      <c r="L3491" s="25" t="s">
        <v>30</v>
      </c>
      <c r="M3491" s="25"/>
      <c r="N3491" s="25" t="s">
        <v>106</v>
      </c>
    </row>
    <row r="3492">
      <c r="A3492" s="171" t="s">
        <v>74</v>
      </c>
      <c r="B3492" s="171" t="s">
        <v>18</v>
      </c>
      <c r="C3492" s="171" t="s">
        <v>74</v>
      </c>
      <c r="D3492" s="279" t="s">
        <v>1229</v>
      </c>
      <c r="E3492" s="240">
        <v>43738.0</v>
      </c>
      <c r="F3492" s="21" t="str">
        <f t="shared" si="263"/>
        <v>Sep-2019</v>
      </c>
      <c r="G3492" s="32" t="s">
        <v>20</v>
      </c>
      <c r="H3492" s="25" t="s">
        <v>35</v>
      </c>
      <c r="I3492" s="25" t="s">
        <v>239</v>
      </c>
      <c r="J3492" s="25" t="s">
        <v>27</v>
      </c>
      <c r="K3492" s="25" t="s">
        <v>9</v>
      </c>
      <c r="L3492" s="25" t="s">
        <v>24</v>
      </c>
      <c r="M3492" s="25" t="s">
        <v>24</v>
      </c>
      <c r="N3492" s="25" t="s">
        <v>37</v>
      </c>
    </row>
    <row r="3493">
      <c r="A3493" s="172"/>
      <c r="B3493" s="171" t="s">
        <v>18</v>
      </c>
      <c r="C3493" s="171" t="s">
        <v>74</v>
      </c>
      <c r="D3493" s="279" t="s">
        <v>1229</v>
      </c>
      <c r="E3493" s="240">
        <v>43738.0</v>
      </c>
      <c r="F3493" s="21" t="str">
        <f t="shared" si="263"/>
        <v>Sep-2019</v>
      </c>
      <c r="G3493" s="32" t="s">
        <v>25</v>
      </c>
      <c r="H3493" s="25" t="s">
        <v>35</v>
      </c>
      <c r="I3493" s="25" t="s">
        <v>239</v>
      </c>
      <c r="J3493" s="25" t="s">
        <v>27</v>
      </c>
      <c r="K3493" s="25" t="s">
        <v>9</v>
      </c>
      <c r="L3493" s="25" t="s">
        <v>24</v>
      </c>
      <c r="M3493" s="25"/>
      <c r="N3493" s="25" t="s">
        <v>98</v>
      </c>
    </row>
    <row r="3494">
      <c r="A3494" s="172"/>
      <c r="B3494" s="171" t="s">
        <v>18</v>
      </c>
      <c r="C3494" s="171" t="s">
        <v>74</v>
      </c>
      <c r="D3494" s="279" t="s">
        <v>1229</v>
      </c>
      <c r="E3494" s="240">
        <v>43738.0</v>
      </c>
      <c r="F3494" s="21" t="str">
        <f t="shared" si="263"/>
        <v>Sep-2019</v>
      </c>
      <c r="G3494" s="32" t="s">
        <v>20</v>
      </c>
      <c r="H3494" s="25" t="s">
        <v>35</v>
      </c>
      <c r="I3494" s="25" t="s">
        <v>871</v>
      </c>
      <c r="J3494" s="25" t="s">
        <v>138</v>
      </c>
      <c r="K3494" s="25" t="s">
        <v>9</v>
      </c>
      <c r="L3494" s="25" t="s">
        <v>30</v>
      </c>
      <c r="M3494" s="25" t="s">
        <v>30</v>
      </c>
      <c r="N3494" s="25" t="s">
        <v>98</v>
      </c>
    </row>
    <row r="3495">
      <c r="A3495" s="172"/>
      <c r="B3495" s="171" t="s">
        <v>18</v>
      </c>
      <c r="C3495" s="171" t="s">
        <v>74</v>
      </c>
      <c r="D3495" s="279" t="s">
        <v>1229</v>
      </c>
      <c r="E3495" s="240">
        <v>43738.0</v>
      </c>
      <c r="F3495" s="21" t="str">
        <f t="shared" si="263"/>
        <v>Sep-2019</v>
      </c>
      <c r="G3495" s="32" t="s">
        <v>25</v>
      </c>
      <c r="H3495" s="25" t="s">
        <v>35</v>
      </c>
      <c r="I3495" s="25" t="s">
        <v>871</v>
      </c>
      <c r="J3495" s="25" t="s">
        <v>138</v>
      </c>
      <c r="K3495" s="25" t="s">
        <v>9</v>
      </c>
      <c r="L3495" s="25" t="s">
        <v>30</v>
      </c>
      <c r="M3495" s="25"/>
      <c r="N3495" s="25" t="s">
        <v>106</v>
      </c>
    </row>
    <row r="3496">
      <c r="A3496" s="172"/>
      <c r="B3496" s="171" t="s">
        <v>18</v>
      </c>
      <c r="C3496" s="171" t="s">
        <v>74</v>
      </c>
      <c r="D3496" s="279" t="s">
        <v>1229</v>
      </c>
      <c r="E3496" s="240">
        <v>43738.0</v>
      </c>
      <c r="F3496" s="21" t="str">
        <f t="shared" si="263"/>
        <v>Sep-2019</v>
      </c>
      <c r="G3496" t="s">
        <v>146</v>
      </c>
      <c r="H3496" s="25" t="s">
        <v>35</v>
      </c>
      <c r="I3496" s="25" t="s">
        <v>450</v>
      </c>
      <c r="J3496" s="25" t="s">
        <v>9</v>
      </c>
      <c r="K3496" s="25" t="s">
        <v>9</v>
      </c>
      <c r="L3496" s="25" t="s">
        <v>24</v>
      </c>
      <c r="M3496" s="25" t="s">
        <v>24</v>
      </c>
      <c r="N3496" s="25" t="s">
        <v>69</v>
      </c>
    </row>
    <row r="3497">
      <c r="A3497" s="172"/>
      <c r="B3497" s="171" t="s">
        <v>18</v>
      </c>
      <c r="C3497" s="171" t="s">
        <v>74</v>
      </c>
      <c r="D3497" s="279" t="s">
        <v>1229</v>
      </c>
      <c r="E3497" s="240">
        <v>43738.0</v>
      </c>
      <c r="F3497" s="21" t="str">
        <f t="shared" si="263"/>
        <v>Sep-2019</v>
      </c>
      <c r="G3497" t="s">
        <v>149</v>
      </c>
      <c r="H3497" s="25" t="s">
        <v>35</v>
      </c>
      <c r="I3497" s="25" t="s">
        <v>450</v>
      </c>
      <c r="J3497" s="25" t="s">
        <v>9</v>
      </c>
      <c r="K3497" s="25" t="s">
        <v>9</v>
      </c>
      <c r="L3497" s="25" t="s">
        <v>24</v>
      </c>
      <c r="M3497" s="25"/>
      <c r="N3497" s="25" t="s">
        <v>69</v>
      </c>
    </row>
    <row r="3498">
      <c r="A3498" s="172"/>
      <c r="B3498" s="171" t="s">
        <v>18</v>
      </c>
      <c r="C3498" s="171" t="s">
        <v>74</v>
      </c>
      <c r="D3498" s="279" t="s">
        <v>1229</v>
      </c>
      <c r="E3498" s="240">
        <v>43738.0</v>
      </c>
      <c r="F3498" s="21" t="str">
        <f t="shared" si="263"/>
        <v>Sep-2019</v>
      </c>
      <c r="G3498" t="s">
        <v>222</v>
      </c>
      <c r="H3498" s="25" t="s">
        <v>35</v>
      </c>
      <c r="I3498" s="25" t="s">
        <v>450</v>
      </c>
      <c r="J3498" s="25" t="s">
        <v>9</v>
      </c>
      <c r="K3498" s="25" t="s">
        <v>9</v>
      </c>
      <c r="L3498" s="25" t="s">
        <v>24</v>
      </c>
      <c r="M3498" s="25"/>
      <c r="N3498" s="25" t="s">
        <v>99</v>
      </c>
    </row>
    <row r="3499">
      <c r="A3499" s="94"/>
    </row>
    <row r="3500">
      <c r="A3500" s="328" t="s">
        <v>1231</v>
      </c>
      <c r="B3500" s="329" t="s">
        <v>34</v>
      </c>
      <c r="C3500" s="329" t="s">
        <v>308</v>
      </c>
      <c r="D3500" s="328" t="s">
        <v>1231</v>
      </c>
      <c r="E3500" s="330">
        <v>43742.0</v>
      </c>
      <c r="F3500" s="21" t="str">
        <f t="shared" ref="F3500:F3508" si="264">TEXT(E3492:E3500, "mmm") &amp; "-" &amp; TEXT(E3492:E3500, "yyyy") </f>
        <v>Oct-2019</v>
      </c>
      <c r="G3500" s="32" t="s">
        <v>20</v>
      </c>
      <c r="H3500" s="25" t="s">
        <v>35</v>
      </c>
      <c r="I3500" s="25" t="s">
        <v>1232</v>
      </c>
      <c r="J3500" s="25" t="s">
        <v>9</v>
      </c>
      <c r="K3500" s="25" t="s">
        <v>9</v>
      </c>
      <c r="L3500" s="25" t="s">
        <v>30</v>
      </c>
      <c r="M3500" s="25" t="s">
        <v>30</v>
      </c>
      <c r="N3500" s="25" t="s">
        <v>69</v>
      </c>
    </row>
    <row r="3501">
      <c r="A3501" s="329" t="s">
        <v>34</v>
      </c>
      <c r="B3501" s="329" t="s">
        <v>34</v>
      </c>
      <c r="C3501" s="329" t="s">
        <v>308</v>
      </c>
      <c r="D3501" s="328" t="s">
        <v>1231</v>
      </c>
      <c r="E3501" s="330">
        <v>43742.0</v>
      </c>
      <c r="F3501" s="21" t="str">
        <f t="shared" si="264"/>
        <v>Oct-2019</v>
      </c>
      <c r="G3501" s="32" t="s">
        <v>25</v>
      </c>
      <c r="H3501" s="25" t="s">
        <v>35</v>
      </c>
      <c r="I3501" s="25" t="s">
        <v>1232</v>
      </c>
      <c r="J3501" s="25" t="s">
        <v>9</v>
      </c>
      <c r="K3501" s="25" t="s">
        <v>9</v>
      </c>
      <c r="L3501" s="25" t="s">
        <v>30</v>
      </c>
      <c r="M3501" s="25"/>
      <c r="N3501" s="25" t="s">
        <v>99</v>
      </c>
    </row>
    <row r="3502">
      <c r="A3502" s="329" t="s">
        <v>1233</v>
      </c>
      <c r="B3502" s="329" t="s">
        <v>34</v>
      </c>
      <c r="C3502" s="329" t="s">
        <v>308</v>
      </c>
      <c r="D3502" s="328" t="s">
        <v>1231</v>
      </c>
      <c r="E3502" s="330">
        <v>43742.0</v>
      </c>
      <c r="F3502" s="21" t="str">
        <f t="shared" si="264"/>
        <v>Oct-2019</v>
      </c>
      <c r="G3502" s="32" t="s">
        <v>20</v>
      </c>
      <c r="H3502" s="25" t="s">
        <v>35</v>
      </c>
      <c r="I3502" s="25" t="s">
        <v>1234</v>
      </c>
      <c r="J3502" s="25" t="s">
        <v>27</v>
      </c>
      <c r="K3502" s="25" t="s">
        <v>9</v>
      </c>
      <c r="L3502" s="25" t="s">
        <v>24</v>
      </c>
      <c r="M3502" s="25" t="s">
        <v>24</v>
      </c>
      <c r="N3502" s="25" t="s">
        <v>98</v>
      </c>
    </row>
    <row r="3503">
      <c r="A3503" s="330">
        <v>43742.0</v>
      </c>
      <c r="B3503" s="329" t="s">
        <v>34</v>
      </c>
      <c r="C3503" s="329" t="s">
        <v>308</v>
      </c>
      <c r="D3503" s="328" t="s">
        <v>1231</v>
      </c>
      <c r="E3503" s="330">
        <v>43742.0</v>
      </c>
      <c r="F3503" s="21" t="str">
        <f t="shared" si="264"/>
        <v>Oct-2019</v>
      </c>
      <c r="G3503" s="32" t="s">
        <v>25</v>
      </c>
      <c r="H3503" s="25" t="s">
        <v>35</v>
      </c>
      <c r="I3503" s="25" t="s">
        <v>1234</v>
      </c>
      <c r="J3503" s="25" t="s">
        <v>27</v>
      </c>
      <c r="K3503" s="25" t="s">
        <v>9</v>
      </c>
      <c r="L3503" s="25" t="s">
        <v>24</v>
      </c>
      <c r="M3503" s="25"/>
      <c r="N3503" s="25" t="s">
        <v>106</v>
      </c>
    </row>
    <row r="3504">
      <c r="A3504" s="331" t="s">
        <v>1235</v>
      </c>
      <c r="B3504" s="329" t="s">
        <v>34</v>
      </c>
      <c r="C3504" s="329" t="s">
        <v>308</v>
      </c>
      <c r="D3504" s="328" t="s">
        <v>1231</v>
      </c>
      <c r="E3504" s="330">
        <v>43742.0</v>
      </c>
      <c r="F3504" s="21" t="str">
        <f t="shared" si="264"/>
        <v>Oct-2019</v>
      </c>
      <c r="G3504" s="32" t="s">
        <v>20</v>
      </c>
      <c r="H3504" s="25" t="s">
        <v>35</v>
      </c>
      <c r="I3504" s="25" t="s">
        <v>1236</v>
      </c>
      <c r="J3504" s="25" t="s">
        <v>86</v>
      </c>
      <c r="K3504" s="25" t="s">
        <v>9</v>
      </c>
      <c r="L3504" s="25" t="s">
        <v>30</v>
      </c>
      <c r="M3504" s="25" t="s">
        <v>30</v>
      </c>
      <c r="N3504" s="25" t="s">
        <v>69</v>
      </c>
    </row>
    <row r="3505">
      <c r="A3505" s="329" t="s">
        <v>1237</v>
      </c>
      <c r="B3505" s="329" t="s">
        <v>34</v>
      </c>
      <c r="C3505" s="329" t="s">
        <v>308</v>
      </c>
      <c r="D3505" s="328" t="s">
        <v>1231</v>
      </c>
      <c r="E3505" s="330">
        <v>43742.0</v>
      </c>
      <c r="F3505" s="21" t="str">
        <f t="shared" si="264"/>
        <v>Oct-2019</v>
      </c>
      <c r="G3505" s="32" t="s">
        <v>25</v>
      </c>
      <c r="H3505" s="25" t="s">
        <v>35</v>
      </c>
      <c r="I3505" s="25" t="s">
        <v>1236</v>
      </c>
      <c r="J3505" s="25" t="s">
        <v>86</v>
      </c>
      <c r="K3505" s="25" t="s">
        <v>9</v>
      </c>
      <c r="L3505" s="25" t="s">
        <v>24</v>
      </c>
      <c r="M3505" s="25"/>
      <c r="N3505" s="25" t="s">
        <v>98</v>
      </c>
    </row>
    <row r="3506">
      <c r="A3506" s="331" t="s">
        <v>1238</v>
      </c>
      <c r="B3506" s="329" t="s">
        <v>34</v>
      </c>
      <c r="C3506" s="329" t="s">
        <v>308</v>
      </c>
      <c r="D3506" s="328" t="s">
        <v>1231</v>
      </c>
      <c r="E3506" s="330">
        <v>43742.0</v>
      </c>
      <c r="F3506" s="21" t="str">
        <f t="shared" si="264"/>
        <v>Oct-2019</v>
      </c>
      <c r="G3506" s="32" t="s">
        <v>32</v>
      </c>
      <c r="H3506" s="25" t="s">
        <v>35</v>
      </c>
      <c r="I3506" s="25" t="s">
        <v>1236</v>
      </c>
      <c r="J3506" s="25" t="s">
        <v>86</v>
      </c>
      <c r="K3506" s="25" t="s">
        <v>9</v>
      </c>
      <c r="L3506" s="25" t="s">
        <v>30</v>
      </c>
      <c r="M3506" s="25"/>
      <c r="N3506" s="25" t="s">
        <v>99</v>
      </c>
    </row>
    <row r="3507">
      <c r="A3507" s="329" t="s">
        <v>308</v>
      </c>
      <c r="B3507" s="329" t="s">
        <v>34</v>
      </c>
      <c r="C3507" s="329" t="s">
        <v>308</v>
      </c>
      <c r="D3507" s="328" t="s">
        <v>1231</v>
      </c>
      <c r="E3507" s="330">
        <v>43742.0</v>
      </c>
      <c r="F3507" s="21" t="str">
        <f t="shared" si="264"/>
        <v>Oct-2019</v>
      </c>
      <c r="G3507" s="32" t="s">
        <v>20</v>
      </c>
      <c r="H3507" s="25" t="s">
        <v>35</v>
      </c>
      <c r="I3507" s="25" t="s">
        <v>1239</v>
      </c>
      <c r="J3507" s="25" t="s">
        <v>27</v>
      </c>
      <c r="K3507" s="25" t="s">
        <v>9</v>
      </c>
      <c r="L3507" s="25" t="s">
        <v>24</v>
      </c>
      <c r="M3507" s="25" t="s">
        <v>24</v>
      </c>
      <c r="N3507" s="25" t="s">
        <v>98</v>
      </c>
    </row>
    <row r="3508">
      <c r="A3508" s="332"/>
      <c r="B3508" s="329" t="s">
        <v>34</v>
      </c>
      <c r="C3508" s="329" t="s">
        <v>308</v>
      </c>
      <c r="D3508" s="328" t="s">
        <v>1231</v>
      </c>
      <c r="E3508" s="330">
        <v>43742.0</v>
      </c>
      <c r="F3508" s="21" t="str">
        <f t="shared" si="264"/>
        <v>Oct-2019</v>
      </c>
      <c r="G3508" s="32" t="s">
        <v>25</v>
      </c>
      <c r="H3508" s="25" t="s">
        <v>35</v>
      </c>
      <c r="I3508" s="25" t="s">
        <v>1239</v>
      </c>
      <c r="J3508" s="25" t="s">
        <v>27</v>
      </c>
      <c r="K3508" s="25" t="s">
        <v>9</v>
      </c>
      <c r="L3508" s="25" t="s">
        <v>24</v>
      </c>
      <c r="M3508" s="25"/>
      <c r="N3508" s="25" t="s">
        <v>106</v>
      </c>
    </row>
    <row r="3509">
      <c r="A3509" s="94"/>
      <c r="G3509" s="32"/>
    </row>
    <row r="3510">
      <c r="A3510" s="279" t="s">
        <v>1240</v>
      </c>
      <c r="B3510" s="171" t="s">
        <v>18</v>
      </c>
      <c r="C3510" s="171" t="s">
        <v>84</v>
      </c>
      <c r="D3510" s="279" t="s">
        <v>1240</v>
      </c>
      <c r="E3510" s="240">
        <v>43750.0</v>
      </c>
      <c r="F3510" s="21" t="str">
        <f t="shared" ref="F3510:F3534" si="265">TEXT(E3502:E3510, "mmm") &amp; "-" &amp; TEXT(E3502:E3510, "yyyy") </f>
        <v>Oct-2019</v>
      </c>
      <c r="G3510" s="32" t="s">
        <v>20</v>
      </c>
      <c r="H3510" s="25" t="s">
        <v>287</v>
      </c>
      <c r="I3510" s="25" t="s">
        <v>726</v>
      </c>
      <c r="J3510" s="25" t="s">
        <v>216</v>
      </c>
      <c r="K3510" s="25" t="s">
        <v>9</v>
      </c>
      <c r="L3510" s="25" t="s">
        <v>30</v>
      </c>
      <c r="M3510" s="25" t="s">
        <v>30</v>
      </c>
      <c r="N3510" s="25" t="s">
        <v>37</v>
      </c>
    </row>
    <row r="3511">
      <c r="A3511" s="171" t="s">
        <v>18</v>
      </c>
      <c r="B3511" s="171" t="s">
        <v>18</v>
      </c>
      <c r="C3511" s="171" t="s">
        <v>84</v>
      </c>
      <c r="D3511" s="279" t="s">
        <v>1240</v>
      </c>
      <c r="E3511" s="240">
        <v>43750.0</v>
      </c>
      <c r="F3511" s="21" t="str">
        <f t="shared" si="265"/>
        <v>Oct-2019</v>
      </c>
      <c r="G3511" s="32" t="s">
        <v>25</v>
      </c>
      <c r="H3511" s="25" t="s">
        <v>287</v>
      </c>
      <c r="I3511" s="25" t="s">
        <v>726</v>
      </c>
      <c r="J3511" s="25" t="s">
        <v>216</v>
      </c>
      <c r="K3511" s="25" t="s">
        <v>9</v>
      </c>
      <c r="L3511" s="25" t="s">
        <v>24</v>
      </c>
      <c r="M3511" s="25"/>
      <c r="N3511" s="25" t="s">
        <v>99</v>
      </c>
    </row>
    <row r="3512">
      <c r="A3512" s="171" t="s">
        <v>1241</v>
      </c>
      <c r="B3512" s="171" t="s">
        <v>18</v>
      </c>
      <c r="C3512" s="171" t="s">
        <v>84</v>
      </c>
      <c r="D3512" s="279" t="s">
        <v>1240</v>
      </c>
      <c r="E3512" s="240">
        <v>43750.0</v>
      </c>
      <c r="F3512" s="21" t="str">
        <f t="shared" si="265"/>
        <v>Oct-2019</v>
      </c>
      <c r="G3512" s="32" t="s">
        <v>32</v>
      </c>
      <c r="H3512" s="25" t="s">
        <v>287</v>
      </c>
      <c r="I3512" s="25" t="s">
        <v>726</v>
      </c>
      <c r="J3512" s="25" t="s">
        <v>216</v>
      </c>
      <c r="K3512" s="25" t="s">
        <v>9</v>
      </c>
      <c r="L3512" s="25" t="s">
        <v>30</v>
      </c>
      <c r="M3512" s="25"/>
      <c r="N3512" s="25" t="s">
        <v>106</v>
      </c>
    </row>
    <row r="3513">
      <c r="A3513" s="240">
        <v>43750.0</v>
      </c>
      <c r="B3513" s="171" t="s">
        <v>18</v>
      </c>
      <c r="C3513" s="171" t="s">
        <v>84</v>
      </c>
      <c r="D3513" s="279" t="s">
        <v>1240</v>
      </c>
      <c r="E3513" s="240">
        <v>43750.0</v>
      </c>
      <c r="F3513" s="21" t="str">
        <f t="shared" si="265"/>
        <v>Oct-2019</v>
      </c>
      <c r="G3513" s="32" t="s">
        <v>20</v>
      </c>
      <c r="H3513" s="25" t="s">
        <v>287</v>
      </c>
      <c r="I3513" s="25" t="s">
        <v>239</v>
      </c>
      <c r="J3513" s="25" t="s">
        <v>27</v>
      </c>
      <c r="K3513" s="25" t="s">
        <v>9</v>
      </c>
      <c r="L3513" s="25" t="s">
        <v>24</v>
      </c>
      <c r="M3513" s="25" t="s">
        <v>24</v>
      </c>
      <c r="N3513" s="25" t="s">
        <v>37</v>
      </c>
    </row>
    <row r="3514">
      <c r="A3514" s="301" t="s">
        <v>1242</v>
      </c>
      <c r="B3514" s="171" t="s">
        <v>18</v>
      </c>
      <c r="C3514" s="171" t="s">
        <v>84</v>
      </c>
      <c r="D3514" s="279" t="s">
        <v>1240</v>
      </c>
      <c r="E3514" s="240">
        <v>43750.0</v>
      </c>
      <c r="F3514" s="21" t="str">
        <f t="shared" si="265"/>
        <v>Oct-2019</v>
      </c>
      <c r="G3514" s="32" t="s">
        <v>25</v>
      </c>
      <c r="H3514" s="25" t="s">
        <v>287</v>
      </c>
      <c r="I3514" s="25" t="s">
        <v>239</v>
      </c>
      <c r="J3514" s="25" t="s">
        <v>27</v>
      </c>
      <c r="K3514" s="25" t="s">
        <v>9</v>
      </c>
      <c r="L3514" s="25" t="s">
        <v>24</v>
      </c>
      <c r="M3514" s="25"/>
      <c r="N3514" s="25" t="s">
        <v>98</v>
      </c>
    </row>
    <row r="3515">
      <c r="A3515" s="172"/>
      <c r="B3515" s="171" t="s">
        <v>18</v>
      </c>
      <c r="C3515" s="171" t="s">
        <v>84</v>
      </c>
      <c r="D3515" s="279" t="s">
        <v>1240</v>
      </c>
      <c r="E3515" s="240">
        <v>43750.0</v>
      </c>
      <c r="F3515" s="21" t="str">
        <f t="shared" si="265"/>
        <v>Oct-2019</v>
      </c>
      <c r="G3515" s="32" t="s">
        <v>20</v>
      </c>
      <c r="H3515" s="25" t="s">
        <v>287</v>
      </c>
      <c r="I3515" s="25" t="s">
        <v>1243</v>
      </c>
      <c r="J3515" s="25" t="s">
        <v>9</v>
      </c>
      <c r="K3515" s="25" t="s">
        <v>9</v>
      </c>
      <c r="L3515" s="25" t="s">
        <v>30</v>
      </c>
      <c r="M3515" s="25" t="s">
        <v>30</v>
      </c>
      <c r="N3515" s="25" t="s">
        <v>37</v>
      </c>
    </row>
    <row r="3516">
      <c r="A3516" s="171" t="s">
        <v>84</v>
      </c>
      <c r="B3516" s="171" t="s">
        <v>18</v>
      </c>
      <c r="C3516" s="171" t="s">
        <v>84</v>
      </c>
      <c r="D3516" s="279" t="s">
        <v>1240</v>
      </c>
      <c r="E3516" s="240">
        <v>43750.0</v>
      </c>
      <c r="F3516" s="21" t="str">
        <f t="shared" si="265"/>
        <v>Oct-2019</v>
      </c>
      <c r="G3516" s="32" t="s">
        <v>25</v>
      </c>
      <c r="H3516" s="25" t="s">
        <v>287</v>
      </c>
      <c r="I3516" s="25" t="s">
        <v>1243</v>
      </c>
      <c r="J3516" s="25" t="s">
        <v>9</v>
      </c>
      <c r="K3516" s="25" t="s">
        <v>9</v>
      </c>
      <c r="L3516" s="25" t="s">
        <v>30</v>
      </c>
      <c r="M3516" s="25"/>
      <c r="N3516" s="25" t="s">
        <v>37</v>
      </c>
    </row>
    <row r="3517">
      <c r="A3517" s="172"/>
      <c r="B3517" s="171" t="s">
        <v>18</v>
      </c>
      <c r="C3517" s="171" t="s">
        <v>84</v>
      </c>
      <c r="D3517" s="279" t="s">
        <v>1240</v>
      </c>
      <c r="E3517" s="240">
        <v>43750.0</v>
      </c>
      <c r="F3517" s="21" t="str">
        <f t="shared" si="265"/>
        <v>Oct-2019</v>
      </c>
      <c r="G3517" s="32" t="s">
        <v>20</v>
      </c>
      <c r="H3517" s="25" t="s">
        <v>287</v>
      </c>
      <c r="I3517" s="25" t="s">
        <v>839</v>
      </c>
      <c r="J3517" s="25" t="s">
        <v>27</v>
      </c>
      <c r="K3517" s="25" t="s">
        <v>9</v>
      </c>
      <c r="L3517" s="25" t="s">
        <v>30</v>
      </c>
      <c r="M3517" s="25" t="s">
        <v>30</v>
      </c>
      <c r="N3517" s="25" t="s">
        <v>69</v>
      </c>
    </row>
    <row r="3518">
      <c r="A3518" s="172"/>
      <c r="B3518" s="171" t="s">
        <v>18</v>
      </c>
      <c r="C3518" s="171" t="s">
        <v>84</v>
      </c>
      <c r="D3518" s="279" t="s">
        <v>1240</v>
      </c>
      <c r="E3518" s="240">
        <v>43750.0</v>
      </c>
      <c r="F3518" s="21" t="str">
        <f t="shared" si="265"/>
        <v>Oct-2019</v>
      </c>
      <c r="G3518" s="32" t="s">
        <v>25</v>
      </c>
      <c r="H3518" s="25" t="s">
        <v>287</v>
      </c>
      <c r="I3518" s="25" t="s">
        <v>839</v>
      </c>
      <c r="J3518" s="25" t="s">
        <v>27</v>
      </c>
      <c r="K3518" s="25" t="s">
        <v>9</v>
      </c>
      <c r="L3518" s="25" t="s">
        <v>30</v>
      </c>
      <c r="M3518" s="25"/>
      <c r="N3518" s="25" t="s">
        <v>106</v>
      </c>
    </row>
    <row r="3519">
      <c r="A3519" s="172"/>
      <c r="B3519" s="171" t="s">
        <v>18</v>
      </c>
      <c r="C3519" s="171" t="s">
        <v>84</v>
      </c>
      <c r="D3519" s="279" t="s">
        <v>1240</v>
      </c>
      <c r="E3519" s="240">
        <v>43750.0</v>
      </c>
      <c r="F3519" s="21" t="str">
        <f t="shared" si="265"/>
        <v>Oct-2019</v>
      </c>
      <c r="G3519" s="32" t="s">
        <v>20</v>
      </c>
      <c r="H3519" s="25" t="s">
        <v>287</v>
      </c>
      <c r="I3519" s="25" t="s">
        <v>1244</v>
      </c>
      <c r="J3519" s="25" t="s">
        <v>23</v>
      </c>
      <c r="K3519" s="25" t="s">
        <v>9</v>
      </c>
      <c r="L3519" s="25" t="s">
        <v>30</v>
      </c>
      <c r="M3519" s="25" t="s">
        <v>30</v>
      </c>
      <c r="N3519" s="25" t="s">
        <v>37</v>
      </c>
    </row>
    <row r="3520">
      <c r="A3520" s="172"/>
      <c r="B3520" s="171" t="s">
        <v>18</v>
      </c>
      <c r="C3520" s="171" t="s">
        <v>84</v>
      </c>
      <c r="D3520" s="279" t="s">
        <v>1240</v>
      </c>
      <c r="E3520" s="240">
        <v>43750.0</v>
      </c>
      <c r="F3520" s="21" t="str">
        <f t="shared" si="265"/>
        <v>Oct-2019</v>
      </c>
      <c r="G3520" s="32" t="s">
        <v>25</v>
      </c>
      <c r="H3520" s="25" t="s">
        <v>287</v>
      </c>
      <c r="I3520" s="25" t="s">
        <v>1244</v>
      </c>
      <c r="J3520" s="25" t="s">
        <v>23</v>
      </c>
      <c r="K3520" s="25" t="s">
        <v>9</v>
      </c>
      <c r="L3520" s="25" t="s">
        <v>30</v>
      </c>
      <c r="M3520" s="25"/>
      <c r="N3520" s="25" t="s">
        <v>37</v>
      </c>
    </row>
    <row r="3521">
      <c r="A3521" s="172"/>
      <c r="B3521" s="171" t="s">
        <v>18</v>
      </c>
      <c r="C3521" s="171" t="s">
        <v>84</v>
      </c>
      <c r="D3521" s="279" t="s">
        <v>1240</v>
      </c>
      <c r="E3521" s="240">
        <v>43750.0</v>
      </c>
      <c r="F3521" s="21" t="str">
        <f t="shared" si="265"/>
        <v>Oct-2019</v>
      </c>
      <c r="G3521" t="s">
        <v>146</v>
      </c>
      <c r="H3521" s="25" t="s">
        <v>35</v>
      </c>
      <c r="I3521" s="25" t="s">
        <v>1093</v>
      </c>
      <c r="J3521" s="25" t="s">
        <v>86</v>
      </c>
      <c r="K3521" s="25" t="s">
        <v>9</v>
      </c>
      <c r="L3521" s="25" t="s">
        <v>30</v>
      </c>
      <c r="M3521" s="25" t="s">
        <v>30</v>
      </c>
      <c r="N3521" s="25" t="s">
        <v>69</v>
      </c>
    </row>
    <row r="3522">
      <c r="A3522" s="172"/>
      <c r="B3522" s="171" t="s">
        <v>18</v>
      </c>
      <c r="C3522" s="171" t="s">
        <v>84</v>
      </c>
      <c r="D3522" s="279" t="s">
        <v>1240</v>
      </c>
      <c r="E3522" s="240">
        <v>43750.0</v>
      </c>
      <c r="F3522" s="21" t="str">
        <f t="shared" si="265"/>
        <v>Oct-2019</v>
      </c>
      <c r="G3522" t="s">
        <v>149</v>
      </c>
      <c r="H3522" s="25" t="s">
        <v>35</v>
      </c>
      <c r="I3522" s="25" t="s">
        <v>1093</v>
      </c>
      <c r="J3522" s="25" t="s">
        <v>86</v>
      </c>
      <c r="K3522" s="25" t="s">
        <v>9</v>
      </c>
      <c r="L3522" s="25" t="s">
        <v>30</v>
      </c>
      <c r="M3522" s="25"/>
      <c r="N3522" s="25" t="s">
        <v>98</v>
      </c>
    </row>
    <row r="3523">
      <c r="A3523" s="172"/>
      <c r="B3523" s="171" t="s">
        <v>18</v>
      </c>
      <c r="C3523" s="171" t="s">
        <v>84</v>
      </c>
      <c r="D3523" s="279" t="s">
        <v>1240</v>
      </c>
      <c r="E3523" s="240">
        <v>43750.0</v>
      </c>
      <c r="F3523" s="21" t="str">
        <f t="shared" si="265"/>
        <v>Oct-2019</v>
      </c>
      <c r="G3523" t="s">
        <v>222</v>
      </c>
      <c r="H3523" s="25" t="s">
        <v>35</v>
      </c>
      <c r="I3523" s="25" t="s">
        <v>1093</v>
      </c>
      <c r="J3523" s="25" t="s">
        <v>86</v>
      </c>
      <c r="K3523" s="25" t="s">
        <v>9</v>
      </c>
      <c r="L3523" s="25" t="s">
        <v>30</v>
      </c>
      <c r="M3523" s="25"/>
      <c r="N3523" s="25" t="s">
        <v>98</v>
      </c>
    </row>
    <row r="3524">
      <c r="A3524" s="172"/>
      <c r="B3524" s="171" t="s">
        <v>18</v>
      </c>
      <c r="C3524" s="171" t="s">
        <v>84</v>
      </c>
      <c r="D3524" s="279" t="s">
        <v>1240</v>
      </c>
      <c r="E3524" s="240">
        <v>43750.0</v>
      </c>
      <c r="F3524" s="21" t="str">
        <f t="shared" si="265"/>
        <v>Oct-2019</v>
      </c>
      <c r="G3524" t="s">
        <v>146</v>
      </c>
      <c r="H3524" s="25" t="s">
        <v>35</v>
      </c>
      <c r="I3524" s="25" t="s">
        <v>194</v>
      </c>
      <c r="J3524" s="25" t="s">
        <v>23</v>
      </c>
      <c r="K3524" s="25" t="s">
        <v>9</v>
      </c>
      <c r="L3524" s="25" t="s">
        <v>24</v>
      </c>
      <c r="M3524" s="25" t="s">
        <v>24</v>
      </c>
      <c r="N3524" s="25" t="s">
        <v>37</v>
      </c>
    </row>
    <row r="3525">
      <c r="A3525" s="172"/>
      <c r="B3525" s="171" t="s">
        <v>18</v>
      </c>
      <c r="C3525" s="171" t="s">
        <v>84</v>
      </c>
      <c r="D3525" s="279" t="s">
        <v>1240</v>
      </c>
      <c r="E3525" s="240">
        <v>43750.0</v>
      </c>
      <c r="F3525" s="21" t="str">
        <f t="shared" si="265"/>
        <v>Oct-2019</v>
      </c>
      <c r="G3525" t="s">
        <v>149</v>
      </c>
      <c r="H3525" s="25" t="s">
        <v>35</v>
      </c>
      <c r="I3525" s="25" t="s">
        <v>194</v>
      </c>
      <c r="J3525" s="25" t="s">
        <v>27</v>
      </c>
      <c r="K3525" s="25" t="s">
        <v>9</v>
      </c>
      <c r="L3525" s="25" t="s">
        <v>24</v>
      </c>
      <c r="M3525" s="25"/>
      <c r="N3525" s="25" t="s">
        <v>29</v>
      </c>
    </row>
    <row r="3526">
      <c r="A3526" s="172"/>
      <c r="B3526" s="171" t="s">
        <v>18</v>
      </c>
      <c r="C3526" s="171" t="s">
        <v>84</v>
      </c>
      <c r="D3526" s="279" t="s">
        <v>1240</v>
      </c>
      <c r="E3526" s="240">
        <v>43750.0</v>
      </c>
      <c r="F3526" s="21" t="str">
        <f t="shared" si="265"/>
        <v>Oct-2019</v>
      </c>
      <c r="G3526" t="s">
        <v>222</v>
      </c>
      <c r="H3526" s="25" t="s">
        <v>35</v>
      </c>
      <c r="I3526" s="25" t="s">
        <v>194</v>
      </c>
      <c r="J3526" s="25" t="s">
        <v>27</v>
      </c>
      <c r="K3526" s="25" t="s">
        <v>9</v>
      </c>
      <c r="L3526" s="25" t="s">
        <v>30</v>
      </c>
      <c r="M3526" s="25"/>
      <c r="N3526" s="25" t="s">
        <v>106</v>
      </c>
    </row>
    <row r="3527">
      <c r="A3527" s="172"/>
      <c r="B3527" s="171" t="s">
        <v>18</v>
      </c>
      <c r="C3527" s="171" t="s">
        <v>84</v>
      </c>
      <c r="D3527" s="279" t="s">
        <v>1240</v>
      </c>
      <c r="E3527" s="240">
        <v>43750.0</v>
      </c>
      <c r="F3527" s="21" t="str">
        <f t="shared" si="265"/>
        <v>Oct-2019</v>
      </c>
      <c r="G3527" t="s">
        <v>467</v>
      </c>
      <c r="H3527" s="25" t="s">
        <v>35</v>
      </c>
      <c r="I3527" s="25" t="s">
        <v>194</v>
      </c>
      <c r="J3527" s="25" t="s">
        <v>23</v>
      </c>
      <c r="K3527" s="25" t="s">
        <v>9</v>
      </c>
      <c r="L3527" s="25" t="s">
        <v>24</v>
      </c>
      <c r="M3527" s="25"/>
      <c r="N3527" s="25" t="s">
        <v>69</v>
      </c>
    </row>
    <row r="3528">
      <c r="A3528" s="172"/>
      <c r="B3528" s="171" t="s">
        <v>18</v>
      </c>
      <c r="C3528" s="171" t="s">
        <v>84</v>
      </c>
      <c r="D3528" s="279" t="s">
        <v>1240</v>
      </c>
      <c r="E3528" s="240">
        <v>43750.0</v>
      </c>
      <c r="F3528" s="21" t="str">
        <f t="shared" si="265"/>
        <v>Oct-2019</v>
      </c>
      <c r="G3528" t="s">
        <v>146</v>
      </c>
      <c r="H3528" s="25" t="s">
        <v>35</v>
      </c>
      <c r="I3528" s="25" t="s">
        <v>407</v>
      </c>
      <c r="J3528" s="25" t="s">
        <v>44</v>
      </c>
      <c r="K3528" s="25" t="s">
        <v>9</v>
      </c>
      <c r="L3528" s="25" t="s">
        <v>30</v>
      </c>
      <c r="M3528" s="25" t="s">
        <v>30</v>
      </c>
      <c r="N3528" s="25" t="s">
        <v>69</v>
      </c>
    </row>
    <row r="3529">
      <c r="A3529" s="172"/>
      <c r="B3529" s="171" t="s">
        <v>18</v>
      </c>
      <c r="C3529" s="171" t="s">
        <v>84</v>
      </c>
      <c r="D3529" s="279" t="s">
        <v>1240</v>
      </c>
      <c r="E3529" s="240">
        <v>43750.0</v>
      </c>
      <c r="F3529" s="21" t="str">
        <f t="shared" si="265"/>
        <v>Oct-2019</v>
      </c>
      <c r="G3529" t="s">
        <v>149</v>
      </c>
      <c r="H3529" s="25" t="s">
        <v>35</v>
      </c>
      <c r="I3529" s="25" t="s">
        <v>407</v>
      </c>
      <c r="J3529" s="25" t="s">
        <v>44</v>
      </c>
      <c r="K3529" s="25" t="s">
        <v>9</v>
      </c>
      <c r="L3529" s="25" t="s">
        <v>30</v>
      </c>
      <c r="M3529" s="25"/>
      <c r="N3529" s="25" t="s">
        <v>29</v>
      </c>
    </row>
    <row r="3530">
      <c r="A3530" s="172"/>
      <c r="B3530" s="171" t="s">
        <v>18</v>
      </c>
      <c r="C3530" s="171" t="s">
        <v>84</v>
      </c>
      <c r="D3530" s="279" t="s">
        <v>1240</v>
      </c>
      <c r="E3530" s="240">
        <v>43750.0</v>
      </c>
      <c r="F3530" s="21" t="str">
        <f t="shared" si="265"/>
        <v>Oct-2019</v>
      </c>
      <c r="G3530" t="s">
        <v>222</v>
      </c>
      <c r="H3530" s="25" t="s">
        <v>35</v>
      </c>
      <c r="I3530" s="25" t="s">
        <v>407</v>
      </c>
      <c r="J3530" s="25" t="s">
        <v>44</v>
      </c>
      <c r="K3530" s="25" t="s">
        <v>9</v>
      </c>
      <c r="L3530" s="25" t="s">
        <v>30</v>
      </c>
      <c r="M3530" s="25"/>
      <c r="N3530" s="25" t="s">
        <v>69</v>
      </c>
    </row>
    <row r="3531">
      <c r="A3531" s="172"/>
      <c r="B3531" s="171" t="s">
        <v>18</v>
      </c>
      <c r="C3531" s="171" t="s">
        <v>84</v>
      </c>
      <c r="D3531" s="279" t="s">
        <v>1240</v>
      </c>
      <c r="E3531" s="240">
        <v>43750.0</v>
      </c>
      <c r="F3531" s="21" t="str">
        <f t="shared" si="265"/>
        <v>Oct-2019</v>
      </c>
      <c r="G3531" t="s">
        <v>146</v>
      </c>
      <c r="H3531" s="25" t="s">
        <v>35</v>
      </c>
      <c r="I3531" s="25" t="s">
        <v>497</v>
      </c>
      <c r="J3531" s="25" t="s">
        <v>9</v>
      </c>
      <c r="K3531" s="25" t="s">
        <v>9</v>
      </c>
      <c r="L3531" s="25" t="s">
        <v>24</v>
      </c>
      <c r="M3531" s="25" t="s">
        <v>24</v>
      </c>
      <c r="N3531" s="25" t="s">
        <v>69</v>
      </c>
    </row>
    <row r="3532">
      <c r="A3532" s="172"/>
      <c r="B3532" s="171" t="s">
        <v>18</v>
      </c>
      <c r="C3532" s="171" t="s">
        <v>84</v>
      </c>
      <c r="D3532" s="279" t="s">
        <v>1240</v>
      </c>
      <c r="E3532" s="240">
        <v>43750.0</v>
      </c>
      <c r="F3532" s="21" t="str">
        <f t="shared" si="265"/>
        <v>Oct-2019</v>
      </c>
      <c r="G3532" t="s">
        <v>149</v>
      </c>
      <c r="H3532" s="25" t="s">
        <v>35</v>
      </c>
      <c r="I3532" s="25" t="s">
        <v>497</v>
      </c>
      <c r="J3532" s="25" t="s">
        <v>9</v>
      </c>
      <c r="K3532" s="25" t="s">
        <v>9</v>
      </c>
      <c r="L3532" s="25" t="s">
        <v>24</v>
      </c>
      <c r="M3532" s="25"/>
      <c r="N3532" s="25" t="s">
        <v>106</v>
      </c>
    </row>
    <row r="3533">
      <c r="A3533" s="172"/>
      <c r="B3533" s="171" t="s">
        <v>18</v>
      </c>
      <c r="C3533" s="171" t="s">
        <v>84</v>
      </c>
      <c r="D3533" s="279" t="s">
        <v>1240</v>
      </c>
      <c r="E3533" s="240">
        <v>43750.0</v>
      </c>
      <c r="F3533" s="21" t="str">
        <f t="shared" si="265"/>
        <v>Oct-2019</v>
      </c>
      <c r="G3533" t="s">
        <v>222</v>
      </c>
      <c r="H3533" s="25" t="s">
        <v>35</v>
      </c>
      <c r="I3533" s="25" t="s">
        <v>497</v>
      </c>
      <c r="J3533" s="25" t="s">
        <v>9</v>
      </c>
      <c r="K3533" s="25" t="s">
        <v>9</v>
      </c>
      <c r="L3533" s="25" t="s">
        <v>30</v>
      </c>
      <c r="M3533" s="25"/>
      <c r="N3533" s="25" t="s">
        <v>69</v>
      </c>
    </row>
    <row r="3534">
      <c r="A3534" s="172"/>
      <c r="B3534" s="171" t="s">
        <v>18</v>
      </c>
      <c r="C3534" s="171" t="s">
        <v>84</v>
      </c>
      <c r="D3534" s="279" t="s">
        <v>1240</v>
      </c>
      <c r="E3534" s="240">
        <v>43750.0</v>
      </c>
      <c r="F3534" s="21" t="str">
        <f t="shared" si="265"/>
        <v>Oct-2019</v>
      </c>
      <c r="G3534" t="s">
        <v>467</v>
      </c>
      <c r="H3534" s="25" t="s">
        <v>35</v>
      </c>
      <c r="I3534" s="25" t="s">
        <v>497</v>
      </c>
      <c r="J3534" s="25" t="s">
        <v>9</v>
      </c>
      <c r="K3534" s="25" t="s">
        <v>9</v>
      </c>
      <c r="L3534" s="25" t="s">
        <v>24</v>
      </c>
      <c r="M3534" s="25"/>
      <c r="N3534" s="25" t="s">
        <v>98</v>
      </c>
    </row>
    <row r="3535">
      <c r="A3535" s="94"/>
      <c r="F3535" s="21"/>
    </row>
    <row r="3536">
      <c r="A3536" s="279" t="s">
        <v>1245</v>
      </c>
      <c r="B3536" s="171" t="s">
        <v>18</v>
      </c>
      <c r="C3536" s="171" t="s">
        <v>74</v>
      </c>
      <c r="D3536" s="279" t="s">
        <v>1245</v>
      </c>
      <c r="E3536" s="240">
        <v>43759.0</v>
      </c>
      <c r="F3536" s="21" t="str">
        <f>TEXT(E3536, "mmm") &amp; "-" &amp; TEXT(E3536, "yyyy") </f>
        <v>Oct-2019</v>
      </c>
      <c r="G3536" s="32" t="s">
        <v>20</v>
      </c>
      <c r="H3536" s="25" t="s">
        <v>35</v>
      </c>
      <c r="I3536" s="25" t="s">
        <v>1246</v>
      </c>
      <c r="J3536" s="25" t="s">
        <v>9</v>
      </c>
      <c r="K3536" s="25" t="s">
        <v>9</v>
      </c>
      <c r="L3536" s="25" t="s">
        <v>30</v>
      </c>
      <c r="M3536" s="25" t="s">
        <v>30</v>
      </c>
      <c r="N3536" s="25" t="s">
        <v>98</v>
      </c>
    </row>
    <row r="3537">
      <c r="A3537" s="171" t="s">
        <v>18</v>
      </c>
      <c r="B3537" s="171" t="s">
        <v>18</v>
      </c>
      <c r="C3537" s="171" t="s">
        <v>74</v>
      </c>
      <c r="D3537" s="279" t="s">
        <v>1245</v>
      </c>
      <c r="E3537" s="240">
        <v>43759.0</v>
      </c>
      <c r="F3537" s="21" t="str">
        <f>TEXT(E3536:E3537, "mmm") &amp; "-" &amp; TEXT(E3536:E3537, "yyyy") </f>
        <v>Oct-2019</v>
      </c>
      <c r="G3537" s="32" t="s">
        <v>25</v>
      </c>
      <c r="H3537" s="25" t="s">
        <v>35</v>
      </c>
      <c r="I3537" s="25" t="s">
        <v>1246</v>
      </c>
      <c r="J3537" s="25" t="s">
        <v>9</v>
      </c>
      <c r="K3537" s="25" t="s">
        <v>9</v>
      </c>
      <c r="L3537" s="25" t="s">
        <v>30</v>
      </c>
      <c r="N3537" s="25" t="s">
        <v>99</v>
      </c>
    </row>
    <row r="3538">
      <c r="A3538" s="240">
        <v>43759.0</v>
      </c>
      <c r="B3538" s="171" t="s">
        <v>18</v>
      </c>
      <c r="C3538" s="171" t="s">
        <v>74</v>
      </c>
      <c r="D3538" s="279" t="s">
        <v>1245</v>
      </c>
      <c r="E3538" s="240">
        <v>43759.0</v>
      </c>
      <c r="F3538" s="21" t="str">
        <f>TEXT(E3536:E3538, "mmm") &amp; "-" &amp; TEXT(E3536:E3538, "yyyy") </f>
        <v>Oct-2019</v>
      </c>
      <c r="G3538" s="32" t="s">
        <v>20</v>
      </c>
      <c r="H3538" s="25" t="s">
        <v>35</v>
      </c>
      <c r="I3538" s="25" t="s">
        <v>1247</v>
      </c>
      <c r="J3538" s="25" t="s">
        <v>64</v>
      </c>
      <c r="K3538" s="25" t="s">
        <v>9</v>
      </c>
      <c r="L3538" s="25" t="s">
        <v>24</v>
      </c>
      <c r="M3538" s="25" t="s">
        <v>24</v>
      </c>
      <c r="N3538" s="25" t="s">
        <v>98</v>
      </c>
    </row>
    <row r="3539">
      <c r="A3539" s="301" t="s">
        <v>1248</v>
      </c>
      <c r="B3539" s="171" t="s">
        <v>18</v>
      </c>
      <c r="C3539" s="171" t="s">
        <v>74</v>
      </c>
      <c r="D3539" s="279" t="s">
        <v>1245</v>
      </c>
      <c r="E3539" s="240">
        <v>43759.0</v>
      </c>
      <c r="F3539" s="21" t="str">
        <f>TEXT(E3536:E3539, "mmm") &amp; "-" &amp; TEXT(E3536:E3539, "yyyy") </f>
        <v>Oct-2019</v>
      </c>
      <c r="G3539" s="32" t="s">
        <v>25</v>
      </c>
      <c r="H3539" s="25" t="s">
        <v>35</v>
      </c>
      <c r="I3539" s="25" t="s">
        <v>1247</v>
      </c>
      <c r="J3539" s="25" t="s">
        <v>64</v>
      </c>
      <c r="K3539" s="25" t="s">
        <v>9</v>
      </c>
      <c r="L3539" s="25" t="s">
        <v>24</v>
      </c>
      <c r="N3539" s="25" t="s">
        <v>106</v>
      </c>
    </row>
    <row r="3540">
      <c r="A3540" s="172"/>
      <c r="B3540" s="171" t="s">
        <v>18</v>
      </c>
      <c r="C3540" s="171" t="s">
        <v>74</v>
      </c>
      <c r="D3540" s="279" t="s">
        <v>1245</v>
      </c>
      <c r="E3540" s="240">
        <v>43759.0</v>
      </c>
      <c r="F3540" s="21" t="str">
        <f>TEXT(E3536:E3540, "mmm") &amp; "-" &amp; TEXT(E3536:E3540, "yyyy") </f>
        <v>Oct-2019</v>
      </c>
      <c r="G3540" s="32" t="s">
        <v>20</v>
      </c>
      <c r="H3540" s="25" t="s">
        <v>35</v>
      </c>
      <c r="I3540" s="25" t="s">
        <v>127</v>
      </c>
      <c r="J3540" s="25" t="s">
        <v>27</v>
      </c>
      <c r="K3540" s="25" t="s">
        <v>9</v>
      </c>
      <c r="L3540" s="25" t="s">
        <v>30</v>
      </c>
      <c r="M3540" s="25" t="s">
        <v>30</v>
      </c>
      <c r="N3540" s="25" t="s">
        <v>37</v>
      </c>
    </row>
    <row r="3541">
      <c r="A3541" s="171" t="s">
        <v>74</v>
      </c>
      <c r="B3541" s="171" t="s">
        <v>18</v>
      </c>
      <c r="C3541" s="171" t="s">
        <v>74</v>
      </c>
      <c r="D3541" s="279" t="s">
        <v>1245</v>
      </c>
      <c r="E3541" s="240">
        <v>43759.0</v>
      </c>
      <c r="F3541" s="21" t="str">
        <f>TEXT(E3536:E3541, "mmm") &amp; "-" &amp; TEXT(E3536:E3541, "yyyy") </f>
        <v>Oct-2019</v>
      </c>
      <c r="G3541" s="32" t="s">
        <v>25</v>
      </c>
      <c r="H3541" s="25" t="s">
        <v>35</v>
      </c>
      <c r="I3541" s="25" t="s">
        <v>127</v>
      </c>
      <c r="J3541" s="25" t="s">
        <v>27</v>
      </c>
      <c r="K3541" s="25" t="s">
        <v>9</v>
      </c>
      <c r="L3541" s="25" t="s">
        <v>30</v>
      </c>
      <c r="N3541" s="25" t="s">
        <v>99</v>
      </c>
    </row>
    <row r="3542">
      <c r="A3542" s="172"/>
      <c r="B3542" s="171" t="s">
        <v>18</v>
      </c>
      <c r="C3542" s="171" t="s">
        <v>74</v>
      </c>
      <c r="D3542" s="279" t="s">
        <v>1245</v>
      </c>
      <c r="E3542" s="240">
        <v>43759.0</v>
      </c>
      <c r="F3542" s="21" t="str">
        <f>TEXT(E3536:E3542, "mmm") &amp; "-" &amp; TEXT(E3536:E3542, "yyyy") </f>
        <v>Oct-2019</v>
      </c>
      <c r="G3542" s="32" t="s">
        <v>20</v>
      </c>
      <c r="H3542" s="25" t="s">
        <v>35</v>
      </c>
      <c r="I3542" s="25" t="s">
        <v>726</v>
      </c>
      <c r="J3542" s="25" t="s">
        <v>216</v>
      </c>
      <c r="K3542" s="25" t="s">
        <v>9</v>
      </c>
      <c r="L3542" s="25" t="s">
        <v>30</v>
      </c>
      <c r="M3542" s="25" t="s">
        <v>30</v>
      </c>
      <c r="N3542" s="25" t="s">
        <v>37</v>
      </c>
    </row>
    <row r="3543">
      <c r="A3543" s="172"/>
      <c r="B3543" s="171" t="s">
        <v>18</v>
      </c>
      <c r="C3543" s="171" t="s">
        <v>74</v>
      </c>
      <c r="D3543" s="279" t="s">
        <v>1245</v>
      </c>
      <c r="E3543" s="240">
        <v>43759.0</v>
      </c>
      <c r="F3543" s="21" t="str">
        <f>TEXT(E3536:E3543, "mmm") &amp; "-" &amp; TEXT(E3536:E3543, "yyyy") </f>
        <v>Oct-2019</v>
      </c>
      <c r="G3543" s="32" t="s">
        <v>25</v>
      </c>
      <c r="H3543" s="25" t="s">
        <v>35</v>
      </c>
      <c r="I3543" s="25" t="s">
        <v>726</v>
      </c>
      <c r="J3543" s="25" t="s">
        <v>216</v>
      </c>
      <c r="K3543" s="25" t="s">
        <v>9</v>
      </c>
      <c r="L3543" s="25" t="s">
        <v>30</v>
      </c>
      <c r="N3543" s="25" t="s">
        <v>99</v>
      </c>
    </row>
    <row r="3544">
      <c r="A3544" s="172"/>
      <c r="B3544" s="171" t="s">
        <v>18</v>
      </c>
      <c r="C3544" s="171" t="s">
        <v>74</v>
      </c>
      <c r="D3544" s="279" t="s">
        <v>1245</v>
      </c>
      <c r="E3544" s="240">
        <v>43759.0</v>
      </c>
      <c r="F3544" s="21" t="str">
        <f t="shared" ref="F3544:F3546" si="266">TEXT(E3536:E3544, "mmm") &amp; "-" &amp; TEXT(E3536:E3544, "yyyy") </f>
        <v>Oct-2019</v>
      </c>
      <c r="G3544" s="32" t="s">
        <v>20</v>
      </c>
      <c r="H3544" s="25" t="s">
        <v>35</v>
      </c>
      <c r="I3544" s="25" t="s">
        <v>361</v>
      </c>
      <c r="J3544" s="25" t="s">
        <v>44</v>
      </c>
      <c r="K3544" s="25" t="s">
        <v>9</v>
      </c>
      <c r="L3544" s="25" t="s">
        <v>30</v>
      </c>
      <c r="M3544" s="25" t="s">
        <v>24</v>
      </c>
      <c r="N3544" s="25" t="s">
        <v>98</v>
      </c>
    </row>
    <row r="3545">
      <c r="A3545" s="172"/>
      <c r="B3545" s="171" t="s">
        <v>18</v>
      </c>
      <c r="C3545" s="171" t="s">
        <v>74</v>
      </c>
      <c r="D3545" s="279" t="s">
        <v>1245</v>
      </c>
      <c r="E3545" s="240">
        <v>43759.0</v>
      </c>
      <c r="F3545" s="21" t="str">
        <f t="shared" si="266"/>
        <v>Oct-2019</v>
      </c>
      <c r="G3545" s="32" t="s">
        <v>25</v>
      </c>
      <c r="H3545" s="25" t="s">
        <v>35</v>
      </c>
      <c r="I3545" s="25" t="s">
        <v>361</v>
      </c>
      <c r="J3545" s="25" t="s">
        <v>44</v>
      </c>
      <c r="K3545" s="25" t="s">
        <v>9</v>
      </c>
      <c r="L3545" s="25" t="s">
        <v>24</v>
      </c>
      <c r="N3545" s="25" t="s">
        <v>99</v>
      </c>
    </row>
    <row r="3546">
      <c r="A3546" s="172"/>
      <c r="B3546" s="171" t="s">
        <v>18</v>
      </c>
      <c r="C3546" s="171" t="s">
        <v>74</v>
      </c>
      <c r="D3546" s="279" t="s">
        <v>1245</v>
      </c>
      <c r="E3546" s="240">
        <v>43759.0</v>
      </c>
      <c r="F3546" s="21" t="str">
        <f t="shared" si="266"/>
        <v>Oct-2019</v>
      </c>
      <c r="G3546" s="32" t="s">
        <v>32</v>
      </c>
      <c r="H3546" s="25" t="s">
        <v>35</v>
      </c>
      <c r="I3546" s="25" t="s">
        <v>361</v>
      </c>
      <c r="J3546" s="25" t="s">
        <v>44</v>
      </c>
      <c r="K3546" s="25" t="s">
        <v>9</v>
      </c>
      <c r="L3546" s="25" t="s">
        <v>24</v>
      </c>
      <c r="N3546" s="25" t="s">
        <v>106</v>
      </c>
    </row>
    <row r="3547">
      <c r="A3547" s="94"/>
      <c r="F3547" s="21"/>
    </row>
    <row r="3548">
      <c r="A3548" s="279" t="s">
        <v>1249</v>
      </c>
      <c r="B3548" s="171" t="s">
        <v>1250</v>
      </c>
      <c r="C3548" s="171" t="s">
        <v>74</v>
      </c>
      <c r="D3548" s="279" t="s">
        <v>1249</v>
      </c>
      <c r="E3548" s="240">
        <v>43767.0</v>
      </c>
      <c r="F3548" s="21" t="str">
        <f t="shared" ref="F3548:F3564" si="267">TEXT(E3540:E3548, "mmm") &amp; "-" &amp; TEXT(E3540:E3548, "yyyy") </f>
        <v>Oct-2019</v>
      </c>
      <c r="G3548" s="32" t="s">
        <v>20</v>
      </c>
      <c r="H3548" s="25" t="s">
        <v>35</v>
      </c>
      <c r="I3548" s="25" t="s">
        <v>463</v>
      </c>
      <c r="J3548" s="25" t="s">
        <v>9</v>
      </c>
      <c r="K3548" s="25" t="s">
        <v>9</v>
      </c>
      <c r="L3548" s="25" t="s">
        <v>24</v>
      </c>
      <c r="M3548" s="25" t="s">
        <v>24</v>
      </c>
      <c r="N3548" s="25" t="s">
        <v>98</v>
      </c>
    </row>
    <row r="3549">
      <c r="A3549" s="171" t="s">
        <v>1250</v>
      </c>
      <c r="B3549" s="171" t="s">
        <v>1250</v>
      </c>
      <c r="C3549" s="171" t="s">
        <v>74</v>
      </c>
      <c r="D3549" s="279" t="s">
        <v>1249</v>
      </c>
      <c r="E3549" s="240">
        <v>43767.0</v>
      </c>
      <c r="F3549" s="21" t="str">
        <f t="shared" si="267"/>
        <v>Oct-2019</v>
      </c>
      <c r="G3549" s="32" t="s">
        <v>25</v>
      </c>
      <c r="H3549" s="25" t="s">
        <v>35</v>
      </c>
      <c r="I3549" s="25" t="s">
        <v>463</v>
      </c>
      <c r="J3549" s="25" t="s">
        <v>9</v>
      </c>
      <c r="K3549" s="25" t="s">
        <v>9</v>
      </c>
      <c r="L3549" s="25" t="s">
        <v>30</v>
      </c>
      <c r="N3549" s="25" t="s">
        <v>69</v>
      </c>
    </row>
    <row r="3550">
      <c r="A3550" s="240">
        <v>43767.0</v>
      </c>
      <c r="B3550" s="171" t="s">
        <v>1250</v>
      </c>
      <c r="C3550" s="171" t="s">
        <v>74</v>
      </c>
      <c r="D3550" s="279" t="s">
        <v>1249</v>
      </c>
      <c r="E3550" s="240">
        <v>43767.0</v>
      </c>
      <c r="F3550" s="21" t="str">
        <f t="shared" si="267"/>
        <v>Oct-2019</v>
      </c>
      <c r="G3550" s="32" t="s">
        <v>32</v>
      </c>
      <c r="H3550" s="25" t="s">
        <v>35</v>
      </c>
      <c r="I3550" s="25" t="s">
        <v>463</v>
      </c>
      <c r="J3550" s="25" t="s">
        <v>9</v>
      </c>
      <c r="K3550" s="25" t="s">
        <v>9</v>
      </c>
      <c r="L3550" s="25" t="s">
        <v>24</v>
      </c>
      <c r="N3550" s="25" t="s">
        <v>37</v>
      </c>
    </row>
    <row r="3551">
      <c r="A3551" s="301" t="s">
        <v>1251</v>
      </c>
      <c r="B3551" s="171" t="s">
        <v>1250</v>
      </c>
      <c r="C3551" s="171" t="s">
        <v>74</v>
      </c>
      <c r="D3551" s="279" t="s">
        <v>1249</v>
      </c>
      <c r="E3551" s="240">
        <v>43767.0</v>
      </c>
      <c r="F3551" s="21" t="str">
        <f t="shared" si="267"/>
        <v>Oct-2019</v>
      </c>
      <c r="G3551" s="32" t="s">
        <v>20</v>
      </c>
      <c r="H3551" s="25" t="s">
        <v>35</v>
      </c>
      <c r="I3551" s="25" t="s">
        <v>1252</v>
      </c>
      <c r="J3551" s="25" t="s">
        <v>71</v>
      </c>
      <c r="K3551" s="25" t="s">
        <v>9</v>
      </c>
      <c r="L3551" s="25" t="s">
        <v>30</v>
      </c>
      <c r="M3551" s="25" t="s">
        <v>30</v>
      </c>
      <c r="N3551" s="25" t="s">
        <v>99</v>
      </c>
    </row>
    <row r="3552">
      <c r="A3552" s="301" t="s">
        <v>1253</v>
      </c>
      <c r="B3552" s="171" t="s">
        <v>1250</v>
      </c>
      <c r="C3552" s="171" t="s">
        <v>74</v>
      </c>
      <c r="D3552" s="279" t="s">
        <v>1249</v>
      </c>
      <c r="E3552" s="240">
        <v>43767.0</v>
      </c>
      <c r="F3552" s="21" t="str">
        <f t="shared" si="267"/>
        <v>Oct-2019</v>
      </c>
      <c r="G3552" s="32" t="s">
        <v>25</v>
      </c>
      <c r="H3552" s="25" t="s">
        <v>35</v>
      </c>
      <c r="I3552" s="25" t="s">
        <v>1252</v>
      </c>
      <c r="J3552" s="25" t="s">
        <v>882</v>
      </c>
      <c r="K3552" s="25" t="s">
        <v>9</v>
      </c>
      <c r="L3552" s="25" t="s">
        <v>30</v>
      </c>
      <c r="N3552" s="25" t="s">
        <v>106</v>
      </c>
    </row>
    <row r="3553">
      <c r="A3553" s="172"/>
      <c r="B3553" s="171" t="s">
        <v>1250</v>
      </c>
      <c r="C3553" s="171" t="s">
        <v>74</v>
      </c>
      <c r="D3553" s="279" t="s">
        <v>1249</v>
      </c>
      <c r="E3553" s="240">
        <v>43767.0</v>
      </c>
      <c r="F3553" s="21" t="str">
        <f t="shared" si="267"/>
        <v>Oct-2019</v>
      </c>
      <c r="G3553" s="32" t="s">
        <v>20</v>
      </c>
      <c r="H3553" s="25" t="s">
        <v>35</v>
      </c>
      <c r="I3553" s="25" t="s">
        <v>911</v>
      </c>
      <c r="J3553" s="25" t="s">
        <v>44</v>
      </c>
      <c r="K3553" s="25" t="s">
        <v>9</v>
      </c>
      <c r="L3553" s="25" t="s">
        <v>30</v>
      </c>
      <c r="M3553" s="25" t="s">
        <v>30</v>
      </c>
      <c r="N3553" s="25" t="s">
        <v>98</v>
      </c>
    </row>
    <row r="3554">
      <c r="A3554" s="171" t="s">
        <v>74</v>
      </c>
      <c r="B3554" s="171" t="s">
        <v>1250</v>
      </c>
      <c r="C3554" s="171" t="s">
        <v>74</v>
      </c>
      <c r="D3554" s="279" t="s">
        <v>1249</v>
      </c>
      <c r="E3554" s="240">
        <v>43767.0</v>
      </c>
      <c r="F3554" s="21" t="str">
        <f t="shared" si="267"/>
        <v>Oct-2019</v>
      </c>
      <c r="G3554" s="32" t="s">
        <v>25</v>
      </c>
      <c r="H3554" s="25" t="s">
        <v>35</v>
      </c>
      <c r="I3554" s="25" t="s">
        <v>911</v>
      </c>
      <c r="J3554" s="25" t="s">
        <v>27</v>
      </c>
      <c r="K3554" s="25" t="s">
        <v>9</v>
      </c>
      <c r="L3554" s="25" t="s">
        <v>24</v>
      </c>
      <c r="N3554" s="25" t="s">
        <v>37</v>
      </c>
    </row>
    <row r="3555">
      <c r="A3555" s="172"/>
      <c r="B3555" s="171" t="s">
        <v>1250</v>
      </c>
      <c r="C3555" s="171" t="s">
        <v>74</v>
      </c>
      <c r="D3555" s="279" t="s">
        <v>1249</v>
      </c>
      <c r="E3555" s="240">
        <v>43767.0</v>
      </c>
      <c r="F3555" s="21" t="str">
        <f t="shared" si="267"/>
        <v>Oct-2019</v>
      </c>
      <c r="G3555" s="32" t="s">
        <v>32</v>
      </c>
      <c r="H3555" s="25" t="s">
        <v>35</v>
      </c>
      <c r="I3555" s="25" t="s">
        <v>911</v>
      </c>
      <c r="J3555" s="25" t="s">
        <v>27</v>
      </c>
      <c r="K3555" s="25" t="s">
        <v>9</v>
      </c>
      <c r="L3555" s="25" t="s">
        <v>30</v>
      </c>
      <c r="N3555" s="25" t="s">
        <v>106</v>
      </c>
    </row>
    <row r="3556">
      <c r="A3556" s="172"/>
      <c r="B3556" s="171" t="s">
        <v>1250</v>
      </c>
      <c r="C3556" s="171" t="s">
        <v>74</v>
      </c>
      <c r="D3556" s="279" t="s">
        <v>1249</v>
      </c>
      <c r="E3556" s="240">
        <v>43767.0</v>
      </c>
      <c r="F3556" s="21" t="str">
        <f t="shared" si="267"/>
        <v>Oct-2019</v>
      </c>
      <c r="G3556" s="32" t="s">
        <v>20</v>
      </c>
      <c r="H3556" s="25" t="s">
        <v>35</v>
      </c>
      <c r="I3556" s="25" t="s">
        <v>393</v>
      </c>
      <c r="J3556" s="25" t="s">
        <v>102</v>
      </c>
      <c r="K3556" s="25" t="s">
        <v>9</v>
      </c>
      <c r="L3556" s="25" t="s">
        <v>24</v>
      </c>
      <c r="M3556" s="25" t="s">
        <v>24</v>
      </c>
      <c r="N3556" s="25" t="s">
        <v>99</v>
      </c>
    </row>
    <row r="3557">
      <c r="A3557" s="172"/>
      <c r="B3557" s="171" t="s">
        <v>1250</v>
      </c>
      <c r="C3557" s="171" t="s">
        <v>74</v>
      </c>
      <c r="D3557" s="279" t="s">
        <v>1249</v>
      </c>
      <c r="E3557" s="240">
        <v>43767.0</v>
      </c>
      <c r="F3557" s="21" t="str">
        <f t="shared" si="267"/>
        <v>Oct-2019</v>
      </c>
      <c r="G3557" s="32" t="s">
        <v>25</v>
      </c>
      <c r="H3557" s="25" t="s">
        <v>35</v>
      </c>
      <c r="I3557" s="25" t="s">
        <v>393</v>
      </c>
      <c r="J3557" s="25" t="s">
        <v>102</v>
      </c>
      <c r="K3557" s="25" t="s">
        <v>9</v>
      </c>
      <c r="L3557" s="25" t="s">
        <v>24</v>
      </c>
      <c r="N3557" s="25" t="s">
        <v>1254</v>
      </c>
    </row>
    <row r="3558">
      <c r="A3558" s="172"/>
      <c r="B3558" s="171" t="s">
        <v>1250</v>
      </c>
      <c r="C3558" s="171" t="s">
        <v>74</v>
      </c>
      <c r="D3558" s="279" t="s">
        <v>1249</v>
      </c>
      <c r="E3558" s="240">
        <v>43767.0</v>
      </c>
      <c r="F3558" s="21" t="str">
        <f t="shared" si="267"/>
        <v>Oct-2019</v>
      </c>
      <c r="G3558" s="32" t="s">
        <v>20</v>
      </c>
      <c r="H3558" s="25" t="s">
        <v>277</v>
      </c>
      <c r="I3558" s="25" t="s">
        <v>655</v>
      </c>
      <c r="J3558" s="25" t="s">
        <v>86</v>
      </c>
      <c r="K3558" s="25" t="s">
        <v>27</v>
      </c>
      <c r="L3558" s="25" t="s">
        <v>30</v>
      </c>
      <c r="M3558" s="25" t="s">
        <v>30</v>
      </c>
      <c r="N3558" s="25" t="s">
        <v>69</v>
      </c>
    </row>
    <row r="3559">
      <c r="A3559" s="172"/>
      <c r="B3559" s="171" t="s">
        <v>1250</v>
      </c>
      <c r="C3559" s="171" t="s">
        <v>74</v>
      </c>
      <c r="D3559" s="279" t="s">
        <v>1249</v>
      </c>
      <c r="E3559" s="240">
        <v>43767.0</v>
      </c>
      <c r="F3559" s="21" t="str">
        <f t="shared" si="267"/>
        <v>Oct-2019</v>
      </c>
      <c r="G3559" s="32" t="s">
        <v>25</v>
      </c>
      <c r="H3559" s="25" t="s">
        <v>277</v>
      </c>
      <c r="I3559" s="25" t="s">
        <v>655</v>
      </c>
      <c r="J3559" s="25" t="s">
        <v>86</v>
      </c>
      <c r="K3559" s="25" t="s">
        <v>27</v>
      </c>
      <c r="L3559" s="25" t="s">
        <v>30</v>
      </c>
      <c r="N3559" s="25" t="s">
        <v>98</v>
      </c>
    </row>
    <row r="3560">
      <c r="A3560" s="172"/>
      <c r="B3560" s="171" t="s">
        <v>1250</v>
      </c>
      <c r="C3560" s="171" t="s">
        <v>74</v>
      </c>
      <c r="D3560" s="279" t="s">
        <v>1249</v>
      </c>
      <c r="E3560" s="240">
        <v>43767.0</v>
      </c>
      <c r="F3560" s="21" t="str">
        <f t="shared" si="267"/>
        <v>Oct-2019</v>
      </c>
      <c r="G3560" s="32" t="s">
        <v>20</v>
      </c>
      <c r="H3560" s="25" t="s">
        <v>277</v>
      </c>
      <c r="I3560" s="25" t="s">
        <v>68</v>
      </c>
      <c r="J3560" s="25" t="s">
        <v>27</v>
      </c>
      <c r="K3560" s="25" t="s">
        <v>27</v>
      </c>
      <c r="L3560" s="25" t="s">
        <v>24</v>
      </c>
      <c r="M3560" s="25" t="s">
        <v>24</v>
      </c>
      <c r="N3560" s="25" t="s">
        <v>37</v>
      </c>
    </row>
    <row r="3561">
      <c r="A3561" s="172"/>
      <c r="B3561" s="171" t="s">
        <v>1250</v>
      </c>
      <c r="C3561" s="171" t="s">
        <v>74</v>
      </c>
      <c r="D3561" s="279" t="s">
        <v>1249</v>
      </c>
      <c r="E3561" s="240">
        <v>43767.0</v>
      </c>
      <c r="F3561" s="21" t="str">
        <f t="shared" si="267"/>
        <v>Oct-2019</v>
      </c>
      <c r="G3561" s="32" t="s">
        <v>25</v>
      </c>
      <c r="H3561" s="25" t="s">
        <v>277</v>
      </c>
      <c r="I3561" s="25" t="s">
        <v>68</v>
      </c>
      <c r="J3561" s="25" t="s">
        <v>27</v>
      </c>
      <c r="K3561" s="25" t="s">
        <v>27</v>
      </c>
      <c r="L3561" s="25" t="s">
        <v>24</v>
      </c>
      <c r="N3561" s="25" t="s">
        <v>106</v>
      </c>
    </row>
    <row r="3562">
      <c r="A3562" s="172"/>
      <c r="B3562" s="171" t="s">
        <v>1250</v>
      </c>
      <c r="C3562" s="171" t="s">
        <v>74</v>
      </c>
      <c r="D3562" s="279" t="s">
        <v>1249</v>
      </c>
      <c r="E3562" s="240">
        <v>43767.0</v>
      </c>
      <c r="F3562" s="21" t="str">
        <f t="shared" si="267"/>
        <v>Oct-2019</v>
      </c>
      <c r="G3562" s="32" t="s">
        <v>20</v>
      </c>
      <c r="H3562" s="25" t="s">
        <v>277</v>
      </c>
      <c r="I3562" s="25" t="s">
        <v>407</v>
      </c>
      <c r="J3562" s="25" t="s">
        <v>44</v>
      </c>
      <c r="K3562" s="25" t="s">
        <v>27</v>
      </c>
      <c r="L3562" s="25" t="s">
        <v>30</v>
      </c>
      <c r="M3562" s="25" t="s">
        <v>24</v>
      </c>
      <c r="N3562" s="25" t="s">
        <v>69</v>
      </c>
    </row>
    <row r="3563">
      <c r="A3563" s="172"/>
      <c r="B3563" s="171" t="s">
        <v>1250</v>
      </c>
      <c r="C3563" s="171" t="s">
        <v>74</v>
      </c>
      <c r="D3563" s="279" t="s">
        <v>1249</v>
      </c>
      <c r="E3563" s="240">
        <v>43767.0</v>
      </c>
      <c r="F3563" s="21" t="str">
        <f t="shared" si="267"/>
        <v>Oct-2019</v>
      </c>
      <c r="G3563" s="32" t="s">
        <v>25</v>
      </c>
      <c r="H3563" s="25" t="s">
        <v>277</v>
      </c>
      <c r="I3563" s="25" t="s">
        <v>407</v>
      </c>
      <c r="J3563" s="25" t="s">
        <v>44</v>
      </c>
      <c r="K3563" s="25" t="s">
        <v>27</v>
      </c>
      <c r="L3563" s="25" t="s">
        <v>24</v>
      </c>
      <c r="N3563" s="25" t="s">
        <v>99</v>
      </c>
    </row>
    <row r="3564">
      <c r="A3564" s="172"/>
      <c r="B3564" s="171" t="s">
        <v>1250</v>
      </c>
      <c r="C3564" s="171" t="s">
        <v>74</v>
      </c>
      <c r="D3564" s="279" t="s">
        <v>1249</v>
      </c>
      <c r="E3564" s="240">
        <v>43767.0</v>
      </c>
      <c r="F3564" s="21" t="str">
        <f t="shared" si="267"/>
        <v>Oct-2019</v>
      </c>
      <c r="G3564" s="32" t="s">
        <v>32</v>
      </c>
      <c r="H3564" s="25" t="s">
        <v>277</v>
      </c>
      <c r="I3564" s="25" t="s">
        <v>407</v>
      </c>
      <c r="J3564" s="25" t="s">
        <v>44</v>
      </c>
      <c r="K3564" s="25" t="s">
        <v>27</v>
      </c>
      <c r="L3564" s="25" t="s">
        <v>24</v>
      </c>
      <c r="N3564" s="25" t="s">
        <v>106</v>
      </c>
    </row>
    <row r="3565">
      <c r="A3565" s="94"/>
      <c r="F3565" s="21"/>
    </row>
    <row r="3566">
      <c r="A3566" s="279" t="s">
        <v>1255</v>
      </c>
      <c r="B3566" s="171" t="s">
        <v>34</v>
      </c>
      <c r="C3566" s="171" t="s">
        <v>84</v>
      </c>
      <c r="D3566" s="279" t="s">
        <v>1255</v>
      </c>
      <c r="E3566" s="240">
        <v>43771.0</v>
      </c>
      <c r="F3566" s="21" t="str">
        <f t="shared" ref="F3566:F3569" si="268">TEXT(E3563:E3566, "mmm") &amp; "-" &amp; TEXT(E3563:E3566, "yyyy") </f>
        <v>Nov-2019</v>
      </c>
      <c r="G3566" s="32" t="s">
        <v>20</v>
      </c>
      <c r="H3566" s="25" t="s">
        <v>35</v>
      </c>
      <c r="I3566" s="25" t="s">
        <v>1256</v>
      </c>
      <c r="J3566" s="25" t="s">
        <v>97</v>
      </c>
      <c r="K3566" s="25" t="s">
        <v>9</v>
      </c>
      <c r="L3566" s="25" t="s">
        <v>30</v>
      </c>
      <c r="M3566" s="25" t="s">
        <v>30</v>
      </c>
      <c r="N3566" s="25" t="s">
        <v>98</v>
      </c>
    </row>
    <row r="3567">
      <c r="A3567" s="171" t="s">
        <v>34</v>
      </c>
      <c r="B3567" s="171" t="s">
        <v>34</v>
      </c>
      <c r="C3567" s="171" t="s">
        <v>84</v>
      </c>
      <c r="D3567" s="279" t="s">
        <v>1255</v>
      </c>
      <c r="E3567" s="240">
        <v>43771.0</v>
      </c>
      <c r="F3567" s="21" t="str">
        <f t="shared" si="268"/>
        <v>Nov-2019</v>
      </c>
      <c r="G3567" s="32" t="s">
        <v>25</v>
      </c>
      <c r="H3567" s="25" t="s">
        <v>35</v>
      </c>
      <c r="I3567" s="25" t="s">
        <v>1256</v>
      </c>
      <c r="J3567" s="25" t="s">
        <v>97</v>
      </c>
      <c r="K3567" s="25" t="s">
        <v>9</v>
      </c>
      <c r="L3567" s="25" t="s">
        <v>30</v>
      </c>
      <c r="N3567" s="25" t="s">
        <v>106</v>
      </c>
    </row>
    <row r="3568">
      <c r="A3568" s="171" t="s">
        <v>1233</v>
      </c>
      <c r="B3568" s="171" t="s">
        <v>34</v>
      </c>
      <c r="C3568" s="171" t="s">
        <v>84</v>
      </c>
      <c r="D3568" s="279" t="s">
        <v>1255</v>
      </c>
      <c r="E3568" s="240">
        <v>43771.0</v>
      </c>
      <c r="F3568" s="21" t="str">
        <f t="shared" si="268"/>
        <v>Nov-2019</v>
      </c>
      <c r="G3568" s="32" t="s">
        <v>20</v>
      </c>
      <c r="H3568" s="25" t="s">
        <v>35</v>
      </c>
      <c r="I3568" s="25" t="s">
        <v>508</v>
      </c>
      <c r="J3568" s="25" t="s">
        <v>48</v>
      </c>
      <c r="K3568" s="25" t="s">
        <v>9</v>
      </c>
      <c r="L3568" s="25" t="s">
        <v>30</v>
      </c>
      <c r="M3568" s="25" t="s">
        <v>24</v>
      </c>
      <c r="N3568" s="25" t="s">
        <v>29</v>
      </c>
    </row>
    <row r="3569">
      <c r="A3569" s="240">
        <v>43771.0</v>
      </c>
      <c r="B3569" s="171" t="s">
        <v>34</v>
      </c>
      <c r="C3569" s="171" t="s">
        <v>84</v>
      </c>
      <c r="D3569" s="279" t="s">
        <v>1255</v>
      </c>
      <c r="E3569" s="240">
        <v>43771.0</v>
      </c>
      <c r="F3569" s="21" t="str">
        <f t="shared" si="268"/>
        <v>Nov-2019</v>
      </c>
      <c r="G3569" s="32" t="s">
        <v>25</v>
      </c>
      <c r="H3569" s="25" t="s">
        <v>35</v>
      </c>
      <c r="I3569" s="25" t="s">
        <v>508</v>
      </c>
      <c r="J3569" s="25" t="s">
        <v>48</v>
      </c>
      <c r="K3569" s="25" t="s">
        <v>9</v>
      </c>
      <c r="L3569" s="25" t="s">
        <v>24</v>
      </c>
      <c r="N3569" s="25" t="s">
        <v>99</v>
      </c>
    </row>
    <row r="3570">
      <c r="A3570" s="301" t="s">
        <v>1257</v>
      </c>
      <c r="B3570" s="171" t="s">
        <v>34</v>
      </c>
      <c r="C3570" s="171" t="s">
        <v>84</v>
      </c>
      <c r="D3570" s="279" t="s">
        <v>1255</v>
      </c>
      <c r="E3570" s="240">
        <v>43771.0</v>
      </c>
      <c r="F3570" s="21" t="str">
        <f>TEXT(E3566:E3570, "mmm") &amp; "-" &amp; TEXT(E3566:E3570, "yyyy") </f>
        <v>Nov-2019</v>
      </c>
      <c r="G3570" s="32" t="s">
        <v>32</v>
      </c>
      <c r="H3570" s="25" t="s">
        <v>35</v>
      </c>
      <c r="I3570" s="25" t="s">
        <v>508</v>
      </c>
      <c r="J3570" s="25" t="s">
        <v>48</v>
      </c>
      <c r="K3570" s="25" t="s">
        <v>9</v>
      </c>
      <c r="L3570" s="25" t="s">
        <v>24</v>
      </c>
      <c r="N3570" s="25" t="s">
        <v>106</v>
      </c>
    </row>
    <row r="3571">
      <c r="A3571" s="172"/>
      <c r="B3571" s="171" t="s">
        <v>34</v>
      </c>
      <c r="C3571" s="171" t="s">
        <v>84</v>
      </c>
      <c r="D3571" s="279" t="s">
        <v>1255</v>
      </c>
      <c r="E3571" s="240">
        <v>43771.0</v>
      </c>
      <c r="F3571" s="21" t="str">
        <f>TEXT(E3566:E3571, "mmm") &amp; "-" &amp; TEXT(E3566:E3571, "yyyy") </f>
        <v>Nov-2019</v>
      </c>
      <c r="G3571" s="32" t="s">
        <v>20</v>
      </c>
      <c r="H3571" s="25" t="s">
        <v>35</v>
      </c>
      <c r="I3571" s="25" t="s">
        <v>1258</v>
      </c>
      <c r="J3571" s="25" t="s">
        <v>23</v>
      </c>
      <c r="K3571" s="25" t="s">
        <v>9</v>
      </c>
      <c r="L3571" s="25" t="s">
        <v>30</v>
      </c>
      <c r="M3571" s="25" t="s">
        <v>30</v>
      </c>
      <c r="N3571" s="25" t="s">
        <v>37</v>
      </c>
    </row>
    <row r="3572">
      <c r="A3572" s="171" t="s">
        <v>84</v>
      </c>
      <c r="B3572" s="171" t="s">
        <v>34</v>
      </c>
      <c r="C3572" s="171" t="s">
        <v>84</v>
      </c>
      <c r="D3572" s="279" t="s">
        <v>1255</v>
      </c>
      <c r="E3572" s="240">
        <v>43771.0</v>
      </c>
      <c r="F3572" s="21" t="str">
        <f>TEXT(E3566:E3572, "mmm") &amp; "-" &amp; TEXT(E3566:E3572, "yyyy") </f>
        <v>Nov-2019</v>
      </c>
      <c r="G3572" s="32" t="s">
        <v>25</v>
      </c>
      <c r="H3572" s="25" t="s">
        <v>35</v>
      </c>
      <c r="I3572" s="25" t="s">
        <v>1258</v>
      </c>
      <c r="J3572" s="25" t="s">
        <v>23</v>
      </c>
      <c r="K3572" s="25" t="s">
        <v>9</v>
      </c>
      <c r="L3572" s="25" t="s">
        <v>30</v>
      </c>
      <c r="N3572" s="25" t="s">
        <v>37</v>
      </c>
    </row>
    <row r="3573">
      <c r="A3573" s="172"/>
      <c r="B3573" s="171" t="s">
        <v>34</v>
      </c>
      <c r="C3573" s="171" t="s">
        <v>84</v>
      </c>
      <c r="D3573" s="279" t="s">
        <v>1255</v>
      </c>
      <c r="E3573" s="240">
        <v>43771.0</v>
      </c>
      <c r="F3573" s="21" t="str">
        <f>TEXT(E3566:E3573, "mmm") &amp; "-" &amp; TEXT(E3566:E3573, "yyyy") </f>
        <v>Nov-2019</v>
      </c>
      <c r="G3573" s="32" t="s">
        <v>20</v>
      </c>
      <c r="H3573" s="25" t="s">
        <v>35</v>
      </c>
      <c r="I3573" s="25" t="s">
        <v>1259</v>
      </c>
      <c r="J3573" s="25" t="s">
        <v>44</v>
      </c>
      <c r="K3573" s="25" t="s">
        <v>9</v>
      </c>
      <c r="L3573" s="25" t="s">
        <v>30</v>
      </c>
      <c r="M3573" s="25" t="s">
        <v>30</v>
      </c>
      <c r="N3573" s="25" t="s">
        <v>98</v>
      </c>
    </row>
    <row r="3574">
      <c r="A3574" s="172"/>
      <c r="B3574" s="171" t="s">
        <v>34</v>
      </c>
      <c r="C3574" s="171" t="s">
        <v>84</v>
      </c>
      <c r="D3574" s="279" t="s">
        <v>1255</v>
      </c>
      <c r="E3574" s="240">
        <v>43771.0</v>
      </c>
      <c r="F3574" s="21" t="str">
        <f t="shared" ref="F3574:F3577" si="269">TEXT(E3566:E3574, "mmm") &amp; "-" &amp; TEXT(E3566:E3574, "yyyy") </f>
        <v>Nov-2019</v>
      </c>
      <c r="G3574" s="32" t="s">
        <v>25</v>
      </c>
      <c r="H3574" s="25" t="s">
        <v>35</v>
      </c>
      <c r="I3574" s="25" t="s">
        <v>1259</v>
      </c>
      <c r="J3574" s="25" t="s">
        <v>27</v>
      </c>
      <c r="K3574" s="25" t="s">
        <v>9</v>
      </c>
      <c r="L3574" s="25" t="s">
        <v>30</v>
      </c>
      <c r="N3574" s="25" t="s">
        <v>106</v>
      </c>
    </row>
    <row r="3575">
      <c r="A3575" s="172"/>
      <c r="B3575" s="171" t="s">
        <v>34</v>
      </c>
      <c r="C3575" s="171" t="s">
        <v>84</v>
      </c>
      <c r="D3575" s="279" t="s">
        <v>1255</v>
      </c>
      <c r="E3575" s="240">
        <v>43771.0</v>
      </c>
      <c r="F3575" s="21" t="str">
        <f t="shared" si="269"/>
        <v>Nov-2019</v>
      </c>
      <c r="G3575" s="32" t="s">
        <v>20</v>
      </c>
      <c r="H3575" s="25" t="s">
        <v>35</v>
      </c>
      <c r="I3575" s="25" t="s">
        <v>1260</v>
      </c>
      <c r="J3575" s="25" t="s">
        <v>9</v>
      </c>
      <c r="K3575" s="25" t="s">
        <v>9</v>
      </c>
      <c r="L3575" s="25" t="s">
        <v>30</v>
      </c>
      <c r="M3575" s="25" t="s">
        <v>24</v>
      </c>
      <c r="N3575" s="25" t="s">
        <v>69</v>
      </c>
      <c r="R3575" s="25" t="s">
        <v>1261</v>
      </c>
    </row>
    <row r="3576">
      <c r="A3576" s="172"/>
      <c r="B3576" s="171" t="s">
        <v>34</v>
      </c>
      <c r="C3576" s="171" t="s">
        <v>84</v>
      </c>
      <c r="D3576" s="279" t="s">
        <v>1255</v>
      </c>
      <c r="E3576" s="240">
        <v>43771.0</v>
      </c>
      <c r="F3576" s="21" t="str">
        <f t="shared" si="269"/>
        <v>Nov-2019</v>
      </c>
      <c r="G3576" s="32" t="s">
        <v>25</v>
      </c>
      <c r="H3576" s="25" t="s">
        <v>35</v>
      </c>
      <c r="I3576" s="25" t="s">
        <v>1260</v>
      </c>
      <c r="J3576" s="25" t="s">
        <v>9</v>
      </c>
      <c r="K3576" s="25" t="s">
        <v>9</v>
      </c>
      <c r="L3576" s="25" t="s">
        <v>24</v>
      </c>
      <c r="N3576" s="25" t="s">
        <v>37</v>
      </c>
    </row>
    <row r="3577">
      <c r="A3577" s="172"/>
      <c r="B3577" s="171" t="s">
        <v>34</v>
      </c>
      <c r="C3577" s="171" t="s">
        <v>84</v>
      </c>
      <c r="D3577" s="279" t="s">
        <v>1255</v>
      </c>
      <c r="E3577" s="240">
        <v>43771.0</v>
      </c>
      <c r="F3577" s="21" t="str">
        <f t="shared" si="269"/>
        <v>Nov-2019</v>
      </c>
      <c r="G3577" s="32" t="s">
        <v>32</v>
      </c>
      <c r="H3577" s="25" t="s">
        <v>35</v>
      </c>
      <c r="I3577" s="25" t="s">
        <v>1260</v>
      </c>
      <c r="J3577" s="25" t="s">
        <v>9</v>
      </c>
      <c r="K3577" s="25" t="s">
        <v>9</v>
      </c>
      <c r="L3577" s="25" t="s">
        <v>24</v>
      </c>
      <c r="N3577" s="25" t="s">
        <v>106</v>
      </c>
    </row>
    <row r="3578">
      <c r="A3578" s="94"/>
      <c r="F3578" s="21"/>
    </row>
    <row r="3579">
      <c r="A3579" s="279" t="s">
        <v>1262</v>
      </c>
      <c r="B3579" s="171" t="s">
        <v>18</v>
      </c>
      <c r="C3579" s="171" t="s">
        <v>74</v>
      </c>
      <c r="D3579" s="279" t="s">
        <v>1262</v>
      </c>
      <c r="E3579" s="240">
        <v>43787.0</v>
      </c>
      <c r="F3579" s="21" t="str">
        <f t="shared" ref="F3579:F3592" si="270">TEXT(E3571:E3579, "mmm") &amp; "-" &amp; TEXT(E3571:E3579, "yyyy") </f>
        <v>Nov-2019</v>
      </c>
      <c r="G3579" s="32" t="s">
        <v>20</v>
      </c>
      <c r="H3579" s="25" t="s">
        <v>35</v>
      </c>
      <c r="I3579" s="25" t="s">
        <v>1263</v>
      </c>
      <c r="J3579" s="25" t="s">
        <v>9</v>
      </c>
      <c r="K3579" s="25" t="s">
        <v>9</v>
      </c>
      <c r="L3579" s="25" t="s">
        <v>30</v>
      </c>
      <c r="M3579" s="25" t="s">
        <v>30</v>
      </c>
      <c r="N3579" s="25" t="s">
        <v>69</v>
      </c>
    </row>
    <row r="3580">
      <c r="A3580" s="171" t="s">
        <v>18</v>
      </c>
      <c r="B3580" s="171" t="s">
        <v>18</v>
      </c>
      <c r="C3580" s="171" t="s">
        <v>74</v>
      </c>
      <c r="D3580" s="279" t="s">
        <v>1262</v>
      </c>
      <c r="E3580" s="240">
        <v>43787.0</v>
      </c>
      <c r="F3580" s="21" t="str">
        <f t="shared" si="270"/>
        <v>Nov-2019</v>
      </c>
      <c r="G3580" s="32" t="s">
        <v>25</v>
      </c>
      <c r="H3580" s="25" t="s">
        <v>35</v>
      </c>
      <c r="I3580" s="25" t="s">
        <v>1263</v>
      </c>
      <c r="J3580" s="25" t="s">
        <v>9</v>
      </c>
      <c r="K3580" s="25" t="s">
        <v>9</v>
      </c>
      <c r="L3580" s="25" t="s">
        <v>30</v>
      </c>
      <c r="N3580" s="25" t="s">
        <v>98</v>
      </c>
    </row>
    <row r="3581">
      <c r="A3581" s="172"/>
      <c r="B3581" s="171" t="s">
        <v>18</v>
      </c>
      <c r="C3581" s="171" t="s">
        <v>74</v>
      </c>
      <c r="D3581" s="279" t="s">
        <v>1262</v>
      </c>
      <c r="E3581" s="240">
        <v>43787.0</v>
      </c>
      <c r="F3581" s="21" t="str">
        <f t="shared" si="270"/>
        <v>Nov-2019</v>
      </c>
      <c r="G3581" s="32" t="s">
        <v>20</v>
      </c>
      <c r="H3581" s="25" t="s">
        <v>35</v>
      </c>
      <c r="I3581" s="25" t="s">
        <v>255</v>
      </c>
      <c r="J3581" s="25" t="s">
        <v>9</v>
      </c>
      <c r="K3581" s="25" t="s">
        <v>9</v>
      </c>
      <c r="L3581" s="25" t="s">
        <v>30</v>
      </c>
      <c r="M3581" s="25" t="s">
        <v>30</v>
      </c>
      <c r="N3581" s="25" t="s">
        <v>98</v>
      </c>
    </row>
    <row r="3582">
      <c r="A3582" s="240">
        <v>43787.0</v>
      </c>
      <c r="B3582" s="171" t="s">
        <v>18</v>
      </c>
      <c r="C3582" s="171" t="s">
        <v>74</v>
      </c>
      <c r="D3582" s="279" t="s">
        <v>1262</v>
      </c>
      <c r="E3582" s="240">
        <v>43787.0</v>
      </c>
      <c r="F3582" s="21" t="str">
        <f t="shared" si="270"/>
        <v>Nov-2019</v>
      </c>
      <c r="G3582" s="32" t="s">
        <v>25</v>
      </c>
      <c r="H3582" s="25" t="s">
        <v>35</v>
      </c>
      <c r="I3582" s="25" t="s">
        <v>255</v>
      </c>
      <c r="J3582" s="25" t="s">
        <v>9</v>
      </c>
      <c r="K3582" s="25" t="s">
        <v>9</v>
      </c>
      <c r="L3582" s="25" t="s">
        <v>24</v>
      </c>
      <c r="N3582" s="25" t="s">
        <v>37</v>
      </c>
    </row>
    <row r="3583">
      <c r="A3583" s="301" t="s">
        <v>1264</v>
      </c>
      <c r="B3583" s="171" t="s">
        <v>18</v>
      </c>
      <c r="C3583" s="171" t="s">
        <v>74</v>
      </c>
      <c r="D3583" s="279" t="s">
        <v>1262</v>
      </c>
      <c r="E3583" s="240">
        <v>43787.0</v>
      </c>
      <c r="F3583" s="21" t="str">
        <f t="shared" si="270"/>
        <v>Nov-2019</v>
      </c>
      <c r="G3583" s="32" t="s">
        <v>32</v>
      </c>
      <c r="H3583" s="25" t="s">
        <v>35</v>
      </c>
      <c r="I3583" s="25" t="s">
        <v>255</v>
      </c>
      <c r="J3583" s="25" t="s">
        <v>9</v>
      </c>
      <c r="K3583" s="25" t="s">
        <v>9</v>
      </c>
      <c r="L3583" s="25" t="s">
        <v>30</v>
      </c>
      <c r="N3583" s="25" t="s">
        <v>99</v>
      </c>
    </row>
    <row r="3584">
      <c r="A3584" s="172"/>
      <c r="B3584" s="171" t="s">
        <v>18</v>
      </c>
      <c r="C3584" s="171" t="s">
        <v>74</v>
      </c>
      <c r="D3584" s="279" t="s">
        <v>1262</v>
      </c>
      <c r="E3584" s="240">
        <v>43787.0</v>
      </c>
      <c r="F3584" s="21" t="str">
        <f t="shared" si="270"/>
        <v>Nov-2019</v>
      </c>
      <c r="G3584" s="32" t="s">
        <v>20</v>
      </c>
      <c r="H3584" s="25" t="s">
        <v>35</v>
      </c>
      <c r="I3584" s="25" t="s">
        <v>1265</v>
      </c>
      <c r="J3584" s="25" t="s">
        <v>44</v>
      </c>
      <c r="K3584" s="25" t="s">
        <v>9</v>
      </c>
      <c r="L3584" s="25" t="s">
        <v>24</v>
      </c>
      <c r="M3584" s="25" t="s">
        <v>24</v>
      </c>
      <c r="N3584" s="25" t="s">
        <v>98</v>
      </c>
    </row>
    <row r="3585">
      <c r="A3585" s="171" t="s">
        <v>74</v>
      </c>
      <c r="B3585" s="171" t="s">
        <v>18</v>
      </c>
      <c r="C3585" s="171" t="s">
        <v>74</v>
      </c>
      <c r="D3585" s="279" t="s">
        <v>1262</v>
      </c>
      <c r="E3585" s="240">
        <v>43787.0</v>
      </c>
      <c r="F3585" s="21" t="str">
        <f t="shared" si="270"/>
        <v>Nov-2019</v>
      </c>
      <c r="G3585" s="32" t="s">
        <v>25</v>
      </c>
      <c r="H3585" s="25" t="s">
        <v>35</v>
      </c>
      <c r="I3585" s="25" t="s">
        <v>1265</v>
      </c>
      <c r="J3585" s="25" t="s">
        <v>44</v>
      </c>
      <c r="K3585" s="25" t="s">
        <v>9</v>
      </c>
      <c r="L3585" s="25" t="s">
        <v>24</v>
      </c>
      <c r="N3585" s="25" t="s">
        <v>106</v>
      </c>
    </row>
    <row r="3586">
      <c r="A3586" s="172"/>
      <c r="B3586" s="171" t="s">
        <v>18</v>
      </c>
      <c r="C3586" s="171" t="s">
        <v>74</v>
      </c>
      <c r="D3586" s="279" t="s">
        <v>1262</v>
      </c>
      <c r="E3586" s="240">
        <v>43787.0</v>
      </c>
      <c r="F3586" s="21" t="str">
        <f t="shared" si="270"/>
        <v>Nov-2019</v>
      </c>
      <c r="G3586" s="32" t="s">
        <v>20</v>
      </c>
      <c r="H3586" s="25" t="s">
        <v>35</v>
      </c>
      <c r="I3586" s="25" t="s">
        <v>142</v>
      </c>
      <c r="J3586" s="25" t="s">
        <v>44</v>
      </c>
      <c r="K3586" s="25" t="s">
        <v>9</v>
      </c>
      <c r="L3586" s="25" t="s">
        <v>30</v>
      </c>
      <c r="M3586" s="25" t="s">
        <v>30</v>
      </c>
      <c r="N3586" s="25" t="s">
        <v>69</v>
      </c>
    </row>
    <row r="3587">
      <c r="A3587" s="172"/>
      <c r="B3587" s="171" t="s">
        <v>18</v>
      </c>
      <c r="C3587" s="171" t="s">
        <v>74</v>
      </c>
      <c r="D3587" s="279" t="s">
        <v>1262</v>
      </c>
      <c r="E3587" s="240">
        <v>43787.0</v>
      </c>
      <c r="F3587" s="21" t="str">
        <f t="shared" si="270"/>
        <v>Nov-2019</v>
      </c>
      <c r="G3587" s="32" t="s">
        <v>25</v>
      </c>
      <c r="H3587" s="25" t="s">
        <v>35</v>
      </c>
      <c r="I3587" s="25" t="s">
        <v>142</v>
      </c>
      <c r="J3587" s="25" t="s">
        <v>44</v>
      </c>
      <c r="K3587" s="25" t="s">
        <v>9</v>
      </c>
      <c r="L3587" s="25" t="s">
        <v>30</v>
      </c>
      <c r="N3587" s="25" t="s">
        <v>69</v>
      </c>
    </row>
    <row r="3588">
      <c r="A3588" s="172"/>
      <c r="B3588" s="171" t="s">
        <v>18</v>
      </c>
      <c r="C3588" s="171" t="s">
        <v>74</v>
      </c>
      <c r="D3588" s="279" t="s">
        <v>1262</v>
      </c>
      <c r="E3588" s="240">
        <v>43787.0</v>
      </c>
      <c r="F3588" s="21" t="str">
        <f t="shared" si="270"/>
        <v>Nov-2019</v>
      </c>
      <c r="G3588" t="s">
        <v>146</v>
      </c>
      <c r="H3588" s="25" t="s">
        <v>35</v>
      </c>
      <c r="I3588" s="25" t="s">
        <v>109</v>
      </c>
      <c r="J3588" s="25" t="s">
        <v>86</v>
      </c>
      <c r="K3588" s="25" t="s">
        <v>9</v>
      </c>
      <c r="L3588" s="25" t="s">
        <v>30</v>
      </c>
      <c r="N3588" s="25" t="s">
        <v>99</v>
      </c>
    </row>
    <row r="3589">
      <c r="A3589" s="172"/>
      <c r="B3589" s="171" t="s">
        <v>18</v>
      </c>
      <c r="C3589" s="171" t="s">
        <v>74</v>
      </c>
      <c r="D3589" s="279" t="s">
        <v>1262</v>
      </c>
      <c r="E3589" s="240">
        <v>43787.0</v>
      </c>
      <c r="F3589" s="21" t="str">
        <f t="shared" si="270"/>
        <v>Nov-2019</v>
      </c>
      <c r="G3589" t="s">
        <v>149</v>
      </c>
      <c r="H3589" s="25" t="s">
        <v>35</v>
      </c>
      <c r="I3589" s="25" t="s">
        <v>109</v>
      </c>
      <c r="J3589" s="25" t="s">
        <v>86</v>
      </c>
      <c r="K3589" s="25" t="s">
        <v>9</v>
      </c>
      <c r="L3589" s="25" t="s">
        <v>30</v>
      </c>
      <c r="M3589" s="25" t="s">
        <v>24</v>
      </c>
      <c r="N3589" s="25" t="s">
        <v>106</v>
      </c>
    </row>
    <row r="3590">
      <c r="A3590" s="172"/>
      <c r="B3590" s="171" t="s">
        <v>18</v>
      </c>
      <c r="C3590" s="171" t="s">
        <v>74</v>
      </c>
      <c r="D3590" s="279" t="s">
        <v>1262</v>
      </c>
      <c r="E3590" s="240">
        <v>43787.0</v>
      </c>
      <c r="F3590" s="21" t="str">
        <f t="shared" si="270"/>
        <v>Nov-2019</v>
      </c>
      <c r="G3590" t="s">
        <v>222</v>
      </c>
      <c r="H3590" s="25" t="s">
        <v>35</v>
      </c>
      <c r="I3590" s="25" t="s">
        <v>109</v>
      </c>
      <c r="J3590" s="25" t="s">
        <v>27</v>
      </c>
      <c r="K3590" s="25" t="s">
        <v>9</v>
      </c>
      <c r="L3590" s="25" t="s">
        <v>24</v>
      </c>
      <c r="N3590" s="25" t="s">
        <v>29</v>
      </c>
    </row>
    <row r="3591">
      <c r="A3591" s="172"/>
      <c r="B3591" s="171" t="s">
        <v>18</v>
      </c>
      <c r="C3591" s="171" t="s">
        <v>74</v>
      </c>
      <c r="D3591" s="279" t="s">
        <v>1262</v>
      </c>
      <c r="E3591" s="240">
        <v>43787.0</v>
      </c>
      <c r="F3591" s="21" t="str">
        <f t="shared" si="270"/>
        <v>Nov-2019</v>
      </c>
      <c r="G3591" t="s">
        <v>467</v>
      </c>
      <c r="H3591" s="25" t="s">
        <v>35</v>
      </c>
      <c r="I3591" s="25" t="s">
        <v>109</v>
      </c>
      <c r="J3591" s="25" t="s">
        <v>27</v>
      </c>
      <c r="K3591" s="25" t="s">
        <v>9</v>
      </c>
      <c r="L3591" s="25" t="s">
        <v>24</v>
      </c>
      <c r="N3591" s="25" t="s">
        <v>98</v>
      </c>
    </row>
    <row r="3592">
      <c r="A3592" s="172"/>
      <c r="B3592" s="171" t="s">
        <v>18</v>
      </c>
      <c r="C3592" s="171" t="s">
        <v>74</v>
      </c>
      <c r="D3592" s="279" t="s">
        <v>1262</v>
      </c>
      <c r="E3592" s="240">
        <v>43787.0</v>
      </c>
      <c r="F3592" s="21" t="str">
        <f t="shared" si="270"/>
        <v>Nov-2019</v>
      </c>
      <c r="G3592" s="25" t="s">
        <v>480</v>
      </c>
      <c r="H3592" s="25" t="s">
        <v>35</v>
      </c>
      <c r="I3592" s="25" t="s">
        <v>109</v>
      </c>
      <c r="J3592" s="25" t="s">
        <v>27</v>
      </c>
      <c r="K3592" s="25" t="s">
        <v>9</v>
      </c>
      <c r="L3592" s="25" t="s">
        <v>24</v>
      </c>
      <c r="N3592" s="25" t="s">
        <v>98</v>
      </c>
    </row>
    <row r="3593">
      <c r="A3593" s="94"/>
      <c r="F3593" s="21"/>
    </row>
    <row r="3594">
      <c r="A3594" s="279" t="s">
        <v>1266</v>
      </c>
      <c r="B3594" s="171" t="s">
        <v>527</v>
      </c>
      <c r="C3594" s="171" t="s">
        <v>19</v>
      </c>
      <c r="D3594" s="279" t="s">
        <v>1266</v>
      </c>
      <c r="E3594" s="240">
        <v>43792.0</v>
      </c>
      <c r="F3594" s="21" t="str">
        <f t="shared" ref="F3594:F3610" si="271">TEXT(E3586:E3594, "mmm") &amp; "-" &amp; TEXT(E3586:E3594, "yyyy") </f>
        <v>Nov-2019</v>
      </c>
      <c r="G3594" s="32" t="s">
        <v>20</v>
      </c>
      <c r="H3594" s="25" t="s">
        <v>35</v>
      </c>
      <c r="I3594" s="25" t="s">
        <v>43</v>
      </c>
      <c r="J3594" s="25" t="s">
        <v>44</v>
      </c>
      <c r="K3594" s="25" t="s">
        <v>9</v>
      </c>
      <c r="L3594" s="25" t="s">
        <v>30</v>
      </c>
      <c r="M3594" s="25" t="s">
        <v>30</v>
      </c>
      <c r="N3594" s="25" t="s">
        <v>98</v>
      </c>
    </row>
    <row r="3595">
      <c r="A3595" s="171" t="s">
        <v>527</v>
      </c>
      <c r="B3595" s="171" t="s">
        <v>527</v>
      </c>
      <c r="C3595" s="171" t="s">
        <v>19</v>
      </c>
      <c r="D3595" s="279" t="s">
        <v>1266</v>
      </c>
      <c r="E3595" s="240">
        <v>43792.0</v>
      </c>
      <c r="F3595" s="21" t="str">
        <f t="shared" si="271"/>
        <v>Nov-2019</v>
      </c>
      <c r="G3595" s="32" t="s">
        <v>25</v>
      </c>
      <c r="H3595" s="25" t="s">
        <v>35</v>
      </c>
      <c r="I3595" s="25" t="s">
        <v>43</v>
      </c>
      <c r="J3595" s="25" t="s">
        <v>44</v>
      </c>
      <c r="K3595" s="25" t="s">
        <v>9</v>
      </c>
      <c r="L3595" s="25" t="s">
        <v>30</v>
      </c>
      <c r="N3595" s="25" t="s">
        <v>99</v>
      </c>
    </row>
    <row r="3596">
      <c r="A3596" s="171" t="s">
        <v>529</v>
      </c>
      <c r="B3596" s="171" t="s">
        <v>527</v>
      </c>
      <c r="C3596" s="171" t="s">
        <v>19</v>
      </c>
      <c r="D3596" s="279" t="s">
        <v>1266</v>
      </c>
      <c r="E3596" s="240">
        <v>43792.0</v>
      </c>
      <c r="F3596" s="21" t="str">
        <f t="shared" si="271"/>
        <v>Nov-2019</v>
      </c>
      <c r="G3596" s="32" t="s">
        <v>20</v>
      </c>
      <c r="H3596" s="25" t="s">
        <v>35</v>
      </c>
      <c r="I3596" s="25" t="s">
        <v>463</v>
      </c>
      <c r="J3596" s="25" t="s">
        <v>9</v>
      </c>
      <c r="K3596" s="25" t="s">
        <v>9</v>
      </c>
      <c r="L3596" s="25" t="s">
        <v>24</v>
      </c>
      <c r="M3596" s="25" t="s">
        <v>30</v>
      </c>
      <c r="N3596" s="25" t="s">
        <v>98</v>
      </c>
    </row>
    <row r="3597">
      <c r="A3597" s="240">
        <v>43792.0</v>
      </c>
      <c r="B3597" s="171" t="s">
        <v>527</v>
      </c>
      <c r="C3597" s="171" t="s">
        <v>19</v>
      </c>
      <c r="D3597" s="279" t="s">
        <v>1266</v>
      </c>
      <c r="E3597" s="240">
        <v>43792.0</v>
      </c>
      <c r="F3597" s="21" t="str">
        <f t="shared" si="271"/>
        <v>Nov-2019</v>
      </c>
      <c r="G3597" s="32" t="s">
        <v>25</v>
      </c>
      <c r="H3597" s="25" t="s">
        <v>35</v>
      </c>
      <c r="I3597" s="25" t="s">
        <v>463</v>
      </c>
      <c r="J3597" s="25" t="s">
        <v>9</v>
      </c>
      <c r="K3597" s="25" t="s">
        <v>9</v>
      </c>
      <c r="L3597" s="25" t="s">
        <v>30</v>
      </c>
      <c r="N3597" s="25" t="s">
        <v>69</v>
      </c>
    </row>
    <row r="3598">
      <c r="A3598" s="301" t="s">
        <v>1267</v>
      </c>
      <c r="B3598" s="171" t="s">
        <v>527</v>
      </c>
      <c r="C3598" s="171" t="s">
        <v>19</v>
      </c>
      <c r="D3598" s="279" t="s">
        <v>1266</v>
      </c>
      <c r="E3598" s="240">
        <v>43792.0</v>
      </c>
      <c r="F3598" s="21" t="str">
        <f t="shared" si="271"/>
        <v>Nov-2019</v>
      </c>
      <c r="G3598" s="32" t="s">
        <v>32</v>
      </c>
      <c r="H3598" s="25" t="s">
        <v>35</v>
      </c>
      <c r="I3598" s="25" t="s">
        <v>463</v>
      </c>
      <c r="J3598" s="25" t="s">
        <v>9</v>
      </c>
      <c r="K3598" s="25" t="s">
        <v>9</v>
      </c>
      <c r="L3598" s="25" t="s">
        <v>30</v>
      </c>
      <c r="N3598" s="25" t="s">
        <v>37</v>
      </c>
    </row>
    <row r="3599">
      <c r="A3599" s="171" t="s">
        <v>1268</v>
      </c>
      <c r="B3599" s="171" t="s">
        <v>527</v>
      </c>
      <c r="C3599" s="171" t="s">
        <v>19</v>
      </c>
      <c r="D3599" s="279" t="s">
        <v>1266</v>
      </c>
      <c r="E3599" s="240">
        <v>43792.0</v>
      </c>
      <c r="F3599" s="21" t="str">
        <f t="shared" si="271"/>
        <v>Nov-2019</v>
      </c>
      <c r="G3599" s="32" t="s">
        <v>20</v>
      </c>
      <c r="H3599" s="25" t="s">
        <v>35</v>
      </c>
      <c r="I3599" s="25" t="s">
        <v>100</v>
      </c>
      <c r="J3599" s="25" t="s">
        <v>9</v>
      </c>
      <c r="K3599" s="25" t="s">
        <v>9</v>
      </c>
      <c r="L3599" s="25" t="s">
        <v>30</v>
      </c>
      <c r="M3599" s="25" t="s">
        <v>30</v>
      </c>
      <c r="N3599" s="25" t="s">
        <v>69</v>
      </c>
    </row>
    <row r="3600">
      <c r="A3600" s="301" t="s">
        <v>1269</v>
      </c>
      <c r="B3600" s="171" t="s">
        <v>527</v>
      </c>
      <c r="C3600" s="171" t="s">
        <v>19</v>
      </c>
      <c r="D3600" s="279" t="s">
        <v>1266</v>
      </c>
      <c r="E3600" s="240">
        <v>43792.0</v>
      </c>
      <c r="F3600" s="21" t="str">
        <f t="shared" si="271"/>
        <v>Nov-2019</v>
      </c>
      <c r="G3600" s="32" t="s">
        <v>25</v>
      </c>
      <c r="H3600" s="25" t="s">
        <v>35</v>
      </c>
      <c r="I3600" s="25" t="s">
        <v>100</v>
      </c>
      <c r="J3600" s="25" t="s">
        <v>9</v>
      </c>
      <c r="K3600" s="25" t="s">
        <v>9</v>
      </c>
      <c r="L3600" s="25" t="s">
        <v>30</v>
      </c>
      <c r="N3600" s="25" t="s">
        <v>106</v>
      </c>
    </row>
    <row r="3601">
      <c r="A3601" s="172"/>
      <c r="B3601" s="171" t="s">
        <v>527</v>
      </c>
      <c r="C3601" s="171" t="s">
        <v>19</v>
      </c>
      <c r="D3601" s="279" t="s">
        <v>1266</v>
      </c>
      <c r="E3601" s="240">
        <v>43792.0</v>
      </c>
      <c r="F3601" s="21" t="str">
        <f t="shared" si="271"/>
        <v>Nov-2019</v>
      </c>
      <c r="G3601" s="32" t="s">
        <v>20</v>
      </c>
      <c r="H3601" s="25" t="s">
        <v>35</v>
      </c>
      <c r="I3601" s="25" t="s">
        <v>109</v>
      </c>
      <c r="J3601" s="25" t="s">
        <v>27</v>
      </c>
      <c r="K3601" s="25" t="s">
        <v>9</v>
      </c>
      <c r="L3601" s="25" t="s">
        <v>24</v>
      </c>
      <c r="M3601" s="25" t="s">
        <v>24</v>
      </c>
      <c r="N3601" s="25" t="s">
        <v>69</v>
      </c>
    </row>
    <row r="3602">
      <c r="A3602" s="171" t="s">
        <v>19</v>
      </c>
      <c r="B3602" s="171" t="s">
        <v>527</v>
      </c>
      <c r="C3602" s="171" t="s">
        <v>19</v>
      </c>
      <c r="D3602" s="279" t="s">
        <v>1266</v>
      </c>
      <c r="E3602" s="240">
        <v>43792.0</v>
      </c>
      <c r="F3602" s="21" t="str">
        <f t="shared" si="271"/>
        <v>Nov-2019</v>
      </c>
      <c r="G3602" s="32" t="s">
        <v>25</v>
      </c>
      <c r="H3602" s="25" t="s">
        <v>35</v>
      </c>
      <c r="I3602" s="25" t="s">
        <v>109</v>
      </c>
      <c r="J3602" s="25" t="s">
        <v>27</v>
      </c>
      <c r="K3602" s="25" t="s">
        <v>9</v>
      </c>
      <c r="L3602" s="25" t="s">
        <v>24</v>
      </c>
      <c r="N3602" s="25" t="s">
        <v>69</v>
      </c>
    </row>
    <row r="3603">
      <c r="A3603" s="172"/>
      <c r="B3603" s="171" t="s">
        <v>527</v>
      </c>
      <c r="C3603" s="171" t="s">
        <v>19</v>
      </c>
      <c r="D3603" s="279" t="s">
        <v>1266</v>
      </c>
      <c r="E3603" s="240">
        <v>43792.0</v>
      </c>
      <c r="F3603" s="21" t="str">
        <f t="shared" si="271"/>
        <v>Nov-2019</v>
      </c>
      <c r="G3603" s="32" t="s">
        <v>20</v>
      </c>
      <c r="H3603" s="25" t="s">
        <v>35</v>
      </c>
      <c r="I3603" s="25" t="s">
        <v>726</v>
      </c>
      <c r="J3603" s="25" t="s">
        <v>216</v>
      </c>
      <c r="K3603" s="25" t="s">
        <v>9</v>
      </c>
      <c r="L3603" s="25" t="s">
        <v>24</v>
      </c>
      <c r="M3603" s="25" t="s">
        <v>30</v>
      </c>
      <c r="N3603" s="25" t="s">
        <v>37</v>
      </c>
    </row>
    <row r="3604">
      <c r="A3604" s="172"/>
      <c r="B3604" s="171" t="s">
        <v>527</v>
      </c>
      <c r="C3604" s="171" t="s">
        <v>19</v>
      </c>
      <c r="D3604" s="279" t="s">
        <v>1266</v>
      </c>
      <c r="E3604" s="240">
        <v>43792.0</v>
      </c>
      <c r="F3604" s="21" t="str">
        <f t="shared" si="271"/>
        <v>Nov-2019</v>
      </c>
      <c r="G3604" s="32" t="s">
        <v>25</v>
      </c>
      <c r="H3604" s="25" t="s">
        <v>35</v>
      </c>
      <c r="I3604" s="25" t="s">
        <v>726</v>
      </c>
      <c r="J3604" s="25" t="s">
        <v>216</v>
      </c>
      <c r="K3604" s="25" t="s">
        <v>9</v>
      </c>
      <c r="L3604" s="25" t="s">
        <v>30</v>
      </c>
      <c r="N3604" s="25" t="s">
        <v>106</v>
      </c>
    </row>
    <row r="3605">
      <c r="A3605" s="172"/>
      <c r="B3605" s="171" t="s">
        <v>527</v>
      </c>
      <c r="C3605" s="171" t="s">
        <v>19</v>
      </c>
      <c r="D3605" s="279" t="s">
        <v>1266</v>
      </c>
      <c r="E3605" s="240">
        <v>43792.0</v>
      </c>
      <c r="F3605" s="21" t="str">
        <f t="shared" si="271"/>
        <v>Nov-2019</v>
      </c>
      <c r="G3605" s="32" t="s">
        <v>32</v>
      </c>
      <c r="H3605" s="25" t="s">
        <v>35</v>
      </c>
      <c r="I3605" s="25" t="s">
        <v>726</v>
      </c>
      <c r="J3605" s="25" t="s">
        <v>216</v>
      </c>
      <c r="K3605" s="25" t="s">
        <v>9</v>
      </c>
      <c r="L3605" s="25" t="s">
        <v>30</v>
      </c>
      <c r="N3605" s="25" t="s">
        <v>99</v>
      </c>
    </row>
    <row r="3606">
      <c r="A3606" s="172"/>
      <c r="B3606" s="171" t="s">
        <v>527</v>
      </c>
      <c r="C3606" s="171" t="s">
        <v>19</v>
      </c>
      <c r="D3606" s="279" t="s">
        <v>1266</v>
      </c>
      <c r="E3606" s="240">
        <v>43792.0</v>
      </c>
      <c r="F3606" s="21" t="str">
        <f t="shared" si="271"/>
        <v>Nov-2019</v>
      </c>
      <c r="G3606" s="32" t="s">
        <v>20</v>
      </c>
      <c r="H3606" s="25" t="s">
        <v>35</v>
      </c>
      <c r="I3606" s="25" t="s">
        <v>764</v>
      </c>
      <c r="J3606" s="25" t="s">
        <v>27</v>
      </c>
      <c r="K3606" s="25" t="s">
        <v>9</v>
      </c>
      <c r="L3606" s="25" t="s">
        <v>24</v>
      </c>
      <c r="M3606" s="25" t="s">
        <v>24</v>
      </c>
      <c r="N3606" s="25" t="s">
        <v>69</v>
      </c>
    </row>
    <row r="3607">
      <c r="A3607" s="172"/>
      <c r="B3607" s="171" t="s">
        <v>527</v>
      </c>
      <c r="C3607" s="171" t="s">
        <v>19</v>
      </c>
      <c r="D3607" s="279" t="s">
        <v>1266</v>
      </c>
      <c r="E3607" s="240">
        <v>43792.0</v>
      </c>
      <c r="F3607" s="21" t="str">
        <f t="shared" si="271"/>
        <v>Nov-2019</v>
      </c>
      <c r="G3607" s="32" t="s">
        <v>25</v>
      </c>
      <c r="H3607" s="25" t="s">
        <v>35</v>
      </c>
      <c r="I3607" s="25" t="s">
        <v>764</v>
      </c>
      <c r="J3607" s="25" t="s">
        <v>27</v>
      </c>
      <c r="K3607" s="25" t="s">
        <v>9</v>
      </c>
      <c r="L3607" s="25" t="s">
        <v>24</v>
      </c>
      <c r="N3607" s="25" t="s">
        <v>106</v>
      </c>
    </row>
    <row r="3608">
      <c r="A3608" s="172"/>
      <c r="B3608" s="171" t="s">
        <v>527</v>
      </c>
      <c r="C3608" s="171" t="s">
        <v>19</v>
      </c>
      <c r="D3608" s="279" t="s">
        <v>1266</v>
      </c>
      <c r="E3608" s="240">
        <v>43792.0</v>
      </c>
      <c r="F3608" s="21" t="str">
        <f t="shared" si="271"/>
        <v>Nov-2019</v>
      </c>
      <c r="G3608" s="32" t="s">
        <v>20</v>
      </c>
      <c r="H3608" s="25" t="s">
        <v>35</v>
      </c>
      <c r="I3608" s="25" t="s">
        <v>452</v>
      </c>
      <c r="J3608" s="25" t="s">
        <v>27</v>
      </c>
      <c r="K3608" s="25" t="s">
        <v>9</v>
      </c>
      <c r="L3608" s="25" t="s">
        <v>24</v>
      </c>
      <c r="M3608" s="25" t="s">
        <v>24</v>
      </c>
      <c r="N3608" s="25" t="s">
        <v>69</v>
      </c>
    </row>
    <row r="3609">
      <c r="A3609" s="172"/>
      <c r="B3609" s="171" t="s">
        <v>527</v>
      </c>
      <c r="C3609" s="171" t="s">
        <v>19</v>
      </c>
      <c r="D3609" s="279" t="s">
        <v>1266</v>
      </c>
      <c r="E3609" s="240">
        <v>43792.0</v>
      </c>
      <c r="F3609" s="21" t="str">
        <f t="shared" si="271"/>
        <v>Nov-2019</v>
      </c>
      <c r="G3609" s="32" t="s">
        <v>25</v>
      </c>
      <c r="H3609" s="25" t="s">
        <v>35</v>
      </c>
      <c r="I3609" s="25" t="s">
        <v>452</v>
      </c>
      <c r="J3609" s="25" t="s">
        <v>27</v>
      </c>
      <c r="K3609" s="25" t="s">
        <v>9</v>
      </c>
      <c r="L3609" s="25" t="s">
        <v>30</v>
      </c>
      <c r="N3609" s="25" t="s">
        <v>37</v>
      </c>
    </row>
    <row r="3610">
      <c r="A3610" s="172"/>
      <c r="B3610" s="171" t="s">
        <v>527</v>
      </c>
      <c r="C3610" s="171" t="s">
        <v>19</v>
      </c>
      <c r="D3610" s="279" t="s">
        <v>1266</v>
      </c>
      <c r="E3610" s="240">
        <v>43792.0</v>
      </c>
      <c r="F3610" s="21" t="str">
        <f t="shared" si="271"/>
        <v>Nov-2019</v>
      </c>
      <c r="G3610" s="32" t="s">
        <v>32</v>
      </c>
      <c r="H3610" s="25" t="s">
        <v>35</v>
      </c>
      <c r="I3610" s="25" t="s">
        <v>452</v>
      </c>
      <c r="J3610" s="25" t="s">
        <v>27</v>
      </c>
      <c r="K3610" s="25" t="s">
        <v>9</v>
      </c>
      <c r="L3610" s="25" t="s">
        <v>24</v>
      </c>
      <c r="N3610" s="25" t="s">
        <v>29</v>
      </c>
    </row>
    <row r="3611">
      <c r="A3611" s="94"/>
      <c r="F3611" s="21"/>
    </row>
    <row r="3612">
      <c r="A3612" s="279" t="s">
        <v>1270</v>
      </c>
      <c r="B3612" s="171" t="s">
        <v>1250</v>
      </c>
      <c r="C3612" s="171" t="s">
        <v>74</v>
      </c>
      <c r="D3612" s="279" t="s">
        <v>1270</v>
      </c>
      <c r="E3612" s="240">
        <v>43800.0</v>
      </c>
      <c r="F3612" s="21" t="str">
        <f t="shared" ref="F3612:F3641" si="272">TEXT(E3604:E3612, "mmm") &amp; "-" &amp; TEXT(E3604:E3612, "yyyy") </f>
        <v>Dec-2019</v>
      </c>
      <c r="G3612" s="32" t="s">
        <v>20</v>
      </c>
      <c r="H3612" s="25" t="s">
        <v>21</v>
      </c>
      <c r="I3612" s="25" t="s">
        <v>1271</v>
      </c>
      <c r="J3612" s="25" t="s">
        <v>9</v>
      </c>
      <c r="K3612" s="25" t="s">
        <v>9</v>
      </c>
      <c r="L3612" s="25" t="s">
        <v>30</v>
      </c>
      <c r="M3612" s="25" t="s">
        <v>30</v>
      </c>
      <c r="N3612" s="25" t="s">
        <v>98</v>
      </c>
    </row>
    <row r="3613">
      <c r="A3613" s="171" t="s">
        <v>1250</v>
      </c>
      <c r="B3613" s="171" t="s">
        <v>1250</v>
      </c>
      <c r="C3613" s="171" t="s">
        <v>74</v>
      </c>
      <c r="D3613" s="279" t="s">
        <v>1270</v>
      </c>
      <c r="E3613" s="240">
        <v>43800.0</v>
      </c>
      <c r="F3613" s="21" t="str">
        <f t="shared" si="272"/>
        <v>Dec-2019</v>
      </c>
      <c r="G3613" s="32" t="s">
        <v>25</v>
      </c>
      <c r="H3613" s="25" t="s">
        <v>21</v>
      </c>
      <c r="I3613" s="25" t="s">
        <v>1271</v>
      </c>
      <c r="J3613" s="25" t="s">
        <v>9</v>
      </c>
      <c r="K3613" s="25" t="s">
        <v>9</v>
      </c>
      <c r="L3613" s="25" t="s">
        <v>30</v>
      </c>
      <c r="N3613" s="25" t="s">
        <v>69</v>
      </c>
    </row>
    <row r="3614">
      <c r="A3614" s="240">
        <v>43800.0</v>
      </c>
      <c r="B3614" s="171" t="s">
        <v>1250</v>
      </c>
      <c r="C3614" s="171" t="s">
        <v>74</v>
      </c>
      <c r="D3614" s="279" t="s">
        <v>1270</v>
      </c>
      <c r="E3614" s="240">
        <v>43800.0</v>
      </c>
      <c r="F3614" s="21" t="str">
        <f t="shared" si="272"/>
        <v>Dec-2019</v>
      </c>
      <c r="G3614" s="32" t="s">
        <v>20</v>
      </c>
      <c r="H3614" s="25" t="s">
        <v>21</v>
      </c>
      <c r="I3614" s="25" t="s">
        <v>1225</v>
      </c>
      <c r="J3614" s="25" t="s">
        <v>27</v>
      </c>
      <c r="K3614" s="25" t="s">
        <v>9</v>
      </c>
      <c r="L3614" s="25" t="s">
        <v>30</v>
      </c>
      <c r="M3614" s="25" t="s">
        <v>30</v>
      </c>
      <c r="N3614" s="25" t="s">
        <v>69</v>
      </c>
    </row>
    <row r="3615">
      <c r="A3615" s="301" t="s">
        <v>1272</v>
      </c>
      <c r="B3615" s="171" t="s">
        <v>1250</v>
      </c>
      <c r="C3615" s="171" t="s">
        <v>74</v>
      </c>
      <c r="D3615" s="279" t="s">
        <v>1270</v>
      </c>
      <c r="E3615" s="240">
        <v>43800.0</v>
      </c>
      <c r="F3615" s="21" t="str">
        <f t="shared" si="272"/>
        <v>Dec-2019</v>
      </c>
      <c r="G3615" s="32" t="s">
        <v>25</v>
      </c>
      <c r="H3615" s="25" t="s">
        <v>21</v>
      </c>
      <c r="I3615" s="25" t="s">
        <v>1225</v>
      </c>
      <c r="J3615" s="25" t="s">
        <v>27</v>
      </c>
      <c r="K3615" s="25" t="s">
        <v>9</v>
      </c>
      <c r="L3615" s="25" t="s">
        <v>30</v>
      </c>
      <c r="N3615" s="25" t="s">
        <v>106</v>
      </c>
    </row>
    <row r="3616">
      <c r="A3616" s="171" t="s">
        <v>1273</v>
      </c>
      <c r="B3616" s="171" t="s">
        <v>1250</v>
      </c>
      <c r="C3616" s="171" t="s">
        <v>74</v>
      </c>
      <c r="D3616" s="279" t="s">
        <v>1270</v>
      </c>
      <c r="E3616" s="240">
        <v>43800.0</v>
      </c>
      <c r="F3616" s="21" t="str">
        <f t="shared" si="272"/>
        <v>Dec-2019</v>
      </c>
      <c r="G3616" s="32" t="s">
        <v>20</v>
      </c>
      <c r="H3616" s="25" t="s">
        <v>21</v>
      </c>
      <c r="I3616" s="25" t="s">
        <v>944</v>
      </c>
      <c r="J3616" s="25" t="s">
        <v>9</v>
      </c>
      <c r="K3616" s="25" t="s">
        <v>9</v>
      </c>
      <c r="L3616" s="25" t="s">
        <v>30</v>
      </c>
      <c r="M3616" s="25" t="s">
        <v>24</v>
      </c>
      <c r="N3616" s="25" t="s">
        <v>69</v>
      </c>
    </row>
    <row r="3617">
      <c r="A3617" s="171" t="s">
        <v>74</v>
      </c>
      <c r="B3617" s="171" t="s">
        <v>1250</v>
      </c>
      <c r="C3617" s="171" t="s">
        <v>74</v>
      </c>
      <c r="D3617" s="279" t="s">
        <v>1270</v>
      </c>
      <c r="E3617" s="240">
        <v>43800.0</v>
      </c>
      <c r="F3617" s="21" t="str">
        <f t="shared" si="272"/>
        <v>Dec-2019</v>
      </c>
      <c r="G3617" s="32" t="s">
        <v>25</v>
      </c>
      <c r="H3617" s="25" t="s">
        <v>21</v>
      </c>
      <c r="I3617" s="25" t="s">
        <v>944</v>
      </c>
      <c r="J3617" s="25" t="s">
        <v>9</v>
      </c>
      <c r="K3617" s="25" t="s">
        <v>9</v>
      </c>
      <c r="L3617" s="25" t="s">
        <v>24</v>
      </c>
      <c r="N3617" s="25" t="s">
        <v>98</v>
      </c>
    </row>
    <row r="3618">
      <c r="A3618" s="172"/>
      <c r="B3618" s="171" t="s">
        <v>1250</v>
      </c>
      <c r="C3618" s="171" t="s">
        <v>74</v>
      </c>
      <c r="D3618" s="279" t="s">
        <v>1270</v>
      </c>
      <c r="E3618" s="240">
        <v>43800.0</v>
      </c>
      <c r="F3618" s="21" t="str">
        <f t="shared" si="272"/>
        <v>Dec-2019</v>
      </c>
      <c r="G3618" s="32" t="s">
        <v>32</v>
      </c>
      <c r="H3618" s="25" t="s">
        <v>21</v>
      </c>
      <c r="I3618" s="25" t="s">
        <v>944</v>
      </c>
      <c r="J3618" s="25" t="s">
        <v>9</v>
      </c>
      <c r="K3618" s="25" t="s">
        <v>9</v>
      </c>
      <c r="L3618" s="25" t="s">
        <v>24</v>
      </c>
      <c r="N3618" s="25" t="s">
        <v>98</v>
      </c>
    </row>
    <row r="3619">
      <c r="A3619" s="172"/>
      <c r="B3619" s="171" t="s">
        <v>1250</v>
      </c>
      <c r="C3619" s="171" t="s">
        <v>74</v>
      </c>
      <c r="D3619" s="279" t="s">
        <v>1270</v>
      </c>
      <c r="E3619" s="240">
        <v>43800.0</v>
      </c>
      <c r="F3619" s="21" t="str">
        <f t="shared" si="272"/>
        <v>Dec-2019</v>
      </c>
      <c r="G3619" s="32" t="s">
        <v>20</v>
      </c>
      <c r="H3619" s="25" t="s">
        <v>21</v>
      </c>
      <c r="I3619" s="25" t="s">
        <v>407</v>
      </c>
      <c r="J3619" s="25" t="s">
        <v>44</v>
      </c>
      <c r="K3619" s="25" t="s">
        <v>9</v>
      </c>
      <c r="L3619" s="25" t="s">
        <v>30</v>
      </c>
      <c r="M3619" s="25" t="s">
        <v>30</v>
      </c>
      <c r="N3619" s="25" t="s">
        <v>69</v>
      </c>
    </row>
    <row r="3620">
      <c r="A3620" s="172"/>
      <c r="B3620" s="171" t="s">
        <v>1250</v>
      </c>
      <c r="C3620" s="171" t="s">
        <v>74</v>
      </c>
      <c r="D3620" s="279" t="s">
        <v>1270</v>
      </c>
      <c r="E3620" s="240">
        <v>43800.0</v>
      </c>
      <c r="F3620" s="21" t="str">
        <f t="shared" si="272"/>
        <v>Dec-2019</v>
      </c>
      <c r="G3620" s="32" t="s">
        <v>25</v>
      </c>
      <c r="H3620" s="25" t="s">
        <v>21</v>
      </c>
      <c r="I3620" s="25" t="s">
        <v>407</v>
      </c>
      <c r="J3620" s="25" t="s">
        <v>44</v>
      </c>
      <c r="K3620" s="25" t="s">
        <v>9</v>
      </c>
      <c r="L3620" s="25" t="s">
        <v>30</v>
      </c>
      <c r="N3620" s="25" t="s">
        <v>69</v>
      </c>
    </row>
    <row r="3621">
      <c r="A3621" s="172"/>
      <c r="B3621" s="171" t="s">
        <v>1250</v>
      </c>
      <c r="C3621" s="171" t="s">
        <v>74</v>
      </c>
      <c r="D3621" s="279" t="s">
        <v>1270</v>
      </c>
      <c r="E3621" s="240">
        <v>43800.0</v>
      </c>
      <c r="F3621" s="21" t="str">
        <f t="shared" si="272"/>
        <v>Dec-2019</v>
      </c>
      <c r="G3621" s="32" t="s">
        <v>20</v>
      </c>
      <c r="H3621" s="25" t="s">
        <v>21</v>
      </c>
      <c r="I3621" s="25" t="s">
        <v>1191</v>
      </c>
      <c r="J3621" s="25" t="s">
        <v>139</v>
      </c>
      <c r="K3621" s="25" t="s">
        <v>9</v>
      </c>
      <c r="L3621" s="25" t="s">
        <v>30</v>
      </c>
      <c r="M3621" s="25" t="s">
        <v>30</v>
      </c>
      <c r="N3621" s="25" t="s">
        <v>37</v>
      </c>
    </row>
    <row r="3622">
      <c r="A3622" s="172"/>
      <c r="B3622" s="171" t="s">
        <v>1250</v>
      </c>
      <c r="C3622" s="171" t="s">
        <v>74</v>
      </c>
      <c r="D3622" s="279" t="s">
        <v>1270</v>
      </c>
      <c r="E3622" s="240">
        <v>43800.0</v>
      </c>
      <c r="F3622" s="21" t="str">
        <f t="shared" si="272"/>
        <v>Dec-2019</v>
      </c>
      <c r="G3622" s="32" t="s">
        <v>25</v>
      </c>
      <c r="H3622" s="25" t="s">
        <v>21</v>
      </c>
      <c r="I3622" s="25" t="s">
        <v>1191</v>
      </c>
      <c r="J3622" s="25" t="s">
        <v>139</v>
      </c>
      <c r="K3622" s="25" t="s">
        <v>9</v>
      </c>
      <c r="L3622" s="25" t="s">
        <v>30</v>
      </c>
      <c r="N3622" s="25" t="s">
        <v>37</v>
      </c>
    </row>
    <row r="3623">
      <c r="A3623" s="172"/>
      <c r="B3623" s="171" t="s">
        <v>1250</v>
      </c>
      <c r="C3623" s="171" t="s">
        <v>74</v>
      </c>
      <c r="D3623" s="279" t="s">
        <v>1270</v>
      </c>
      <c r="E3623" s="240">
        <v>43800.0</v>
      </c>
      <c r="F3623" s="21" t="str">
        <f t="shared" si="272"/>
        <v>Dec-2019</v>
      </c>
      <c r="G3623" t="s">
        <v>146</v>
      </c>
      <c r="H3623" s="25" t="s">
        <v>35</v>
      </c>
      <c r="I3623" s="25" t="s">
        <v>163</v>
      </c>
      <c r="J3623" s="25" t="s">
        <v>44</v>
      </c>
      <c r="K3623" s="25" t="s">
        <v>9</v>
      </c>
      <c r="L3623" s="25" t="s">
        <v>24</v>
      </c>
      <c r="M3623" s="25" t="s">
        <v>30</v>
      </c>
      <c r="N3623" s="25" t="s">
        <v>69</v>
      </c>
    </row>
    <row r="3624">
      <c r="A3624" s="172"/>
      <c r="B3624" s="171" t="s">
        <v>1250</v>
      </c>
      <c r="C3624" s="171" t="s">
        <v>74</v>
      </c>
      <c r="D3624" s="279" t="s">
        <v>1270</v>
      </c>
      <c r="E3624" s="240">
        <v>43800.0</v>
      </c>
      <c r="F3624" s="21" t="str">
        <f t="shared" si="272"/>
        <v>Dec-2019</v>
      </c>
      <c r="G3624" t="s">
        <v>149</v>
      </c>
      <c r="H3624" s="25" t="s">
        <v>35</v>
      </c>
      <c r="I3624" s="25" t="s">
        <v>163</v>
      </c>
      <c r="J3624" s="25" t="s">
        <v>44</v>
      </c>
      <c r="K3624" s="25" t="s">
        <v>9</v>
      </c>
      <c r="L3624" s="25" t="s">
        <v>30</v>
      </c>
      <c r="N3624" s="25" t="s">
        <v>37</v>
      </c>
    </row>
    <row r="3625">
      <c r="A3625" s="172"/>
      <c r="B3625" s="171" t="s">
        <v>1250</v>
      </c>
      <c r="C3625" s="171" t="s">
        <v>74</v>
      </c>
      <c r="D3625" s="279" t="s">
        <v>1270</v>
      </c>
      <c r="E3625" s="240">
        <v>43800.0</v>
      </c>
      <c r="F3625" s="21" t="str">
        <f t="shared" si="272"/>
        <v>Dec-2019</v>
      </c>
      <c r="G3625" t="s">
        <v>222</v>
      </c>
      <c r="H3625" s="25" t="s">
        <v>35</v>
      </c>
      <c r="I3625" s="25" t="s">
        <v>163</v>
      </c>
      <c r="J3625" s="25" t="s">
        <v>44</v>
      </c>
      <c r="K3625" s="25" t="s">
        <v>9</v>
      </c>
      <c r="L3625" s="25" t="s">
        <v>30</v>
      </c>
      <c r="N3625" s="25" t="s">
        <v>98</v>
      </c>
    </row>
    <row r="3626">
      <c r="A3626" s="172"/>
      <c r="B3626" s="171" t="s">
        <v>1250</v>
      </c>
      <c r="C3626" s="171" t="s">
        <v>74</v>
      </c>
      <c r="D3626" s="279" t="s">
        <v>1270</v>
      </c>
      <c r="E3626" s="240">
        <v>43800.0</v>
      </c>
      <c r="F3626" s="21" t="str">
        <f t="shared" si="272"/>
        <v>Dec-2019</v>
      </c>
      <c r="G3626" t="s">
        <v>467</v>
      </c>
      <c r="H3626" s="25" t="s">
        <v>35</v>
      </c>
      <c r="I3626" s="25" t="s">
        <v>163</v>
      </c>
      <c r="J3626" s="25" t="s">
        <v>44</v>
      </c>
      <c r="K3626" s="25" t="s">
        <v>9</v>
      </c>
      <c r="L3626" s="25" t="s">
        <v>30</v>
      </c>
      <c r="N3626" s="25" t="s">
        <v>29</v>
      </c>
    </row>
    <row r="3627">
      <c r="A3627" s="172"/>
      <c r="B3627" s="171" t="s">
        <v>1250</v>
      </c>
      <c r="C3627" s="171" t="s">
        <v>74</v>
      </c>
      <c r="D3627" s="279" t="s">
        <v>1270</v>
      </c>
      <c r="E3627" s="240">
        <v>43800.0</v>
      </c>
      <c r="F3627" s="21" t="str">
        <f t="shared" si="272"/>
        <v>Dec-2019</v>
      </c>
      <c r="G3627" t="s">
        <v>146</v>
      </c>
      <c r="H3627" s="25" t="s">
        <v>35</v>
      </c>
      <c r="I3627" s="25" t="s">
        <v>393</v>
      </c>
      <c r="J3627" s="25" t="s">
        <v>102</v>
      </c>
      <c r="K3627" s="25" t="s">
        <v>9</v>
      </c>
      <c r="L3627" s="25" t="s">
        <v>30</v>
      </c>
      <c r="M3627" s="25" t="s">
        <v>30</v>
      </c>
      <c r="N3627" s="25" t="s">
        <v>99</v>
      </c>
    </row>
    <row r="3628">
      <c r="A3628" s="172"/>
      <c r="B3628" s="171" t="s">
        <v>1250</v>
      </c>
      <c r="C3628" s="171" t="s">
        <v>74</v>
      </c>
      <c r="D3628" s="279" t="s">
        <v>1270</v>
      </c>
      <c r="E3628" s="240">
        <v>43800.0</v>
      </c>
      <c r="F3628" s="21" t="str">
        <f t="shared" si="272"/>
        <v>Dec-2019</v>
      </c>
      <c r="G3628" t="s">
        <v>149</v>
      </c>
      <c r="H3628" s="25" t="s">
        <v>35</v>
      </c>
      <c r="I3628" s="25" t="s">
        <v>393</v>
      </c>
      <c r="J3628" s="25" t="s">
        <v>102</v>
      </c>
      <c r="K3628" s="25" t="s">
        <v>9</v>
      </c>
      <c r="L3628" s="25" t="s">
        <v>24</v>
      </c>
      <c r="N3628" s="25" t="s">
        <v>29</v>
      </c>
    </row>
    <row r="3629">
      <c r="A3629" s="172"/>
      <c r="B3629" s="171" t="s">
        <v>1250</v>
      </c>
      <c r="C3629" s="171" t="s">
        <v>74</v>
      </c>
      <c r="D3629" s="279" t="s">
        <v>1270</v>
      </c>
      <c r="E3629" s="240">
        <v>43800.0</v>
      </c>
      <c r="F3629" s="21" t="str">
        <f t="shared" si="272"/>
        <v>Dec-2019</v>
      </c>
      <c r="G3629" t="s">
        <v>222</v>
      </c>
      <c r="H3629" s="25" t="s">
        <v>35</v>
      </c>
      <c r="I3629" s="25" t="s">
        <v>393</v>
      </c>
      <c r="J3629" s="25" t="s">
        <v>102</v>
      </c>
      <c r="K3629" s="25" t="s">
        <v>9</v>
      </c>
      <c r="L3629" s="25" t="s">
        <v>30</v>
      </c>
      <c r="N3629" s="25" t="s">
        <v>69</v>
      </c>
    </row>
    <row r="3630">
      <c r="A3630" s="172"/>
      <c r="B3630" s="171" t="s">
        <v>1250</v>
      </c>
      <c r="C3630" s="171" t="s">
        <v>74</v>
      </c>
      <c r="D3630" s="279" t="s">
        <v>1270</v>
      </c>
      <c r="E3630" s="240">
        <v>43800.0</v>
      </c>
      <c r="F3630" s="21" t="str">
        <f t="shared" si="272"/>
        <v>Dec-2019</v>
      </c>
      <c r="G3630" t="s">
        <v>467</v>
      </c>
      <c r="H3630" s="25" t="s">
        <v>35</v>
      </c>
      <c r="I3630" s="25" t="s">
        <v>393</v>
      </c>
      <c r="J3630" s="25" t="s">
        <v>102</v>
      </c>
      <c r="K3630" s="25" t="s">
        <v>9</v>
      </c>
      <c r="L3630" s="25" t="s">
        <v>24</v>
      </c>
      <c r="N3630" s="25" t="s">
        <v>37</v>
      </c>
    </row>
    <row r="3631">
      <c r="A3631" s="172"/>
      <c r="B3631" s="171" t="s">
        <v>1250</v>
      </c>
      <c r="C3631" s="171" t="s">
        <v>74</v>
      </c>
      <c r="D3631" s="279" t="s">
        <v>1270</v>
      </c>
      <c r="E3631" s="240">
        <v>43800.0</v>
      </c>
      <c r="F3631" s="21" t="str">
        <f t="shared" si="272"/>
        <v>Dec-2019</v>
      </c>
      <c r="G3631" s="25" t="s">
        <v>480</v>
      </c>
      <c r="H3631" s="25" t="s">
        <v>35</v>
      </c>
      <c r="I3631" s="25" t="s">
        <v>393</v>
      </c>
      <c r="J3631" s="25" t="s">
        <v>102</v>
      </c>
      <c r="K3631" s="25" t="s">
        <v>9</v>
      </c>
      <c r="L3631" s="25" t="s">
        <v>30</v>
      </c>
      <c r="N3631" s="25" t="s">
        <v>106</v>
      </c>
    </row>
    <row r="3632">
      <c r="A3632" s="172"/>
      <c r="B3632" s="171" t="s">
        <v>1250</v>
      </c>
      <c r="C3632" s="171" t="s">
        <v>74</v>
      </c>
      <c r="D3632" s="279" t="s">
        <v>1270</v>
      </c>
      <c r="E3632" s="240">
        <v>43800.0</v>
      </c>
      <c r="F3632" s="21" t="str">
        <f t="shared" si="272"/>
        <v>Dec-2019</v>
      </c>
      <c r="G3632" t="s">
        <v>146</v>
      </c>
      <c r="H3632" s="25" t="s">
        <v>35</v>
      </c>
      <c r="I3632" s="25" t="s">
        <v>871</v>
      </c>
      <c r="J3632" s="25" t="s">
        <v>138</v>
      </c>
      <c r="K3632" s="25" t="s">
        <v>9</v>
      </c>
      <c r="L3632" s="25" t="s">
        <v>30</v>
      </c>
      <c r="M3632" s="25" t="s">
        <v>30</v>
      </c>
      <c r="N3632" s="25" t="s">
        <v>98</v>
      </c>
    </row>
    <row r="3633">
      <c r="A3633" s="172"/>
      <c r="B3633" s="171" t="s">
        <v>1250</v>
      </c>
      <c r="C3633" s="171" t="s">
        <v>74</v>
      </c>
      <c r="D3633" s="279" t="s">
        <v>1270</v>
      </c>
      <c r="E3633" s="240">
        <v>43800.0</v>
      </c>
      <c r="F3633" s="21" t="str">
        <f t="shared" si="272"/>
        <v>Dec-2019</v>
      </c>
      <c r="G3633" t="s">
        <v>149</v>
      </c>
      <c r="H3633" s="25" t="s">
        <v>35</v>
      </c>
      <c r="I3633" s="25" t="s">
        <v>871</v>
      </c>
      <c r="J3633" s="25" t="s">
        <v>138</v>
      </c>
      <c r="K3633" s="25" t="s">
        <v>9</v>
      </c>
      <c r="L3633" s="25" t="s">
        <v>24</v>
      </c>
      <c r="N3633" s="25" t="s">
        <v>29</v>
      </c>
    </row>
    <row r="3634">
      <c r="A3634" s="172"/>
      <c r="B3634" s="171" t="s">
        <v>1250</v>
      </c>
      <c r="C3634" s="171" t="s">
        <v>74</v>
      </c>
      <c r="D3634" s="279" t="s">
        <v>1270</v>
      </c>
      <c r="E3634" s="240">
        <v>43800.0</v>
      </c>
      <c r="F3634" s="21" t="str">
        <f t="shared" si="272"/>
        <v>Dec-2019</v>
      </c>
      <c r="G3634" t="s">
        <v>222</v>
      </c>
      <c r="H3634" s="25" t="s">
        <v>35</v>
      </c>
      <c r="I3634" s="25" t="s">
        <v>871</v>
      </c>
      <c r="J3634" s="25" t="s">
        <v>138</v>
      </c>
      <c r="K3634" s="25" t="s">
        <v>9</v>
      </c>
      <c r="L3634" s="25" t="s">
        <v>30</v>
      </c>
      <c r="N3634" s="25" t="s">
        <v>69</v>
      </c>
    </row>
    <row r="3635">
      <c r="A3635" s="172"/>
      <c r="B3635" s="171" t="s">
        <v>1250</v>
      </c>
      <c r="C3635" s="171" t="s">
        <v>74</v>
      </c>
      <c r="D3635" s="279" t="s">
        <v>1270</v>
      </c>
      <c r="E3635" s="240">
        <v>43800.0</v>
      </c>
      <c r="F3635" s="21" t="str">
        <f t="shared" si="272"/>
        <v>Dec-2019</v>
      </c>
      <c r="G3635" t="s">
        <v>467</v>
      </c>
      <c r="H3635" s="25" t="s">
        <v>35</v>
      </c>
      <c r="I3635" s="25" t="s">
        <v>871</v>
      </c>
      <c r="J3635" s="25" t="s">
        <v>138</v>
      </c>
      <c r="K3635" s="25" t="s">
        <v>9</v>
      </c>
      <c r="L3635" s="25" t="s">
        <v>24</v>
      </c>
      <c r="N3635" s="25" t="s">
        <v>106</v>
      </c>
    </row>
    <row r="3636">
      <c r="A3636" s="172"/>
      <c r="B3636" s="171" t="s">
        <v>1250</v>
      </c>
      <c r="C3636" s="171" t="s">
        <v>74</v>
      </c>
      <c r="D3636" s="279" t="s">
        <v>1270</v>
      </c>
      <c r="E3636" s="240">
        <v>43800.0</v>
      </c>
      <c r="F3636" s="21" t="str">
        <f t="shared" si="272"/>
        <v>Dec-2019</v>
      </c>
      <c r="G3636" s="25" t="s">
        <v>480</v>
      </c>
      <c r="H3636" s="25" t="s">
        <v>35</v>
      </c>
      <c r="I3636" s="25" t="s">
        <v>871</v>
      </c>
      <c r="J3636" s="25" t="s">
        <v>138</v>
      </c>
      <c r="K3636" s="25" t="s">
        <v>9</v>
      </c>
      <c r="L3636" s="25" t="s">
        <v>30</v>
      </c>
      <c r="N3636" s="25" t="s">
        <v>106</v>
      </c>
    </row>
    <row r="3637">
      <c r="A3637" s="172"/>
      <c r="B3637" s="171" t="s">
        <v>1250</v>
      </c>
      <c r="C3637" s="171" t="s">
        <v>74</v>
      </c>
      <c r="D3637" s="279" t="s">
        <v>1270</v>
      </c>
      <c r="E3637" s="240">
        <v>43800.0</v>
      </c>
      <c r="F3637" s="21" t="str">
        <f t="shared" si="272"/>
        <v>Dec-2019</v>
      </c>
      <c r="G3637" t="s">
        <v>146</v>
      </c>
      <c r="H3637" s="25" t="s">
        <v>35</v>
      </c>
      <c r="I3637" s="25" t="s">
        <v>944</v>
      </c>
      <c r="J3637" s="25" t="s">
        <v>9</v>
      </c>
      <c r="K3637" s="25" t="s">
        <v>9</v>
      </c>
      <c r="L3637" s="25" t="s">
        <v>30</v>
      </c>
      <c r="M3637" s="25" t="s">
        <v>24</v>
      </c>
      <c r="N3637" s="25" t="s">
        <v>69</v>
      </c>
    </row>
    <row r="3638">
      <c r="A3638" s="172"/>
      <c r="B3638" s="171" t="s">
        <v>1250</v>
      </c>
      <c r="C3638" s="171" t="s">
        <v>74</v>
      </c>
      <c r="D3638" s="279" t="s">
        <v>1270</v>
      </c>
      <c r="E3638" s="240">
        <v>43800.0</v>
      </c>
      <c r="F3638" s="21" t="str">
        <f t="shared" si="272"/>
        <v>Dec-2019</v>
      </c>
      <c r="G3638" t="s">
        <v>149</v>
      </c>
      <c r="H3638" s="25" t="s">
        <v>35</v>
      </c>
      <c r="I3638" s="25" t="s">
        <v>944</v>
      </c>
      <c r="J3638" s="25" t="s">
        <v>9</v>
      </c>
      <c r="K3638" s="25" t="s">
        <v>9</v>
      </c>
      <c r="L3638" s="25" t="s">
        <v>24</v>
      </c>
      <c r="N3638" s="25" t="s">
        <v>98</v>
      </c>
    </row>
    <row r="3639">
      <c r="A3639" s="172"/>
      <c r="B3639" s="171" t="s">
        <v>1250</v>
      </c>
      <c r="C3639" s="171" t="s">
        <v>74</v>
      </c>
      <c r="D3639" s="279" t="s">
        <v>1270</v>
      </c>
      <c r="E3639" s="240">
        <v>43800.0</v>
      </c>
      <c r="F3639" s="21" t="str">
        <f t="shared" si="272"/>
        <v>Dec-2019</v>
      </c>
      <c r="G3639" t="s">
        <v>222</v>
      </c>
      <c r="H3639" s="25" t="s">
        <v>35</v>
      </c>
      <c r="I3639" s="25" t="s">
        <v>944</v>
      </c>
      <c r="J3639" s="25" t="s">
        <v>9</v>
      </c>
      <c r="K3639" s="25" t="s">
        <v>9</v>
      </c>
      <c r="L3639" s="25" t="s">
        <v>24</v>
      </c>
      <c r="N3639" s="25" t="s">
        <v>99</v>
      </c>
    </row>
    <row r="3640">
      <c r="A3640" s="172"/>
      <c r="B3640" s="171" t="s">
        <v>1250</v>
      </c>
      <c r="C3640" s="171" t="s">
        <v>74</v>
      </c>
      <c r="D3640" s="279" t="s">
        <v>1270</v>
      </c>
      <c r="E3640" s="240">
        <v>43800.0</v>
      </c>
      <c r="F3640" s="21" t="str">
        <f t="shared" si="272"/>
        <v>Dec-2019</v>
      </c>
      <c r="G3640" t="s">
        <v>467</v>
      </c>
      <c r="H3640" s="25" t="s">
        <v>35</v>
      </c>
      <c r="I3640" s="25" t="s">
        <v>944</v>
      </c>
      <c r="J3640" s="25" t="s">
        <v>9</v>
      </c>
      <c r="K3640" s="25" t="s">
        <v>9</v>
      </c>
      <c r="L3640" s="25" t="s">
        <v>30</v>
      </c>
      <c r="N3640" s="25" t="s">
        <v>99</v>
      </c>
    </row>
    <row r="3641">
      <c r="A3641" s="172"/>
      <c r="B3641" s="171" t="s">
        <v>1250</v>
      </c>
      <c r="C3641" s="171" t="s">
        <v>74</v>
      </c>
      <c r="D3641" s="279" t="s">
        <v>1270</v>
      </c>
      <c r="E3641" s="240">
        <v>43800.0</v>
      </c>
      <c r="F3641" s="21" t="str">
        <f t="shared" si="272"/>
        <v>Dec-2019</v>
      </c>
      <c r="G3641" s="25" t="s">
        <v>480</v>
      </c>
      <c r="H3641" s="25" t="s">
        <v>35</v>
      </c>
      <c r="I3641" s="25" t="s">
        <v>944</v>
      </c>
      <c r="J3641" s="25" t="s">
        <v>9</v>
      </c>
      <c r="K3641" s="25" t="s">
        <v>9</v>
      </c>
      <c r="L3641" s="25" t="s">
        <v>24</v>
      </c>
      <c r="N3641" s="25" t="s">
        <v>106</v>
      </c>
    </row>
    <row r="3642">
      <c r="A3642" s="94"/>
      <c r="F3642" s="21"/>
    </row>
    <row r="3643">
      <c r="A3643" s="279" t="s">
        <v>1274</v>
      </c>
      <c r="B3643" s="171" t="s">
        <v>18</v>
      </c>
      <c r="C3643" s="171" t="s">
        <v>84</v>
      </c>
      <c r="D3643" s="279" t="s">
        <v>1274</v>
      </c>
      <c r="E3643" s="240">
        <v>43813.0</v>
      </c>
      <c r="F3643" s="21" t="str">
        <f t="shared" ref="F3643:F3652" si="273">TEXT(E3635:E3643, "mmm") &amp; "-" &amp; TEXT(E3635:E3643, "yyyy") </f>
        <v>Dec-2019</v>
      </c>
      <c r="G3643" s="32" t="s">
        <v>20</v>
      </c>
      <c r="H3643" s="25" t="s">
        <v>35</v>
      </c>
      <c r="I3643" s="25" t="s">
        <v>1275</v>
      </c>
      <c r="J3643" s="25" t="s">
        <v>9</v>
      </c>
      <c r="K3643" s="25" t="s">
        <v>9</v>
      </c>
      <c r="L3643" s="25" t="s">
        <v>24</v>
      </c>
      <c r="M3643" s="25" t="s">
        <v>24</v>
      </c>
      <c r="N3643" s="25" t="s">
        <v>69</v>
      </c>
    </row>
    <row r="3644">
      <c r="A3644" s="171" t="s">
        <v>18</v>
      </c>
      <c r="B3644" s="171" t="s">
        <v>18</v>
      </c>
      <c r="C3644" s="171" t="s">
        <v>84</v>
      </c>
      <c r="D3644" s="279" t="s">
        <v>1274</v>
      </c>
      <c r="E3644" s="240">
        <v>43813.0</v>
      </c>
      <c r="F3644" s="21" t="str">
        <f t="shared" si="273"/>
        <v>Dec-2019</v>
      </c>
      <c r="G3644" s="32" t="s">
        <v>25</v>
      </c>
      <c r="H3644" s="25" t="s">
        <v>35</v>
      </c>
      <c r="I3644" s="25" t="s">
        <v>1275</v>
      </c>
      <c r="J3644" s="25" t="s">
        <v>9</v>
      </c>
      <c r="K3644" s="25" t="s">
        <v>9</v>
      </c>
      <c r="L3644" s="25" t="s">
        <v>30</v>
      </c>
      <c r="N3644" s="25" t="s">
        <v>69</v>
      </c>
    </row>
    <row r="3645">
      <c r="A3645" s="240">
        <v>43813.0</v>
      </c>
      <c r="B3645" s="171" t="s">
        <v>18</v>
      </c>
      <c r="C3645" s="171" t="s">
        <v>84</v>
      </c>
      <c r="D3645" s="279" t="s">
        <v>1274</v>
      </c>
      <c r="E3645" s="240">
        <v>43813.0</v>
      </c>
      <c r="F3645" s="21" t="str">
        <f t="shared" si="273"/>
        <v>Dec-2019</v>
      </c>
      <c r="G3645" s="32" t="s">
        <v>32</v>
      </c>
      <c r="H3645" s="25" t="s">
        <v>35</v>
      </c>
      <c r="I3645" s="25" t="s">
        <v>1275</v>
      </c>
      <c r="J3645" s="25" t="s">
        <v>9</v>
      </c>
      <c r="K3645" s="25" t="s">
        <v>9</v>
      </c>
      <c r="L3645" s="25" t="s">
        <v>24</v>
      </c>
      <c r="N3645" s="25" t="s">
        <v>98</v>
      </c>
    </row>
    <row r="3646">
      <c r="A3646" s="301" t="s">
        <v>1276</v>
      </c>
      <c r="B3646" s="171" t="s">
        <v>18</v>
      </c>
      <c r="C3646" s="171" t="s">
        <v>84</v>
      </c>
      <c r="D3646" s="279" t="s">
        <v>1274</v>
      </c>
      <c r="E3646" s="240">
        <v>43813.0</v>
      </c>
      <c r="F3646" s="21" t="str">
        <f t="shared" si="273"/>
        <v>Dec-2019</v>
      </c>
      <c r="G3646" s="32" t="s">
        <v>20</v>
      </c>
      <c r="H3646" s="25" t="s">
        <v>35</v>
      </c>
      <c r="I3646" s="25" t="s">
        <v>1244</v>
      </c>
      <c r="J3646" s="25" t="s">
        <v>23</v>
      </c>
      <c r="K3646" s="25" t="s">
        <v>9</v>
      </c>
      <c r="L3646" s="25" t="s">
        <v>30</v>
      </c>
      <c r="M3646" s="25" t="s">
        <v>30</v>
      </c>
      <c r="N3646" s="25" t="s">
        <v>37</v>
      </c>
    </row>
    <row r="3647">
      <c r="A3647" s="172"/>
      <c r="B3647" s="171" t="s">
        <v>18</v>
      </c>
      <c r="C3647" s="171" t="s">
        <v>84</v>
      </c>
      <c r="D3647" s="279" t="s">
        <v>1274</v>
      </c>
      <c r="E3647" s="240">
        <v>43813.0</v>
      </c>
      <c r="F3647" s="21" t="str">
        <f t="shared" si="273"/>
        <v>Dec-2019</v>
      </c>
      <c r="G3647" s="32" t="s">
        <v>25</v>
      </c>
      <c r="H3647" s="25" t="s">
        <v>35</v>
      </c>
      <c r="I3647" s="25" t="s">
        <v>1244</v>
      </c>
      <c r="J3647" s="25" t="s">
        <v>44</v>
      </c>
      <c r="K3647" s="25" t="s">
        <v>9</v>
      </c>
      <c r="L3647" s="25" t="s">
        <v>30</v>
      </c>
      <c r="N3647" s="25" t="s">
        <v>99</v>
      </c>
    </row>
    <row r="3648">
      <c r="A3648" s="171" t="s">
        <v>84</v>
      </c>
      <c r="B3648" s="171" t="s">
        <v>18</v>
      </c>
      <c r="C3648" s="171" t="s">
        <v>84</v>
      </c>
      <c r="D3648" s="279" t="s">
        <v>1274</v>
      </c>
      <c r="E3648" s="240">
        <v>43813.0</v>
      </c>
      <c r="F3648" s="21" t="str">
        <f t="shared" si="273"/>
        <v>Dec-2019</v>
      </c>
      <c r="G3648" s="32" t="s">
        <v>20</v>
      </c>
      <c r="H3648" s="25" t="s">
        <v>35</v>
      </c>
      <c r="I3648" s="25" t="s">
        <v>294</v>
      </c>
      <c r="J3648" s="25" t="s">
        <v>27</v>
      </c>
      <c r="K3648" s="25" t="s">
        <v>9</v>
      </c>
      <c r="L3648" s="25" t="s">
        <v>30</v>
      </c>
      <c r="M3648" s="25" t="s">
        <v>30</v>
      </c>
      <c r="N3648" s="25" t="s">
        <v>37</v>
      </c>
    </row>
    <row r="3649">
      <c r="A3649" s="172"/>
      <c r="B3649" s="171" t="s">
        <v>18</v>
      </c>
      <c r="C3649" s="171" t="s">
        <v>84</v>
      </c>
      <c r="D3649" s="279" t="s">
        <v>1274</v>
      </c>
      <c r="E3649" s="240">
        <v>43813.0</v>
      </c>
      <c r="F3649" s="21" t="str">
        <f t="shared" si="273"/>
        <v>Dec-2019</v>
      </c>
      <c r="G3649" s="32" t="s">
        <v>25</v>
      </c>
      <c r="H3649" s="25" t="s">
        <v>35</v>
      </c>
      <c r="I3649" s="25" t="s">
        <v>294</v>
      </c>
      <c r="J3649" s="25" t="s">
        <v>27</v>
      </c>
      <c r="K3649" s="25" t="s">
        <v>9</v>
      </c>
      <c r="L3649" s="25" t="s">
        <v>30</v>
      </c>
      <c r="N3649" s="25" t="s">
        <v>106</v>
      </c>
    </row>
    <row r="3650">
      <c r="A3650" s="172"/>
      <c r="B3650" s="171" t="s">
        <v>18</v>
      </c>
      <c r="C3650" s="171" t="s">
        <v>84</v>
      </c>
      <c r="D3650" s="279" t="s">
        <v>1274</v>
      </c>
      <c r="E3650" s="240">
        <v>43813.0</v>
      </c>
      <c r="F3650" s="21" t="str">
        <f t="shared" si="273"/>
        <v>Dec-2019</v>
      </c>
      <c r="G3650" s="32" t="s">
        <v>20</v>
      </c>
      <c r="H3650" s="25" t="s">
        <v>35</v>
      </c>
      <c r="I3650" s="25" t="s">
        <v>100</v>
      </c>
      <c r="J3650" s="25" t="s">
        <v>9</v>
      </c>
      <c r="K3650" s="25" t="s">
        <v>9</v>
      </c>
      <c r="L3650" s="25" t="s">
        <v>30</v>
      </c>
      <c r="M3650" s="25" t="s">
        <v>24</v>
      </c>
      <c r="N3650" s="25" t="s">
        <v>69</v>
      </c>
    </row>
    <row r="3651">
      <c r="A3651" s="172"/>
      <c r="B3651" s="171" t="s">
        <v>18</v>
      </c>
      <c r="C3651" s="171" t="s">
        <v>84</v>
      </c>
      <c r="D3651" s="279" t="s">
        <v>1274</v>
      </c>
      <c r="E3651" s="240">
        <v>43813.0</v>
      </c>
      <c r="F3651" s="21" t="str">
        <f t="shared" si="273"/>
        <v>Dec-2019</v>
      </c>
      <c r="G3651" s="32" t="s">
        <v>25</v>
      </c>
      <c r="H3651" s="25" t="s">
        <v>35</v>
      </c>
      <c r="I3651" s="25" t="s">
        <v>100</v>
      </c>
      <c r="J3651" s="25" t="s">
        <v>9</v>
      </c>
      <c r="K3651" s="25" t="s">
        <v>9</v>
      </c>
      <c r="L3651" s="25" t="s">
        <v>24</v>
      </c>
      <c r="N3651" s="25" t="s">
        <v>98</v>
      </c>
    </row>
    <row r="3652">
      <c r="A3652" s="172"/>
      <c r="B3652" s="171" t="s">
        <v>18</v>
      </c>
      <c r="C3652" s="171" t="s">
        <v>84</v>
      </c>
      <c r="D3652" s="279" t="s">
        <v>1274</v>
      </c>
      <c r="E3652" s="240">
        <v>43813.0</v>
      </c>
      <c r="F3652" s="21" t="str">
        <f t="shared" si="273"/>
        <v>Dec-2019</v>
      </c>
      <c r="G3652" s="32" t="s">
        <v>32</v>
      </c>
      <c r="H3652" s="25" t="s">
        <v>35</v>
      </c>
      <c r="I3652" s="25" t="s">
        <v>100</v>
      </c>
      <c r="J3652" s="25" t="s">
        <v>9</v>
      </c>
      <c r="K3652" s="25" t="s">
        <v>9</v>
      </c>
      <c r="L3652" s="25" t="s">
        <v>24</v>
      </c>
      <c r="N3652" s="25" t="s">
        <v>99</v>
      </c>
    </row>
    <row r="3653">
      <c r="A3653" s="94"/>
      <c r="F3653" s="21"/>
    </row>
    <row r="3654">
      <c r="A3654" s="279" t="s">
        <v>1277</v>
      </c>
      <c r="B3654" s="171" t="s">
        <v>228</v>
      </c>
      <c r="C3654" s="171" t="s">
        <v>84</v>
      </c>
      <c r="D3654" s="279" t="s">
        <v>1277</v>
      </c>
      <c r="E3654" s="240">
        <v>43827.0</v>
      </c>
      <c r="F3654" s="21" t="str">
        <f t="shared" ref="F3654:F3665" si="274">TEXT(E3646:E3654, "mmm") &amp; "-" &amp; TEXT(E3646:E3654, "yyyy") </f>
        <v>Dec-2019</v>
      </c>
      <c r="G3654" s="32" t="s">
        <v>20</v>
      </c>
      <c r="H3654" s="25" t="s">
        <v>35</v>
      </c>
      <c r="I3654" s="25" t="s">
        <v>444</v>
      </c>
      <c r="J3654" s="25" t="s">
        <v>9</v>
      </c>
      <c r="K3654" s="25" t="s">
        <v>9</v>
      </c>
      <c r="L3654" s="25" t="s">
        <v>30</v>
      </c>
      <c r="M3654" s="25" t="s">
        <v>30</v>
      </c>
      <c r="N3654" s="25" t="s">
        <v>98</v>
      </c>
    </row>
    <row r="3655">
      <c r="A3655" s="171" t="s">
        <v>228</v>
      </c>
      <c r="B3655" s="171" t="s">
        <v>228</v>
      </c>
      <c r="C3655" s="171" t="s">
        <v>84</v>
      </c>
      <c r="D3655" s="279" t="s">
        <v>1277</v>
      </c>
      <c r="E3655" s="240">
        <v>43827.0</v>
      </c>
      <c r="F3655" s="21" t="str">
        <f t="shared" si="274"/>
        <v>Dec-2019</v>
      </c>
      <c r="G3655" s="32" t="s">
        <v>25</v>
      </c>
      <c r="H3655" s="25" t="s">
        <v>35</v>
      </c>
      <c r="I3655" s="25" t="s">
        <v>444</v>
      </c>
      <c r="J3655" s="25" t="s">
        <v>9</v>
      </c>
      <c r="K3655" s="25" t="s">
        <v>9</v>
      </c>
      <c r="L3655" s="25" t="s">
        <v>30</v>
      </c>
      <c r="N3655" s="25" t="s">
        <v>98</v>
      </c>
    </row>
    <row r="3656">
      <c r="A3656" s="171" t="s">
        <v>1278</v>
      </c>
      <c r="B3656" s="171" t="s">
        <v>228</v>
      </c>
      <c r="C3656" s="171" t="s">
        <v>84</v>
      </c>
      <c r="D3656" s="279" t="s">
        <v>1277</v>
      </c>
      <c r="E3656" s="240">
        <v>43827.0</v>
      </c>
      <c r="F3656" s="21" t="str">
        <f t="shared" si="274"/>
        <v>Dec-2019</v>
      </c>
      <c r="G3656" s="32" t="s">
        <v>20</v>
      </c>
      <c r="H3656" s="25" t="s">
        <v>35</v>
      </c>
      <c r="I3656" s="25" t="s">
        <v>771</v>
      </c>
      <c r="J3656" s="25" t="s">
        <v>64</v>
      </c>
      <c r="K3656" s="25" t="s">
        <v>9</v>
      </c>
      <c r="L3656" s="25" t="s">
        <v>30</v>
      </c>
      <c r="M3656" s="25" t="s">
        <v>24</v>
      </c>
      <c r="N3656" s="25" t="s">
        <v>98</v>
      </c>
    </row>
    <row r="3657">
      <c r="A3657" s="240">
        <v>43827.0</v>
      </c>
      <c r="B3657" s="171" t="s">
        <v>228</v>
      </c>
      <c r="C3657" s="171" t="s">
        <v>84</v>
      </c>
      <c r="D3657" s="279" t="s">
        <v>1277</v>
      </c>
      <c r="E3657" s="240">
        <v>43827.0</v>
      </c>
      <c r="F3657" s="21" t="str">
        <f t="shared" si="274"/>
        <v>Dec-2019</v>
      </c>
      <c r="G3657" s="32" t="s">
        <v>25</v>
      </c>
      <c r="H3657" s="25" t="s">
        <v>35</v>
      </c>
      <c r="I3657" s="25" t="s">
        <v>771</v>
      </c>
      <c r="J3657" s="25" t="s">
        <v>64</v>
      </c>
      <c r="K3657" s="25" t="s">
        <v>9</v>
      </c>
      <c r="L3657" s="25" t="s">
        <v>24</v>
      </c>
      <c r="N3657" s="25" t="s">
        <v>99</v>
      </c>
    </row>
    <row r="3658">
      <c r="A3658" s="301" t="s">
        <v>1279</v>
      </c>
      <c r="B3658" s="171" t="s">
        <v>228</v>
      </c>
      <c r="C3658" s="171" t="s">
        <v>84</v>
      </c>
      <c r="D3658" s="279" t="s">
        <v>1277</v>
      </c>
      <c r="E3658" s="240">
        <v>43827.0</v>
      </c>
      <c r="F3658" s="21" t="str">
        <f t="shared" si="274"/>
        <v>Dec-2019</v>
      </c>
      <c r="G3658" s="32" t="s">
        <v>32</v>
      </c>
      <c r="H3658" s="25" t="s">
        <v>35</v>
      </c>
      <c r="I3658" s="25" t="s">
        <v>771</v>
      </c>
      <c r="J3658" s="25" t="s">
        <v>64</v>
      </c>
      <c r="K3658" s="25" t="s">
        <v>9</v>
      </c>
      <c r="L3658" s="25" t="s">
        <v>24</v>
      </c>
      <c r="N3658" s="25" t="s">
        <v>106</v>
      </c>
    </row>
    <row r="3659">
      <c r="A3659" s="172"/>
      <c r="B3659" s="171" t="s">
        <v>228</v>
      </c>
      <c r="C3659" s="171" t="s">
        <v>84</v>
      </c>
      <c r="D3659" s="279" t="s">
        <v>1277</v>
      </c>
      <c r="E3659" s="240">
        <v>43827.0</v>
      </c>
      <c r="F3659" s="21" t="str">
        <f t="shared" si="274"/>
        <v>Dec-2019</v>
      </c>
      <c r="G3659" s="32" t="s">
        <v>20</v>
      </c>
      <c r="H3659" s="25" t="s">
        <v>35</v>
      </c>
      <c r="I3659" s="25" t="s">
        <v>1072</v>
      </c>
      <c r="J3659" s="25" t="s">
        <v>27</v>
      </c>
      <c r="K3659" s="25" t="s">
        <v>9</v>
      </c>
      <c r="L3659" s="25" t="s">
        <v>30</v>
      </c>
      <c r="M3659" s="25" t="s">
        <v>30</v>
      </c>
      <c r="N3659" s="25" t="s">
        <v>98</v>
      </c>
    </row>
    <row r="3660">
      <c r="A3660" s="172"/>
      <c r="B3660" s="171" t="s">
        <v>228</v>
      </c>
      <c r="C3660" s="171" t="s">
        <v>84</v>
      </c>
      <c r="D3660" s="279" t="s">
        <v>1277</v>
      </c>
      <c r="E3660" s="240">
        <v>43827.0</v>
      </c>
      <c r="F3660" s="21" t="str">
        <f t="shared" si="274"/>
        <v>Dec-2019</v>
      </c>
      <c r="G3660" s="32" t="s">
        <v>25</v>
      </c>
      <c r="H3660" s="25" t="s">
        <v>35</v>
      </c>
      <c r="I3660" s="25" t="s">
        <v>1072</v>
      </c>
      <c r="J3660" s="25" t="s">
        <v>27</v>
      </c>
      <c r="K3660" s="25" t="s">
        <v>9</v>
      </c>
      <c r="L3660" s="25" t="s">
        <v>30</v>
      </c>
      <c r="N3660" s="25" t="s">
        <v>98</v>
      </c>
    </row>
    <row r="3661">
      <c r="A3661" s="171" t="s">
        <v>84</v>
      </c>
      <c r="B3661" s="171" t="s">
        <v>228</v>
      </c>
      <c r="C3661" s="171" t="s">
        <v>84</v>
      </c>
      <c r="D3661" s="279" t="s">
        <v>1277</v>
      </c>
      <c r="E3661" s="240">
        <v>43827.0</v>
      </c>
      <c r="F3661" s="21" t="str">
        <f t="shared" si="274"/>
        <v>Dec-2019</v>
      </c>
      <c r="G3661" s="32" t="s">
        <v>20</v>
      </c>
      <c r="H3661" s="25" t="s">
        <v>35</v>
      </c>
      <c r="I3661" s="25" t="s">
        <v>906</v>
      </c>
      <c r="J3661" s="25" t="s">
        <v>27</v>
      </c>
      <c r="K3661" s="25" t="s">
        <v>9</v>
      </c>
      <c r="L3661" s="25" t="s">
        <v>30</v>
      </c>
      <c r="M3661" s="25" t="s">
        <v>30</v>
      </c>
      <c r="N3661" s="25" t="s">
        <v>37</v>
      </c>
    </row>
    <row r="3662">
      <c r="A3662" s="172"/>
      <c r="B3662" s="171" t="s">
        <v>228</v>
      </c>
      <c r="C3662" s="171" t="s">
        <v>84</v>
      </c>
      <c r="D3662" s="279" t="s">
        <v>1277</v>
      </c>
      <c r="E3662" s="240">
        <v>43827.0</v>
      </c>
      <c r="F3662" s="21" t="str">
        <f t="shared" si="274"/>
        <v>Dec-2019</v>
      </c>
      <c r="G3662" s="32" t="s">
        <v>25</v>
      </c>
      <c r="H3662" s="25" t="s">
        <v>35</v>
      </c>
      <c r="I3662" s="25" t="s">
        <v>906</v>
      </c>
      <c r="J3662" s="25" t="s">
        <v>27</v>
      </c>
      <c r="K3662" s="25" t="s">
        <v>9</v>
      </c>
      <c r="L3662" s="25" t="s">
        <v>30</v>
      </c>
      <c r="N3662" s="25" t="s">
        <v>106</v>
      </c>
    </row>
    <row r="3663">
      <c r="A3663" s="172"/>
      <c r="B3663" s="171" t="s">
        <v>228</v>
      </c>
      <c r="C3663" s="171" t="s">
        <v>84</v>
      </c>
      <c r="D3663" s="279" t="s">
        <v>1277</v>
      </c>
      <c r="E3663" s="240">
        <v>43827.0</v>
      </c>
      <c r="F3663" s="21" t="str">
        <f t="shared" si="274"/>
        <v>Dec-2019</v>
      </c>
      <c r="G3663" t="s">
        <v>146</v>
      </c>
      <c r="H3663" s="25" t="s">
        <v>35</v>
      </c>
      <c r="I3663" s="25" t="s">
        <v>274</v>
      </c>
      <c r="J3663" s="25" t="s">
        <v>71</v>
      </c>
      <c r="K3663" s="25" t="s">
        <v>9</v>
      </c>
      <c r="L3663" s="25" t="s">
        <v>24</v>
      </c>
      <c r="M3663" s="25" t="s">
        <v>24</v>
      </c>
      <c r="N3663" s="25" t="s">
        <v>99</v>
      </c>
    </row>
    <row r="3664">
      <c r="A3664" s="172"/>
      <c r="B3664" s="171" t="s">
        <v>228</v>
      </c>
      <c r="C3664" s="171" t="s">
        <v>84</v>
      </c>
      <c r="D3664" s="279" t="s">
        <v>1277</v>
      </c>
      <c r="E3664" s="240">
        <v>43827.0</v>
      </c>
      <c r="F3664" s="21" t="str">
        <f t="shared" si="274"/>
        <v>Dec-2019</v>
      </c>
      <c r="G3664" t="s">
        <v>149</v>
      </c>
      <c r="H3664" s="25" t="s">
        <v>35</v>
      </c>
      <c r="I3664" s="25" t="s">
        <v>274</v>
      </c>
      <c r="J3664" s="25" t="s">
        <v>71</v>
      </c>
      <c r="K3664" s="25" t="s">
        <v>9</v>
      </c>
      <c r="L3664" s="25" t="s">
        <v>24</v>
      </c>
      <c r="N3664" s="25" t="s">
        <v>69</v>
      </c>
    </row>
    <row r="3665">
      <c r="A3665" s="172"/>
      <c r="B3665" s="171" t="s">
        <v>228</v>
      </c>
      <c r="C3665" s="171" t="s">
        <v>84</v>
      </c>
      <c r="D3665" s="279" t="s">
        <v>1277</v>
      </c>
      <c r="E3665" s="240">
        <v>43827.0</v>
      </c>
      <c r="F3665" s="21" t="str">
        <f t="shared" si="274"/>
        <v>Dec-2019</v>
      </c>
      <c r="G3665" t="s">
        <v>222</v>
      </c>
      <c r="H3665" s="25" t="s">
        <v>35</v>
      </c>
      <c r="I3665" s="25" t="s">
        <v>274</v>
      </c>
      <c r="J3665" s="25" t="s">
        <v>71</v>
      </c>
      <c r="K3665" s="25" t="s">
        <v>9</v>
      </c>
      <c r="L3665" s="25" t="s">
        <v>24</v>
      </c>
      <c r="N3665" s="25" t="s">
        <v>69</v>
      </c>
    </row>
    <row r="3666">
      <c r="A3666" s="94"/>
      <c r="F3666" s="21"/>
    </row>
    <row r="3667">
      <c r="A3667" s="279" t="s">
        <v>1280</v>
      </c>
      <c r="B3667" s="171" t="s">
        <v>1281</v>
      </c>
      <c r="C3667" s="171" t="s">
        <v>84</v>
      </c>
      <c r="D3667" s="279" t="s">
        <v>1280</v>
      </c>
      <c r="E3667" s="240">
        <v>43841.0</v>
      </c>
      <c r="F3667" s="21" t="str">
        <f t="shared" ref="F3667:F3682" si="275">TEXT(E3659:E3667, "mmm") &amp; "-" &amp; TEXT(E3659:E3667, "yyyy") </f>
        <v>Jan-2020</v>
      </c>
      <c r="G3667" s="32" t="s">
        <v>20</v>
      </c>
      <c r="H3667" s="25" t="s">
        <v>287</v>
      </c>
      <c r="I3667" s="25" t="s">
        <v>1282</v>
      </c>
      <c r="J3667" s="25" t="s">
        <v>44</v>
      </c>
      <c r="K3667" s="25" t="s">
        <v>9</v>
      </c>
      <c r="L3667" s="25" t="s">
        <v>30</v>
      </c>
      <c r="M3667" s="25" t="s">
        <v>24</v>
      </c>
      <c r="N3667" s="25" t="s">
        <v>69</v>
      </c>
    </row>
    <row r="3668">
      <c r="A3668" s="171" t="s">
        <v>1281</v>
      </c>
      <c r="B3668" s="171" t="s">
        <v>1281</v>
      </c>
      <c r="C3668" s="171" t="s">
        <v>84</v>
      </c>
      <c r="D3668" s="279" t="s">
        <v>1280</v>
      </c>
      <c r="E3668" s="240">
        <v>43841.0</v>
      </c>
      <c r="F3668" s="21" t="str">
        <f t="shared" si="275"/>
        <v>Jan-2020</v>
      </c>
      <c r="G3668" s="32" t="s">
        <v>25</v>
      </c>
      <c r="H3668" s="25" t="s">
        <v>287</v>
      </c>
      <c r="I3668" s="25" t="s">
        <v>1282</v>
      </c>
      <c r="J3668" s="25" t="s">
        <v>44</v>
      </c>
      <c r="K3668" s="25" t="s">
        <v>9</v>
      </c>
      <c r="L3668" s="25" t="s">
        <v>24</v>
      </c>
      <c r="N3668" s="25" t="s">
        <v>98</v>
      </c>
    </row>
    <row r="3669">
      <c r="A3669" s="240">
        <v>43841.0</v>
      </c>
      <c r="B3669" s="171" t="s">
        <v>1281</v>
      </c>
      <c r="C3669" s="171" t="s">
        <v>84</v>
      </c>
      <c r="D3669" s="279" t="s">
        <v>1280</v>
      </c>
      <c r="E3669" s="240">
        <v>43841.0</v>
      </c>
      <c r="F3669" s="21" t="str">
        <f t="shared" si="275"/>
        <v>Jan-2020</v>
      </c>
      <c r="G3669" s="32" t="s">
        <v>32</v>
      </c>
      <c r="H3669" s="25" t="s">
        <v>287</v>
      </c>
      <c r="I3669" s="25" t="s">
        <v>1282</v>
      </c>
      <c r="J3669" s="25" t="s">
        <v>44</v>
      </c>
      <c r="K3669" s="25" t="s">
        <v>9</v>
      </c>
      <c r="L3669" s="25" t="s">
        <v>24</v>
      </c>
      <c r="N3669" s="25" t="s">
        <v>106</v>
      </c>
    </row>
    <row r="3670">
      <c r="A3670" s="301" t="s">
        <v>1283</v>
      </c>
      <c r="B3670" s="171" t="s">
        <v>1281</v>
      </c>
      <c r="C3670" s="171" t="s">
        <v>84</v>
      </c>
      <c r="D3670" s="279" t="s">
        <v>1280</v>
      </c>
      <c r="E3670" s="240">
        <v>43841.0</v>
      </c>
      <c r="F3670" s="21" t="str">
        <f t="shared" si="275"/>
        <v>Jan-2020</v>
      </c>
      <c r="G3670" s="32" t="s">
        <v>20</v>
      </c>
      <c r="H3670" s="25" t="s">
        <v>287</v>
      </c>
      <c r="I3670" s="25" t="s">
        <v>190</v>
      </c>
      <c r="J3670" s="25" t="s">
        <v>9</v>
      </c>
      <c r="K3670" s="25" t="s">
        <v>9</v>
      </c>
      <c r="L3670" s="25" t="s">
        <v>24</v>
      </c>
      <c r="M3670" s="25" t="s">
        <v>24</v>
      </c>
      <c r="N3670" s="25" t="s">
        <v>99</v>
      </c>
    </row>
    <row r="3671">
      <c r="A3671" s="172"/>
      <c r="B3671" s="171" t="s">
        <v>1281</v>
      </c>
      <c r="C3671" s="171" t="s">
        <v>84</v>
      </c>
      <c r="D3671" s="279" t="s">
        <v>1280</v>
      </c>
      <c r="E3671" s="240">
        <v>43841.0</v>
      </c>
      <c r="F3671" s="21" t="str">
        <f t="shared" si="275"/>
        <v>Jan-2020</v>
      </c>
      <c r="G3671" s="32" t="s">
        <v>25</v>
      </c>
      <c r="H3671" s="25" t="s">
        <v>287</v>
      </c>
      <c r="I3671" s="25" t="s">
        <v>190</v>
      </c>
      <c r="J3671" s="25" t="s">
        <v>9</v>
      </c>
      <c r="K3671" s="25" t="s">
        <v>9</v>
      </c>
      <c r="L3671" s="25" t="s">
        <v>24</v>
      </c>
      <c r="N3671" s="25" t="s">
        <v>69</v>
      </c>
    </row>
    <row r="3672">
      <c r="A3672" s="171" t="s">
        <v>1284</v>
      </c>
      <c r="B3672" s="171" t="s">
        <v>1281</v>
      </c>
      <c r="C3672" s="171" t="s">
        <v>84</v>
      </c>
      <c r="D3672" s="279" t="s">
        <v>1280</v>
      </c>
      <c r="E3672" s="240">
        <v>43841.0</v>
      </c>
      <c r="F3672" s="21" t="str">
        <f t="shared" si="275"/>
        <v>Jan-2020</v>
      </c>
      <c r="G3672" s="32" t="s">
        <v>20</v>
      </c>
      <c r="H3672" s="25" t="s">
        <v>287</v>
      </c>
      <c r="I3672" s="25" t="s">
        <v>1285</v>
      </c>
      <c r="J3672" s="25" t="s">
        <v>139</v>
      </c>
      <c r="K3672" s="25" t="s">
        <v>9</v>
      </c>
      <c r="L3672" s="25" t="s">
        <v>30</v>
      </c>
      <c r="M3672" s="25" t="s">
        <v>30</v>
      </c>
      <c r="N3672" s="25" t="s">
        <v>37</v>
      </c>
    </row>
    <row r="3673">
      <c r="A3673" s="301" t="s">
        <v>1286</v>
      </c>
      <c r="B3673" s="171" t="s">
        <v>1281</v>
      </c>
      <c r="C3673" s="171" t="s">
        <v>84</v>
      </c>
      <c r="D3673" s="279" t="s">
        <v>1280</v>
      </c>
      <c r="E3673" s="240">
        <v>43841.0</v>
      </c>
      <c r="F3673" s="21" t="str">
        <f t="shared" si="275"/>
        <v>Jan-2020</v>
      </c>
      <c r="G3673" s="32" t="s">
        <v>25</v>
      </c>
      <c r="H3673" s="25" t="s">
        <v>287</v>
      </c>
      <c r="I3673" s="25" t="s">
        <v>1285</v>
      </c>
      <c r="J3673" s="25" t="s">
        <v>139</v>
      </c>
      <c r="K3673" s="25" t="s">
        <v>9</v>
      </c>
      <c r="L3673" s="25" t="s">
        <v>30</v>
      </c>
      <c r="N3673" s="25" t="s">
        <v>99</v>
      </c>
    </row>
    <row r="3674">
      <c r="A3674" s="172"/>
      <c r="B3674" s="171" t="s">
        <v>1281</v>
      </c>
      <c r="C3674" s="171" t="s">
        <v>84</v>
      </c>
      <c r="D3674" s="279" t="s">
        <v>1280</v>
      </c>
      <c r="E3674" s="240">
        <v>43841.0</v>
      </c>
      <c r="F3674" s="21" t="str">
        <f t="shared" si="275"/>
        <v>Jan-2020</v>
      </c>
      <c r="G3674" s="32" t="s">
        <v>20</v>
      </c>
      <c r="H3674" s="25" t="s">
        <v>287</v>
      </c>
      <c r="I3674" s="25" t="s">
        <v>1287</v>
      </c>
      <c r="J3674" s="25" t="s">
        <v>71</v>
      </c>
      <c r="K3674" s="25" t="s">
        <v>9</v>
      </c>
      <c r="L3674" s="25" t="s">
        <v>30</v>
      </c>
      <c r="M3674" s="25" t="s">
        <v>30</v>
      </c>
      <c r="N3674" s="25" t="s">
        <v>98</v>
      </c>
    </row>
    <row r="3675">
      <c r="A3675" s="171" t="s">
        <v>84</v>
      </c>
      <c r="B3675" s="171" t="s">
        <v>1281</v>
      </c>
      <c r="C3675" s="171" t="s">
        <v>84</v>
      </c>
      <c r="D3675" s="279" t="s">
        <v>1280</v>
      </c>
      <c r="E3675" s="240">
        <v>43841.0</v>
      </c>
      <c r="F3675" s="21" t="str">
        <f t="shared" si="275"/>
        <v>Jan-2020</v>
      </c>
      <c r="G3675" s="32" t="s">
        <v>25</v>
      </c>
      <c r="H3675" s="25" t="s">
        <v>287</v>
      </c>
      <c r="I3675" s="25" t="s">
        <v>1287</v>
      </c>
      <c r="J3675" s="25" t="s">
        <v>71</v>
      </c>
      <c r="K3675" s="25" t="s">
        <v>9</v>
      </c>
      <c r="L3675" s="25" t="s">
        <v>30</v>
      </c>
      <c r="N3675" s="25" t="s">
        <v>98</v>
      </c>
    </row>
    <row r="3676">
      <c r="A3676" s="172"/>
      <c r="B3676" s="171" t="s">
        <v>1281</v>
      </c>
      <c r="C3676" s="171" t="s">
        <v>84</v>
      </c>
      <c r="D3676" s="279" t="s">
        <v>1280</v>
      </c>
      <c r="E3676" s="240">
        <v>43841.0</v>
      </c>
      <c r="F3676" s="21" t="str">
        <f t="shared" si="275"/>
        <v>Jan-2020</v>
      </c>
      <c r="G3676" s="32" t="s">
        <v>20</v>
      </c>
      <c r="H3676" s="25" t="s">
        <v>35</v>
      </c>
      <c r="I3676" s="25" t="s">
        <v>1288</v>
      </c>
      <c r="J3676" s="25" t="s">
        <v>27</v>
      </c>
      <c r="K3676" s="25" t="s">
        <v>9</v>
      </c>
      <c r="L3676" s="25" t="s">
        <v>24</v>
      </c>
      <c r="M3676" s="25" t="s">
        <v>30</v>
      </c>
      <c r="N3676" s="25" t="s">
        <v>69</v>
      </c>
    </row>
    <row r="3677">
      <c r="A3677" s="172"/>
      <c r="B3677" s="171" t="s">
        <v>1281</v>
      </c>
      <c r="C3677" s="171" t="s">
        <v>84</v>
      </c>
      <c r="D3677" s="279" t="s">
        <v>1280</v>
      </c>
      <c r="E3677" s="240">
        <v>43841.0</v>
      </c>
      <c r="F3677" s="21" t="str">
        <f t="shared" si="275"/>
        <v>Jan-2020</v>
      </c>
      <c r="G3677" s="32" t="s">
        <v>25</v>
      </c>
      <c r="H3677" s="25" t="s">
        <v>35</v>
      </c>
      <c r="I3677" s="25" t="s">
        <v>1288</v>
      </c>
      <c r="J3677" s="25" t="s">
        <v>27</v>
      </c>
      <c r="K3677" s="25" t="s">
        <v>9</v>
      </c>
      <c r="L3677" s="25" t="s">
        <v>30</v>
      </c>
      <c r="N3677" s="25" t="s">
        <v>106</v>
      </c>
    </row>
    <row r="3678">
      <c r="A3678" s="172"/>
      <c r="B3678" s="171" t="s">
        <v>1281</v>
      </c>
      <c r="C3678" s="171" t="s">
        <v>84</v>
      </c>
      <c r="D3678" s="279" t="s">
        <v>1280</v>
      </c>
      <c r="E3678" s="240">
        <v>43841.0</v>
      </c>
      <c r="F3678" s="21" t="str">
        <f t="shared" si="275"/>
        <v>Jan-2020</v>
      </c>
      <c r="G3678" s="32" t="s">
        <v>32</v>
      </c>
      <c r="H3678" s="25" t="s">
        <v>35</v>
      </c>
      <c r="I3678" s="25" t="s">
        <v>1288</v>
      </c>
      <c r="J3678" s="25" t="s">
        <v>27</v>
      </c>
      <c r="K3678" s="25" t="s">
        <v>9</v>
      </c>
      <c r="L3678" s="25" t="s">
        <v>30</v>
      </c>
      <c r="N3678" s="25" t="s">
        <v>29</v>
      </c>
    </row>
    <row r="3679">
      <c r="A3679" s="172"/>
      <c r="B3679" s="171" t="s">
        <v>1281</v>
      </c>
      <c r="C3679" s="171" t="s">
        <v>84</v>
      </c>
      <c r="D3679" s="279" t="s">
        <v>1280</v>
      </c>
      <c r="E3679" s="240">
        <v>43841.0</v>
      </c>
      <c r="F3679" s="21" t="str">
        <f t="shared" si="275"/>
        <v>Jan-2020</v>
      </c>
      <c r="G3679" s="32" t="s">
        <v>20</v>
      </c>
      <c r="H3679" s="25" t="s">
        <v>35</v>
      </c>
      <c r="I3679" s="25" t="s">
        <v>274</v>
      </c>
      <c r="J3679" s="25" t="s">
        <v>71</v>
      </c>
      <c r="K3679" s="25" t="s">
        <v>9</v>
      </c>
      <c r="L3679" s="25" t="s">
        <v>24</v>
      </c>
      <c r="M3679" s="25" t="s">
        <v>24</v>
      </c>
      <c r="N3679" s="25" t="s">
        <v>99</v>
      </c>
    </row>
    <row r="3680">
      <c r="A3680" s="172"/>
      <c r="B3680" s="171" t="s">
        <v>1281</v>
      </c>
      <c r="C3680" s="171" t="s">
        <v>84</v>
      </c>
      <c r="D3680" s="279" t="s">
        <v>1280</v>
      </c>
      <c r="E3680" s="240">
        <v>43841.0</v>
      </c>
      <c r="F3680" s="21" t="str">
        <f t="shared" si="275"/>
        <v>Jan-2020</v>
      </c>
      <c r="G3680" s="32" t="s">
        <v>25</v>
      </c>
      <c r="H3680" s="25" t="s">
        <v>35</v>
      </c>
      <c r="I3680" s="25" t="s">
        <v>274</v>
      </c>
      <c r="J3680" s="25" t="s">
        <v>71</v>
      </c>
      <c r="K3680" s="25" t="s">
        <v>9</v>
      </c>
      <c r="L3680" s="25" t="s">
        <v>24</v>
      </c>
      <c r="N3680" s="25" t="s">
        <v>106</v>
      </c>
    </row>
    <row r="3681">
      <c r="A3681" s="172"/>
      <c r="B3681" s="171" t="s">
        <v>1281</v>
      </c>
      <c r="C3681" s="171" t="s">
        <v>84</v>
      </c>
      <c r="D3681" s="279" t="s">
        <v>1280</v>
      </c>
      <c r="E3681" s="240">
        <v>43841.0</v>
      </c>
      <c r="F3681" s="21" t="str">
        <f t="shared" si="275"/>
        <v>Jan-2020</v>
      </c>
      <c r="G3681" s="32" t="s">
        <v>20</v>
      </c>
      <c r="H3681" s="25" t="s">
        <v>35</v>
      </c>
      <c r="I3681" s="25" t="s">
        <v>1142</v>
      </c>
      <c r="J3681" s="25" t="s">
        <v>27</v>
      </c>
      <c r="K3681" s="25" t="s">
        <v>9</v>
      </c>
      <c r="L3681" s="25" t="s">
        <v>24</v>
      </c>
      <c r="M3681" s="25" t="s">
        <v>24</v>
      </c>
      <c r="N3681" s="25" t="s">
        <v>37</v>
      </c>
    </row>
    <row r="3682">
      <c r="A3682" s="172"/>
      <c r="B3682" s="171" t="s">
        <v>1281</v>
      </c>
      <c r="C3682" s="171" t="s">
        <v>84</v>
      </c>
      <c r="D3682" s="279" t="s">
        <v>1280</v>
      </c>
      <c r="E3682" s="240">
        <v>43841.0</v>
      </c>
      <c r="F3682" s="21" t="str">
        <f t="shared" si="275"/>
        <v>Jan-2020</v>
      </c>
      <c r="G3682" s="32" t="s">
        <v>25</v>
      </c>
      <c r="H3682" s="25" t="s">
        <v>35</v>
      </c>
      <c r="I3682" s="25" t="s">
        <v>1142</v>
      </c>
      <c r="J3682" s="25" t="s">
        <v>27</v>
      </c>
      <c r="K3682" s="25" t="s">
        <v>9</v>
      </c>
      <c r="L3682" s="25" t="s">
        <v>24</v>
      </c>
      <c r="N3682" s="25" t="s">
        <v>106</v>
      </c>
    </row>
    <row r="3683">
      <c r="A3683" s="94"/>
      <c r="F3683" s="21"/>
      <c r="G3683" s="32"/>
    </row>
    <row r="3684">
      <c r="A3684" s="279" t="s">
        <v>1289</v>
      </c>
      <c r="B3684" s="171" t="s">
        <v>34</v>
      </c>
      <c r="C3684" s="171" t="s">
        <v>74</v>
      </c>
      <c r="D3684" s="279" t="s">
        <v>1289</v>
      </c>
      <c r="E3684" s="240">
        <v>43846.0</v>
      </c>
      <c r="F3684" s="21" t="str">
        <f t="shared" ref="F3684:F3709" si="276">TEXT(E3676:E3684, "mmm") &amp; "-" &amp; TEXT(E3676:E3684, "yyyy") </f>
        <v>Jan-2020</v>
      </c>
      <c r="G3684" s="32" t="s">
        <v>20</v>
      </c>
      <c r="H3684" s="25" t="s">
        <v>287</v>
      </c>
      <c r="I3684" s="25" t="s">
        <v>842</v>
      </c>
      <c r="J3684" s="25" t="s">
        <v>71</v>
      </c>
      <c r="K3684" s="25" t="s">
        <v>9</v>
      </c>
      <c r="L3684" s="25" t="s">
        <v>30</v>
      </c>
      <c r="M3684" s="25" t="s">
        <v>30</v>
      </c>
      <c r="N3684" s="25" t="s">
        <v>98</v>
      </c>
    </row>
    <row r="3685">
      <c r="A3685" s="171" t="s">
        <v>34</v>
      </c>
      <c r="B3685" s="171" t="s">
        <v>34</v>
      </c>
      <c r="C3685" s="171" t="s">
        <v>74</v>
      </c>
      <c r="D3685" s="279" t="s">
        <v>1289</v>
      </c>
      <c r="E3685" s="240">
        <v>43846.0</v>
      </c>
      <c r="F3685" s="21" t="str">
        <f t="shared" si="276"/>
        <v>Jan-2020</v>
      </c>
      <c r="G3685" s="32" t="s">
        <v>25</v>
      </c>
      <c r="H3685" s="25" t="s">
        <v>287</v>
      </c>
      <c r="I3685" s="25" t="s">
        <v>842</v>
      </c>
      <c r="J3685" s="25" t="s">
        <v>71</v>
      </c>
      <c r="K3685" s="25" t="s">
        <v>9</v>
      </c>
      <c r="L3685" s="25" t="s">
        <v>30</v>
      </c>
      <c r="N3685" s="25" t="s">
        <v>37</v>
      </c>
    </row>
    <row r="3686">
      <c r="A3686" s="171" t="s">
        <v>662</v>
      </c>
      <c r="B3686" s="171" t="s">
        <v>34</v>
      </c>
      <c r="C3686" s="171" t="s">
        <v>74</v>
      </c>
      <c r="D3686" s="279" t="s">
        <v>1289</v>
      </c>
      <c r="E3686" s="240">
        <v>43846.0</v>
      </c>
      <c r="F3686" s="21" t="str">
        <f t="shared" si="276"/>
        <v>Jan-2020</v>
      </c>
      <c r="G3686" s="32" t="s">
        <v>20</v>
      </c>
      <c r="H3686" s="25" t="s">
        <v>287</v>
      </c>
      <c r="I3686" s="25" t="s">
        <v>665</v>
      </c>
      <c r="J3686" s="25" t="s">
        <v>86</v>
      </c>
      <c r="K3686" s="25" t="s">
        <v>9</v>
      </c>
      <c r="L3686" s="25" t="s">
        <v>24</v>
      </c>
      <c r="M3686" s="25" t="s">
        <v>24</v>
      </c>
      <c r="N3686" s="25" t="s">
        <v>69</v>
      </c>
    </row>
    <row r="3687">
      <c r="A3687" s="240">
        <v>43846.0</v>
      </c>
      <c r="B3687" s="171" t="s">
        <v>34</v>
      </c>
      <c r="C3687" s="171" t="s">
        <v>74</v>
      </c>
      <c r="D3687" s="279" t="s">
        <v>1289</v>
      </c>
      <c r="E3687" s="240">
        <v>43846.0</v>
      </c>
      <c r="F3687" s="21" t="str">
        <f t="shared" si="276"/>
        <v>Jan-2020</v>
      </c>
      <c r="G3687" s="32" t="s">
        <v>25</v>
      </c>
      <c r="H3687" s="25" t="s">
        <v>287</v>
      </c>
      <c r="I3687" s="25" t="s">
        <v>665</v>
      </c>
      <c r="J3687" s="25" t="s">
        <v>86</v>
      </c>
      <c r="K3687" s="25" t="s">
        <v>9</v>
      </c>
      <c r="L3687" s="25" t="s">
        <v>30</v>
      </c>
      <c r="N3687" s="25" t="s">
        <v>29</v>
      </c>
    </row>
    <row r="3688">
      <c r="A3688" s="301" t="s">
        <v>1290</v>
      </c>
      <c r="B3688" s="171" t="s">
        <v>34</v>
      </c>
      <c r="C3688" s="171" t="s">
        <v>74</v>
      </c>
      <c r="D3688" s="279" t="s">
        <v>1289</v>
      </c>
      <c r="E3688" s="240">
        <v>43846.0</v>
      </c>
      <c r="F3688" s="21" t="str">
        <f t="shared" si="276"/>
        <v>Jan-2020</v>
      </c>
      <c r="G3688" s="32" t="s">
        <v>32</v>
      </c>
      <c r="H3688" s="25" t="s">
        <v>287</v>
      </c>
      <c r="I3688" s="25" t="s">
        <v>665</v>
      </c>
      <c r="J3688" s="25" t="s">
        <v>86</v>
      </c>
      <c r="K3688" s="25" t="s">
        <v>9</v>
      </c>
      <c r="L3688" s="25" t="s">
        <v>24</v>
      </c>
      <c r="N3688" s="25" t="s">
        <v>98</v>
      </c>
    </row>
    <row r="3689">
      <c r="A3689" s="172"/>
      <c r="B3689" s="171" t="s">
        <v>34</v>
      </c>
      <c r="C3689" s="171" t="s">
        <v>74</v>
      </c>
      <c r="D3689" s="279" t="s">
        <v>1289</v>
      </c>
      <c r="E3689" s="240">
        <v>43846.0</v>
      </c>
      <c r="F3689" s="21" t="str">
        <f t="shared" si="276"/>
        <v>Jan-2020</v>
      </c>
      <c r="G3689" s="32" t="s">
        <v>20</v>
      </c>
      <c r="H3689" s="25" t="s">
        <v>287</v>
      </c>
      <c r="I3689" s="25" t="s">
        <v>694</v>
      </c>
      <c r="J3689" s="25" t="s">
        <v>27</v>
      </c>
      <c r="K3689" s="25" t="s">
        <v>9</v>
      </c>
      <c r="L3689" s="25" t="s">
        <v>30</v>
      </c>
      <c r="M3689" s="25" t="s">
        <v>30</v>
      </c>
      <c r="N3689" s="25" t="s">
        <v>98</v>
      </c>
    </row>
    <row r="3690">
      <c r="A3690" s="172"/>
      <c r="B3690" s="171" t="s">
        <v>34</v>
      </c>
      <c r="C3690" s="171" t="s">
        <v>74</v>
      </c>
      <c r="D3690" s="279" t="s">
        <v>1289</v>
      </c>
      <c r="E3690" s="240">
        <v>43846.0</v>
      </c>
      <c r="F3690" s="21" t="str">
        <f t="shared" si="276"/>
        <v>Jan-2020</v>
      </c>
      <c r="G3690" s="32" t="s">
        <v>25</v>
      </c>
      <c r="H3690" s="25" t="s">
        <v>287</v>
      </c>
      <c r="I3690" s="25" t="s">
        <v>694</v>
      </c>
      <c r="J3690" s="25" t="s">
        <v>27</v>
      </c>
      <c r="K3690" s="25" t="s">
        <v>9</v>
      </c>
      <c r="L3690" s="25" t="s">
        <v>30</v>
      </c>
      <c r="N3690" s="25" t="s">
        <v>69</v>
      </c>
    </row>
    <row r="3691">
      <c r="A3691" s="171" t="s">
        <v>74</v>
      </c>
      <c r="B3691" s="171" t="s">
        <v>34</v>
      </c>
      <c r="C3691" s="171" t="s">
        <v>74</v>
      </c>
      <c r="D3691" s="279" t="s">
        <v>1289</v>
      </c>
      <c r="E3691" s="240">
        <v>43846.0</v>
      </c>
      <c r="F3691" s="21" t="str">
        <f t="shared" si="276"/>
        <v>Jan-2020</v>
      </c>
      <c r="G3691" s="32" t="s">
        <v>20</v>
      </c>
      <c r="H3691" s="25" t="s">
        <v>35</v>
      </c>
      <c r="I3691" s="25" t="s">
        <v>726</v>
      </c>
      <c r="J3691" s="25" t="s">
        <v>216</v>
      </c>
      <c r="K3691" s="25" t="s">
        <v>9</v>
      </c>
      <c r="L3691" s="25" t="s">
        <v>30</v>
      </c>
      <c r="M3691" s="25" t="s">
        <v>30</v>
      </c>
      <c r="N3691" s="25" t="s">
        <v>37</v>
      </c>
    </row>
    <row r="3692">
      <c r="A3692" s="172"/>
      <c r="B3692" s="171" t="s">
        <v>34</v>
      </c>
      <c r="C3692" s="171" t="s">
        <v>74</v>
      </c>
      <c r="D3692" s="279" t="s">
        <v>1289</v>
      </c>
      <c r="E3692" s="240">
        <v>43846.0</v>
      </c>
      <c r="F3692" s="21" t="str">
        <f t="shared" si="276"/>
        <v>Jan-2020</v>
      </c>
      <c r="G3692" s="32" t="s">
        <v>25</v>
      </c>
      <c r="H3692" s="25" t="s">
        <v>35</v>
      </c>
      <c r="I3692" s="25" t="s">
        <v>726</v>
      </c>
      <c r="J3692" s="25" t="s">
        <v>216</v>
      </c>
      <c r="K3692" s="25" t="s">
        <v>9</v>
      </c>
      <c r="L3692" s="25" t="s">
        <v>24</v>
      </c>
      <c r="N3692" s="25" t="s">
        <v>37</v>
      </c>
    </row>
    <row r="3693">
      <c r="A3693" s="172"/>
      <c r="B3693" s="171" t="s">
        <v>34</v>
      </c>
      <c r="C3693" s="171" t="s">
        <v>74</v>
      </c>
      <c r="D3693" s="279" t="s">
        <v>1289</v>
      </c>
      <c r="E3693" s="240">
        <v>43846.0</v>
      </c>
      <c r="F3693" s="21" t="str">
        <f t="shared" si="276"/>
        <v>Jan-2020</v>
      </c>
      <c r="G3693" s="32" t="s">
        <v>32</v>
      </c>
      <c r="H3693" s="25" t="s">
        <v>35</v>
      </c>
      <c r="I3693" s="25" t="s">
        <v>726</v>
      </c>
      <c r="J3693" s="25" t="s">
        <v>216</v>
      </c>
      <c r="K3693" s="25" t="s">
        <v>9</v>
      </c>
      <c r="L3693" s="25" t="s">
        <v>30</v>
      </c>
      <c r="N3693" s="25" t="s">
        <v>106</v>
      </c>
    </row>
    <row r="3694">
      <c r="A3694" s="172"/>
      <c r="B3694" s="171" t="s">
        <v>34</v>
      </c>
      <c r="C3694" s="171" t="s">
        <v>74</v>
      </c>
      <c r="D3694" s="279" t="s">
        <v>1289</v>
      </c>
      <c r="E3694" s="240">
        <v>43846.0</v>
      </c>
      <c r="F3694" s="21" t="str">
        <f t="shared" si="276"/>
        <v>Jan-2020</v>
      </c>
      <c r="G3694" t="s">
        <v>146</v>
      </c>
      <c r="H3694" s="25" t="s">
        <v>35</v>
      </c>
      <c r="I3694" s="25" t="s">
        <v>947</v>
      </c>
      <c r="J3694" s="25" t="s">
        <v>71</v>
      </c>
      <c r="K3694" s="25" t="s">
        <v>9</v>
      </c>
      <c r="L3694" s="25" t="s">
        <v>24</v>
      </c>
      <c r="M3694" s="25" t="s">
        <v>24</v>
      </c>
      <c r="N3694" s="25" t="s">
        <v>98</v>
      </c>
    </row>
    <row r="3695">
      <c r="A3695" s="172"/>
      <c r="B3695" s="171" t="s">
        <v>34</v>
      </c>
      <c r="C3695" s="171" t="s">
        <v>74</v>
      </c>
      <c r="D3695" s="279" t="s">
        <v>1289</v>
      </c>
      <c r="E3695" s="240">
        <v>43846.0</v>
      </c>
      <c r="F3695" s="21" t="str">
        <f t="shared" si="276"/>
        <v>Jan-2020</v>
      </c>
      <c r="G3695" t="s">
        <v>149</v>
      </c>
      <c r="H3695" s="25" t="s">
        <v>35</v>
      </c>
      <c r="I3695" s="25" t="s">
        <v>947</v>
      </c>
      <c r="J3695" s="25" t="s">
        <v>71</v>
      </c>
      <c r="K3695" s="25" t="s">
        <v>9</v>
      </c>
      <c r="L3695" s="25" t="s">
        <v>30</v>
      </c>
      <c r="N3695" s="25" t="s">
        <v>69</v>
      </c>
    </row>
    <row r="3696">
      <c r="A3696" s="172"/>
      <c r="B3696" s="171" t="s">
        <v>34</v>
      </c>
      <c r="C3696" s="171" t="s">
        <v>74</v>
      </c>
      <c r="D3696" s="279" t="s">
        <v>1289</v>
      </c>
      <c r="E3696" s="240">
        <v>43846.0</v>
      </c>
      <c r="F3696" s="21" t="str">
        <f t="shared" si="276"/>
        <v>Jan-2020</v>
      </c>
      <c r="G3696" t="s">
        <v>222</v>
      </c>
      <c r="H3696" s="25" t="s">
        <v>35</v>
      </c>
      <c r="I3696" s="25" t="s">
        <v>947</v>
      </c>
      <c r="J3696" s="25" t="s">
        <v>71</v>
      </c>
      <c r="K3696" s="25" t="s">
        <v>9</v>
      </c>
      <c r="L3696" s="25" t="s">
        <v>24</v>
      </c>
      <c r="N3696" s="25" t="s">
        <v>29</v>
      </c>
    </row>
    <row r="3697">
      <c r="A3697" s="172"/>
      <c r="B3697" s="171" t="s">
        <v>34</v>
      </c>
      <c r="C3697" s="171" t="s">
        <v>74</v>
      </c>
      <c r="D3697" s="279" t="s">
        <v>1289</v>
      </c>
      <c r="E3697" s="240">
        <v>43846.0</v>
      </c>
      <c r="F3697" s="21" t="str">
        <f t="shared" si="276"/>
        <v>Jan-2020</v>
      </c>
      <c r="G3697" t="s">
        <v>467</v>
      </c>
      <c r="H3697" s="25" t="s">
        <v>35</v>
      </c>
      <c r="I3697" s="25" t="s">
        <v>947</v>
      </c>
      <c r="J3697" s="25" t="s">
        <v>71</v>
      </c>
      <c r="K3697" s="25" t="s">
        <v>9</v>
      </c>
      <c r="L3697" s="25" t="s">
        <v>30</v>
      </c>
      <c r="N3697" s="25" t="s">
        <v>106</v>
      </c>
    </row>
    <row r="3698">
      <c r="A3698" s="172"/>
      <c r="B3698" s="171" t="s">
        <v>34</v>
      </c>
      <c r="C3698" s="171" t="s">
        <v>74</v>
      </c>
      <c r="D3698" s="279" t="s">
        <v>1289</v>
      </c>
      <c r="E3698" s="240">
        <v>43846.0</v>
      </c>
      <c r="F3698" s="21" t="str">
        <f t="shared" si="276"/>
        <v>Jan-2020</v>
      </c>
      <c r="G3698" s="25" t="s">
        <v>480</v>
      </c>
      <c r="H3698" s="25" t="s">
        <v>35</v>
      </c>
      <c r="I3698" s="25" t="s">
        <v>947</v>
      </c>
      <c r="J3698" s="25" t="s">
        <v>71</v>
      </c>
      <c r="K3698" s="25" t="s">
        <v>9</v>
      </c>
      <c r="L3698" s="25" t="s">
        <v>24</v>
      </c>
      <c r="N3698" s="25" t="s">
        <v>98</v>
      </c>
    </row>
    <row r="3699">
      <c r="A3699" s="172"/>
      <c r="B3699" s="171" t="s">
        <v>34</v>
      </c>
      <c r="C3699" s="171" t="s">
        <v>74</v>
      </c>
      <c r="D3699" s="279" t="s">
        <v>1289</v>
      </c>
      <c r="E3699" s="240">
        <v>43846.0</v>
      </c>
      <c r="F3699" s="21" t="str">
        <f t="shared" si="276"/>
        <v>Jan-2020</v>
      </c>
      <c r="G3699" t="s">
        <v>146</v>
      </c>
      <c r="H3699" s="25" t="s">
        <v>35</v>
      </c>
      <c r="I3699" s="25" t="s">
        <v>694</v>
      </c>
      <c r="J3699" s="25" t="s">
        <v>27</v>
      </c>
      <c r="K3699" s="25" t="s">
        <v>9</v>
      </c>
      <c r="L3699" s="25" t="s">
        <v>30</v>
      </c>
      <c r="M3699" s="25" t="s">
        <v>30</v>
      </c>
      <c r="N3699" s="25" t="s">
        <v>29</v>
      </c>
    </row>
    <row r="3700">
      <c r="A3700" s="172"/>
      <c r="B3700" s="171" t="s">
        <v>34</v>
      </c>
      <c r="C3700" s="171" t="s">
        <v>74</v>
      </c>
      <c r="D3700" s="279" t="s">
        <v>1289</v>
      </c>
      <c r="E3700" s="240">
        <v>43846.0</v>
      </c>
      <c r="F3700" s="21" t="str">
        <f t="shared" si="276"/>
        <v>Jan-2020</v>
      </c>
      <c r="G3700" t="s">
        <v>149</v>
      </c>
      <c r="H3700" s="25" t="s">
        <v>35</v>
      </c>
      <c r="I3700" s="25" t="s">
        <v>694</v>
      </c>
      <c r="J3700" s="25" t="s">
        <v>27</v>
      </c>
      <c r="K3700" s="25" t="s">
        <v>9</v>
      </c>
      <c r="L3700" s="25" t="s">
        <v>30</v>
      </c>
      <c r="N3700" s="25" t="s">
        <v>69</v>
      </c>
    </row>
    <row r="3701">
      <c r="A3701" s="172"/>
      <c r="B3701" s="171" t="s">
        <v>34</v>
      </c>
      <c r="C3701" s="171" t="s">
        <v>74</v>
      </c>
      <c r="D3701" s="279" t="s">
        <v>1289</v>
      </c>
      <c r="E3701" s="240">
        <v>43846.0</v>
      </c>
      <c r="F3701" s="21" t="str">
        <f t="shared" si="276"/>
        <v>Jan-2020</v>
      </c>
      <c r="G3701" t="s">
        <v>222</v>
      </c>
      <c r="H3701" s="25" t="s">
        <v>35</v>
      </c>
      <c r="I3701" s="25" t="s">
        <v>694</v>
      </c>
      <c r="J3701" s="25" t="s">
        <v>27</v>
      </c>
      <c r="K3701" s="25" t="s">
        <v>9</v>
      </c>
      <c r="L3701" s="25" t="s">
        <v>30</v>
      </c>
      <c r="N3701" s="25" t="s">
        <v>99</v>
      </c>
    </row>
    <row r="3702">
      <c r="A3702" s="172"/>
      <c r="B3702" s="171" t="s">
        <v>34</v>
      </c>
      <c r="C3702" s="171" t="s">
        <v>74</v>
      </c>
      <c r="D3702" s="279" t="s">
        <v>1289</v>
      </c>
      <c r="E3702" s="240">
        <v>43846.0</v>
      </c>
      <c r="F3702" s="21" t="str">
        <f t="shared" si="276"/>
        <v>Jan-2020</v>
      </c>
      <c r="G3702" t="s">
        <v>146</v>
      </c>
      <c r="H3702" s="25" t="s">
        <v>35</v>
      </c>
      <c r="I3702" s="25" t="s">
        <v>795</v>
      </c>
      <c r="J3702" s="25" t="s">
        <v>86</v>
      </c>
      <c r="K3702" s="25" t="s">
        <v>9</v>
      </c>
      <c r="L3702" s="25" t="s">
        <v>30</v>
      </c>
      <c r="M3702" s="25" t="s">
        <v>30</v>
      </c>
      <c r="N3702" s="25" t="s">
        <v>69</v>
      </c>
    </row>
    <row r="3703">
      <c r="A3703" s="172"/>
      <c r="B3703" s="171" t="s">
        <v>34</v>
      </c>
      <c r="C3703" s="171" t="s">
        <v>74</v>
      </c>
      <c r="D3703" s="279" t="s">
        <v>1289</v>
      </c>
      <c r="E3703" s="240">
        <v>43846.0</v>
      </c>
      <c r="F3703" s="21" t="str">
        <f t="shared" si="276"/>
        <v>Jan-2020</v>
      </c>
      <c r="G3703" t="s">
        <v>149</v>
      </c>
      <c r="H3703" s="25" t="s">
        <v>35</v>
      </c>
      <c r="I3703" s="25" t="s">
        <v>795</v>
      </c>
      <c r="J3703" s="25" t="s">
        <v>86</v>
      </c>
      <c r="K3703" s="25" t="s">
        <v>9</v>
      </c>
      <c r="L3703" s="25" t="s">
        <v>30</v>
      </c>
      <c r="N3703" s="25" t="s">
        <v>98</v>
      </c>
    </row>
    <row r="3704">
      <c r="A3704" s="172"/>
      <c r="B3704" s="171" t="s">
        <v>34</v>
      </c>
      <c r="C3704" s="171" t="s">
        <v>74</v>
      </c>
      <c r="D3704" s="279" t="s">
        <v>1289</v>
      </c>
      <c r="E3704" s="240">
        <v>43846.0</v>
      </c>
      <c r="F3704" s="21" t="str">
        <f t="shared" si="276"/>
        <v>Jan-2020</v>
      </c>
      <c r="G3704" t="s">
        <v>222</v>
      </c>
      <c r="H3704" s="25" t="s">
        <v>35</v>
      </c>
      <c r="I3704" s="25" t="s">
        <v>795</v>
      </c>
      <c r="J3704" s="25" t="s">
        <v>86</v>
      </c>
      <c r="K3704" s="25" t="s">
        <v>9</v>
      </c>
      <c r="L3704" s="25" t="s">
        <v>30</v>
      </c>
      <c r="N3704" s="25" t="s">
        <v>98</v>
      </c>
    </row>
    <row r="3705">
      <c r="A3705" s="172"/>
      <c r="B3705" s="171" t="s">
        <v>34</v>
      </c>
      <c r="C3705" s="171" t="s">
        <v>74</v>
      </c>
      <c r="D3705" s="279" t="s">
        <v>1289</v>
      </c>
      <c r="E3705" s="240">
        <v>43846.0</v>
      </c>
      <c r="F3705" s="21" t="str">
        <f t="shared" si="276"/>
        <v>Jan-2020</v>
      </c>
      <c r="G3705" t="s">
        <v>146</v>
      </c>
      <c r="H3705" s="25" t="s">
        <v>35</v>
      </c>
      <c r="I3705" s="25" t="s">
        <v>493</v>
      </c>
      <c r="J3705" s="25" t="s">
        <v>44</v>
      </c>
      <c r="K3705" s="25" t="s">
        <v>9</v>
      </c>
      <c r="L3705" s="25" t="s">
        <v>24</v>
      </c>
      <c r="M3705" s="25" t="s">
        <v>24</v>
      </c>
      <c r="N3705" s="25" t="s">
        <v>99</v>
      </c>
    </row>
    <row r="3706">
      <c r="A3706" s="172"/>
      <c r="B3706" s="171" t="s">
        <v>34</v>
      </c>
      <c r="C3706" s="171" t="s">
        <v>74</v>
      </c>
      <c r="D3706" s="279" t="s">
        <v>1289</v>
      </c>
      <c r="E3706" s="240">
        <v>43846.0</v>
      </c>
      <c r="F3706" s="21" t="str">
        <f t="shared" si="276"/>
        <v>Jan-2020</v>
      </c>
      <c r="G3706" t="s">
        <v>149</v>
      </c>
      <c r="H3706" s="25" t="s">
        <v>35</v>
      </c>
      <c r="I3706" s="25" t="s">
        <v>493</v>
      </c>
      <c r="J3706" s="25" t="s">
        <v>44</v>
      </c>
      <c r="K3706" s="25" t="s">
        <v>9</v>
      </c>
      <c r="L3706" s="25" t="s">
        <v>24</v>
      </c>
      <c r="N3706" s="25" t="s">
        <v>37</v>
      </c>
    </row>
    <row r="3707">
      <c r="A3707" s="172"/>
      <c r="B3707" s="171" t="s">
        <v>34</v>
      </c>
      <c r="C3707" s="171" t="s">
        <v>74</v>
      </c>
      <c r="D3707" s="279" t="s">
        <v>1289</v>
      </c>
      <c r="E3707" s="240">
        <v>43846.0</v>
      </c>
      <c r="F3707" s="21" t="str">
        <f t="shared" si="276"/>
        <v>Jan-2020</v>
      </c>
      <c r="G3707" t="s">
        <v>222</v>
      </c>
      <c r="H3707" s="25" t="s">
        <v>35</v>
      </c>
      <c r="I3707" s="25" t="s">
        <v>493</v>
      </c>
      <c r="J3707" s="25" t="s">
        <v>44</v>
      </c>
      <c r="K3707" s="25" t="s">
        <v>9</v>
      </c>
      <c r="L3707" s="25" t="s">
        <v>30</v>
      </c>
      <c r="N3707" s="25" t="s">
        <v>69</v>
      </c>
    </row>
    <row r="3708">
      <c r="A3708" s="172"/>
      <c r="B3708" s="171" t="s">
        <v>34</v>
      </c>
      <c r="C3708" s="171" t="s">
        <v>74</v>
      </c>
      <c r="D3708" s="279" t="s">
        <v>1289</v>
      </c>
      <c r="E3708" s="240">
        <v>43846.0</v>
      </c>
      <c r="F3708" s="21" t="str">
        <f t="shared" si="276"/>
        <v>Jan-2020</v>
      </c>
      <c r="G3708" t="s">
        <v>467</v>
      </c>
      <c r="H3708" s="25" t="s">
        <v>35</v>
      </c>
      <c r="I3708" s="25" t="s">
        <v>493</v>
      </c>
      <c r="J3708" s="25" t="s">
        <v>44</v>
      </c>
      <c r="K3708" s="25" t="s">
        <v>9</v>
      </c>
      <c r="L3708" s="25" t="s">
        <v>30</v>
      </c>
      <c r="N3708" s="25" t="s">
        <v>29</v>
      </c>
    </row>
    <row r="3709">
      <c r="A3709" s="172"/>
      <c r="B3709" s="171" t="s">
        <v>34</v>
      </c>
      <c r="C3709" s="171" t="s">
        <v>74</v>
      </c>
      <c r="D3709" s="279" t="s">
        <v>1289</v>
      </c>
      <c r="E3709" s="240">
        <v>43846.0</v>
      </c>
      <c r="F3709" s="21" t="str">
        <f t="shared" si="276"/>
        <v>Jan-2020</v>
      </c>
      <c r="G3709" s="25" t="s">
        <v>480</v>
      </c>
      <c r="H3709" s="25" t="s">
        <v>35</v>
      </c>
      <c r="I3709" s="25" t="s">
        <v>493</v>
      </c>
      <c r="J3709" s="25" t="s">
        <v>44</v>
      </c>
      <c r="K3709" s="25" t="s">
        <v>9</v>
      </c>
      <c r="L3709" s="25" t="s">
        <v>24</v>
      </c>
      <c r="N3709" s="25" t="s">
        <v>29</v>
      </c>
    </row>
    <row r="3710">
      <c r="A3710" s="94"/>
      <c r="F3710" s="21"/>
    </row>
    <row r="3711">
      <c r="A3711" s="279" t="s">
        <v>1291</v>
      </c>
      <c r="B3711" s="171" t="s">
        <v>1292</v>
      </c>
      <c r="C3711" s="171" t="s">
        <v>427</v>
      </c>
      <c r="D3711" s="279" t="s">
        <v>1291</v>
      </c>
      <c r="E3711" s="240">
        <v>43851.0</v>
      </c>
      <c r="F3711" s="21" t="str">
        <f t="shared" ref="F3711:F3722" si="277">TEXT(E3703:E3711, "mmm") &amp; "-" &amp; TEXT(E3703:E3711, "yyyy") </f>
        <v>Jan-2020</v>
      </c>
      <c r="G3711" s="32" t="s">
        <v>20</v>
      </c>
      <c r="H3711" s="25" t="s">
        <v>35</v>
      </c>
      <c r="I3711" s="25" t="s">
        <v>1293</v>
      </c>
      <c r="J3711" s="25" t="s">
        <v>71</v>
      </c>
      <c r="K3711" s="25" t="s">
        <v>9</v>
      </c>
      <c r="L3711" s="25" t="s">
        <v>30</v>
      </c>
      <c r="M3711" s="25" t="s">
        <v>30</v>
      </c>
      <c r="N3711" s="25" t="s">
        <v>98</v>
      </c>
    </row>
    <row r="3712">
      <c r="A3712" s="171" t="s">
        <v>1292</v>
      </c>
      <c r="B3712" s="171" t="s">
        <v>1292</v>
      </c>
      <c r="C3712" s="171" t="s">
        <v>427</v>
      </c>
      <c r="D3712" s="279" t="s">
        <v>1291</v>
      </c>
      <c r="E3712" s="240">
        <v>43851.0</v>
      </c>
      <c r="F3712" s="21" t="str">
        <f t="shared" si="277"/>
        <v>Jan-2020</v>
      </c>
      <c r="G3712" s="32" t="s">
        <v>25</v>
      </c>
      <c r="H3712" s="25" t="s">
        <v>35</v>
      </c>
      <c r="I3712" s="25" t="s">
        <v>1293</v>
      </c>
      <c r="J3712" s="25" t="s">
        <v>71</v>
      </c>
      <c r="K3712" s="25" t="s">
        <v>9</v>
      </c>
      <c r="L3712" s="25" t="s">
        <v>30</v>
      </c>
      <c r="N3712" s="25" t="s">
        <v>106</v>
      </c>
    </row>
    <row r="3713">
      <c r="A3713" s="240">
        <v>43851.0</v>
      </c>
      <c r="B3713" s="171" t="s">
        <v>1292</v>
      </c>
      <c r="C3713" s="171" t="s">
        <v>427</v>
      </c>
      <c r="D3713" s="279" t="s">
        <v>1291</v>
      </c>
      <c r="E3713" s="240">
        <v>43851.0</v>
      </c>
      <c r="F3713" s="21" t="str">
        <f t="shared" si="277"/>
        <v>Jan-2020</v>
      </c>
      <c r="G3713" t="s">
        <v>146</v>
      </c>
      <c r="H3713" s="25" t="s">
        <v>35</v>
      </c>
      <c r="I3713" s="25" t="s">
        <v>1294</v>
      </c>
      <c r="J3713" s="25" t="s">
        <v>9</v>
      </c>
      <c r="K3713" s="25" t="s">
        <v>9</v>
      </c>
      <c r="L3713" s="25" t="s">
        <v>30</v>
      </c>
      <c r="M3713" s="25" t="s">
        <v>30</v>
      </c>
      <c r="N3713" s="25" t="s">
        <v>98</v>
      </c>
    </row>
    <row r="3714">
      <c r="A3714" s="301" t="s">
        <v>1295</v>
      </c>
      <c r="B3714" s="171" t="s">
        <v>1292</v>
      </c>
      <c r="C3714" s="171" t="s">
        <v>427</v>
      </c>
      <c r="D3714" s="279" t="s">
        <v>1291</v>
      </c>
      <c r="E3714" s="240">
        <v>43851.0</v>
      </c>
      <c r="F3714" s="21" t="str">
        <f t="shared" si="277"/>
        <v>Jan-2020</v>
      </c>
      <c r="G3714" t="s">
        <v>149</v>
      </c>
      <c r="H3714" s="25" t="s">
        <v>35</v>
      </c>
      <c r="I3714" s="25" t="s">
        <v>1294</v>
      </c>
      <c r="J3714" s="25" t="s">
        <v>9</v>
      </c>
      <c r="K3714" s="25" t="s">
        <v>9</v>
      </c>
      <c r="L3714" s="25" t="s">
        <v>30</v>
      </c>
      <c r="N3714" s="25" t="s">
        <v>99</v>
      </c>
    </row>
    <row r="3715">
      <c r="A3715" s="171" t="s">
        <v>427</v>
      </c>
      <c r="B3715" s="171" t="s">
        <v>1292</v>
      </c>
      <c r="C3715" s="171" t="s">
        <v>427</v>
      </c>
      <c r="D3715" s="279" t="s">
        <v>1291</v>
      </c>
      <c r="E3715" s="240">
        <v>43851.0</v>
      </c>
      <c r="F3715" s="21" t="str">
        <f t="shared" si="277"/>
        <v>Jan-2020</v>
      </c>
      <c r="G3715" t="s">
        <v>222</v>
      </c>
      <c r="H3715" s="25" t="s">
        <v>35</v>
      </c>
      <c r="I3715" s="25" t="s">
        <v>1294</v>
      </c>
      <c r="J3715" s="25" t="s">
        <v>9</v>
      </c>
      <c r="K3715" s="25" t="s">
        <v>9</v>
      </c>
      <c r="L3715" s="25" t="s">
        <v>30</v>
      </c>
      <c r="N3715" s="25" t="s">
        <v>69</v>
      </c>
    </row>
    <row r="3716">
      <c r="A3716" s="172"/>
      <c r="B3716" s="171" t="s">
        <v>1292</v>
      </c>
      <c r="C3716" s="171" t="s">
        <v>427</v>
      </c>
      <c r="D3716" s="279" t="s">
        <v>1291</v>
      </c>
      <c r="E3716" s="240">
        <v>43851.0</v>
      </c>
      <c r="F3716" s="21" t="str">
        <f t="shared" si="277"/>
        <v>Jan-2020</v>
      </c>
      <c r="G3716" t="s">
        <v>146</v>
      </c>
      <c r="H3716" s="25" t="s">
        <v>35</v>
      </c>
      <c r="I3716" s="25" t="s">
        <v>1191</v>
      </c>
      <c r="J3716" s="25" t="s">
        <v>139</v>
      </c>
      <c r="K3716" s="25" t="s">
        <v>9</v>
      </c>
      <c r="L3716" s="25" t="s">
        <v>30</v>
      </c>
      <c r="M3716" s="25" t="s">
        <v>30</v>
      </c>
      <c r="N3716" s="25" t="s">
        <v>98</v>
      </c>
    </row>
    <row r="3717">
      <c r="A3717" s="171" t="s">
        <v>1296</v>
      </c>
      <c r="B3717" s="171" t="s">
        <v>1292</v>
      </c>
      <c r="C3717" s="171" t="s">
        <v>427</v>
      </c>
      <c r="D3717" s="279" t="s">
        <v>1291</v>
      </c>
      <c r="E3717" s="240">
        <v>43851.0</v>
      </c>
      <c r="F3717" s="21" t="str">
        <f t="shared" si="277"/>
        <v>Jan-2020</v>
      </c>
      <c r="G3717" t="s">
        <v>149</v>
      </c>
      <c r="H3717" s="25" t="s">
        <v>35</v>
      </c>
      <c r="I3717" s="25" t="s">
        <v>1191</v>
      </c>
      <c r="J3717" s="25" t="s">
        <v>139</v>
      </c>
      <c r="K3717" s="25" t="s">
        <v>9</v>
      </c>
      <c r="L3717" s="25" t="s">
        <v>30</v>
      </c>
      <c r="N3717" s="25" t="s">
        <v>29</v>
      </c>
    </row>
    <row r="3718">
      <c r="A3718" s="172"/>
      <c r="B3718" s="171" t="s">
        <v>1292</v>
      </c>
      <c r="C3718" s="171" t="s">
        <v>427</v>
      </c>
      <c r="D3718" s="279" t="s">
        <v>1291</v>
      </c>
      <c r="E3718" s="240">
        <v>43851.0</v>
      </c>
      <c r="F3718" s="21" t="str">
        <f t="shared" si="277"/>
        <v>Jan-2020</v>
      </c>
      <c r="G3718" t="s">
        <v>222</v>
      </c>
      <c r="H3718" s="25" t="s">
        <v>35</v>
      </c>
      <c r="I3718" s="25" t="s">
        <v>1191</v>
      </c>
      <c r="J3718" s="25" t="s">
        <v>139</v>
      </c>
      <c r="K3718" s="25" t="s">
        <v>9</v>
      </c>
      <c r="L3718" s="25" t="s">
        <v>30</v>
      </c>
      <c r="N3718" s="25" t="s">
        <v>29</v>
      </c>
    </row>
    <row r="3719">
      <c r="A3719" s="172"/>
      <c r="B3719" s="171" t="s">
        <v>1292</v>
      </c>
      <c r="C3719" s="171" t="s">
        <v>427</v>
      </c>
      <c r="D3719" s="279" t="s">
        <v>1291</v>
      </c>
      <c r="E3719" s="240">
        <v>43851.0</v>
      </c>
      <c r="F3719" s="21" t="str">
        <f t="shared" si="277"/>
        <v>Jan-2020</v>
      </c>
      <c r="G3719" t="s">
        <v>146</v>
      </c>
      <c r="H3719" s="25" t="s">
        <v>35</v>
      </c>
      <c r="I3719" s="25" t="s">
        <v>1191</v>
      </c>
      <c r="J3719" s="25" t="s">
        <v>139</v>
      </c>
      <c r="K3719" s="25" t="s">
        <v>9</v>
      </c>
      <c r="L3719" s="25" t="s">
        <v>30</v>
      </c>
      <c r="M3719" s="25" t="s">
        <v>30</v>
      </c>
      <c r="N3719" s="25" t="s">
        <v>98</v>
      </c>
    </row>
    <row r="3720">
      <c r="A3720" s="172"/>
      <c r="B3720" s="171" t="s">
        <v>1292</v>
      </c>
      <c r="C3720" s="171" t="s">
        <v>427</v>
      </c>
      <c r="D3720" s="279" t="s">
        <v>1291</v>
      </c>
      <c r="E3720" s="240">
        <v>43851.0</v>
      </c>
      <c r="F3720" s="21" t="str">
        <f t="shared" si="277"/>
        <v>Jan-2020</v>
      </c>
      <c r="G3720" t="s">
        <v>149</v>
      </c>
      <c r="H3720" s="25" t="s">
        <v>35</v>
      </c>
      <c r="I3720" s="25" t="s">
        <v>1191</v>
      </c>
      <c r="J3720" s="25" t="s">
        <v>139</v>
      </c>
      <c r="K3720" s="25" t="s">
        <v>9</v>
      </c>
      <c r="L3720" s="25" t="s">
        <v>24</v>
      </c>
      <c r="N3720" s="25" t="s">
        <v>29</v>
      </c>
    </row>
    <row r="3721">
      <c r="A3721" s="172"/>
      <c r="B3721" s="171" t="s">
        <v>1292</v>
      </c>
      <c r="C3721" s="171" t="s">
        <v>427</v>
      </c>
      <c r="D3721" s="279" t="s">
        <v>1291</v>
      </c>
      <c r="E3721" s="240">
        <v>43851.0</v>
      </c>
      <c r="F3721" s="21" t="str">
        <f t="shared" si="277"/>
        <v>Jan-2020</v>
      </c>
      <c r="G3721" t="s">
        <v>222</v>
      </c>
      <c r="H3721" s="25" t="s">
        <v>35</v>
      </c>
      <c r="I3721" s="25" t="s">
        <v>1191</v>
      </c>
      <c r="J3721" s="25" t="s">
        <v>139</v>
      </c>
      <c r="K3721" s="25" t="s">
        <v>9</v>
      </c>
      <c r="L3721" s="25" t="s">
        <v>30</v>
      </c>
      <c r="N3721" s="25" t="s">
        <v>69</v>
      </c>
    </row>
    <row r="3722">
      <c r="A3722" s="172"/>
      <c r="B3722" s="171" t="s">
        <v>1292</v>
      </c>
      <c r="C3722" s="171" t="s">
        <v>427</v>
      </c>
      <c r="D3722" s="279" t="s">
        <v>1291</v>
      </c>
      <c r="E3722" s="240">
        <v>43851.0</v>
      </c>
      <c r="F3722" s="21" t="str">
        <f t="shared" si="277"/>
        <v>Jan-2020</v>
      </c>
      <c r="G3722" t="s">
        <v>467</v>
      </c>
      <c r="H3722" s="25" t="s">
        <v>35</v>
      </c>
      <c r="I3722" s="25" t="s">
        <v>1191</v>
      </c>
      <c r="J3722" s="25" t="s">
        <v>139</v>
      </c>
      <c r="K3722" s="25" t="s">
        <v>9</v>
      </c>
      <c r="L3722" s="25" t="s">
        <v>30</v>
      </c>
      <c r="N3722" s="25" t="s">
        <v>99</v>
      </c>
    </row>
    <row r="3723">
      <c r="A3723" s="94"/>
      <c r="F3723" s="21"/>
    </row>
    <row r="3724">
      <c r="A3724" s="279" t="s">
        <v>1297</v>
      </c>
      <c r="B3724" s="171" t="s">
        <v>1281</v>
      </c>
      <c r="C3724" s="171" t="s">
        <v>84</v>
      </c>
      <c r="D3724" s="279" t="s">
        <v>1297</v>
      </c>
      <c r="E3724" s="240">
        <v>43855.0</v>
      </c>
      <c r="F3724" s="21" t="str">
        <f t="shared" ref="F3724:F3744" si="278">TEXT(E3716:E3724, "mmm") &amp; "-" &amp; TEXT(E3716:E3724, "yyyy") </f>
        <v>Jan-2020</v>
      </c>
      <c r="G3724" s="32" t="s">
        <v>20</v>
      </c>
      <c r="H3724" s="25" t="s">
        <v>287</v>
      </c>
      <c r="I3724" s="25" t="s">
        <v>1285</v>
      </c>
      <c r="J3724" s="25" t="s">
        <v>139</v>
      </c>
      <c r="K3724" s="25" t="s">
        <v>9</v>
      </c>
      <c r="L3724" s="25" t="s">
        <v>30</v>
      </c>
      <c r="M3724" s="25" t="s">
        <v>30</v>
      </c>
      <c r="N3724" s="25" t="s">
        <v>37</v>
      </c>
    </row>
    <row r="3725">
      <c r="A3725" s="171" t="s">
        <v>1281</v>
      </c>
      <c r="B3725" s="171" t="s">
        <v>1281</v>
      </c>
      <c r="C3725" s="171" t="s">
        <v>84</v>
      </c>
      <c r="D3725" s="279" t="s">
        <v>1297</v>
      </c>
      <c r="E3725" s="240">
        <v>43855.0</v>
      </c>
      <c r="F3725" s="21" t="str">
        <f t="shared" si="278"/>
        <v>Jan-2020</v>
      </c>
      <c r="G3725" s="32" t="s">
        <v>25</v>
      </c>
      <c r="H3725" s="25" t="s">
        <v>287</v>
      </c>
      <c r="I3725" s="25" t="s">
        <v>1285</v>
      </c>
      <c r="J3725" s="25" t="s">
        <v>139</v>
      </c>
      <c r="K3725" s="25" t="s">
        <v>9</v>
      </c>
      <c r="L3725" s="25" t="s">
        <v>30</v>
      </c>
      <c r="N3725" s="25" t="s">
        <v>99</v>
      </c>
    </row>
    <row r="3726">
      <c r="A3726" s="240">
        <v>43855.0</v>
      </c>
      <c r="B3726" s="171" t="s">
        <v>1281</v>
      </c>
      <c r="C3726" s="171" t="s">
        <v>84</v>
      </c>
      <c r="D3726" s="279" t="s">
        <v>1297</v>
      </c>
      <c r="E3726" s="240">
        <v>43855.0</v>
      </c>
      <c r="F3726" s="21" t="str">
        <f t="shared" si="278"/>
        <v>Jan-2020</v>
      </c>
      <c r="G3726" s="32" t="s">
        <v>20</v>
      </c>
      <c r="H3726" s="25" t="s">
        <v>287</v>
      </c>
      <c r="I3726" s="25" t="s">
        <v>1142</v>
      </c>
      <c r="J3726" s="25" t="s">
        <v>27</v>
      </c>
      <c r="K3726" s="25" t="s">
        <v>9</v>
      </c>
      <c r="L3726" s="25" t="s">
        <v>30</v>
      </c>
      <c r="M3726" s="25" t="s">
        <v>24</v>
      </c>
      <c r="N3726" s="25" t="s">
        <v>37</v>
      </c>
    </row>
    <row r="3727">
      <c r="A3727" s="301" t="s">
        <v>1298</v>
      </c>
      <c r="B3727" s="171" t="s">
        <v>1281</v>
      </c>
      <c r="C3727" s="171" t="s">
        <v>84</v>
      </c>
      <c r="D3727" s="279" t="s">
        <v>1297</v>
      </c>
      <c r="E3727" s="240">
        <v>43855.0</v>
      </c>
      <c r="F3727" s="21" t="str">
        <f t="shared" si="278"/>
        <v>Jan-2020</v>
      </c>
      <c r="G3727" s="32" t="s">
        <v>25</v>
      </c>
      <c r="H3727" s="25" t="s">
        <v>287</v>
      </c>
      <c r="I3727" s="25" t="s">
        <v>1142</v>
      </c>
      <c r="J3727" s="25" t="s">
        <v>27</v>
      </c>
      <c r="K3727" s="25" t="s">
        <v>9</v>
      </c>
      <c r="L3727" s="25" t="s">
        <v>24</v>
      </c>
      <c r="N3727" s="25" t="s">
        <v>99</v>
      </c>
    </row>
    <row r="3728">
      <c r="A3728" s="171" t="s">
        <v>1299</v>
      </c>
      <c r="B3728" s="171" t="s">
        <v>1281</v>
      </c>
      <c r="C3728" s="171" t="s">
        <v>84</v>
      </c>
      <c r="D3728" s="279" t="s">
        <v>1297</v>
      </c>
      <c r="E3728" s="240">
        <v>43855.0</v>
      </c>
      <c r="F3728" s="21" t="str">
        <f t="shared" si="278"/>
        <v>Jan-2020</v>
      </c>
      <c r="G3728" s="32" t="s">
        <v>32</v>
      </c>
      <c r="H3728" s="25" t="s">
        <v>287</v>
      </c>
      <c r="I3728" s="25" t="s">
        <v>1142</v>
      </c>
      <c r="J3728" s="25" t="s">
        <v>27</v>
      </c>
      <c r="K3728" s="25" t="s">
        <v>9</v>
      </c>
      <c r="L3728" s="25" t="s">
        <v>24</v>
      </c>
      <c r="N3728" s="25" t="s">
        <v>106</v>
      </c>
    </row>
    <row r="3729">
      <c r="A3729" s="301" t="s">
        <v>1300</v>
      </c>
      <c r="B3729" s="171" t="s">
        <v>1281</v>
      </c>
      <c r="C3729" s="171" t="s">
        <v>84</v>
      </c>
      <c r="D3729" s="279" t="s">
        <v>1297</v>
      </c>
      <c r="E3729" s="240">
        <v>43855.0</v>
      </c>
      <c r="F3729" s="21" t="str">
        <f t="shared" si="278"/>
        <v>Jan-2020</v>
      </c>
      <c r="G3729" s="32" t="s">
        <v>20</v>
      </c>
      <c r="H3729" s="25" t="s">
        <v>287</v>
      </c>
      <c r="I3729" s="25" t="s">
        <v>508</v>
      </c>
      <c r="J3729" s="25" t="s">
        <v>48</v>
      </c>
      <c r="K3729" s="25" t="s">
        <v>9</v>
      </c>
      <c r="L3729" s="25" t="s">
        <v>24</v>
      </c>
      <c r="M3729" s="25" t="s">
        <v>24</v>
      </c>
      <c r="N3729" s="25" t="s">
        <v>98</v>
      </c>
    </row>
    <row r="3730">
      <c r="A3730" s="172"/>
      <c r="B3730" s="171" t="s">
        <v>1281</v>
      </c>
      <c r="C3730" s="171" t="s">
        <v>84</v>
      </c>
      <c r="D3730" s="279" t="s">
        <v>1297</v>
      </c>
      <c r="E3730" s="240">
        <v>43855.0</v>
      </c>
      <c r="F3730" s="21" t="str">
        <f t="shared" si="278"/>
        <v>Jan-2020</v>
      </c>
      <c r="G3730" s="32" t="s">
        <v>25</v>
      </c>
      <c r="H3730" s="25" t="s">
        <v>287</v>
      </c>
      <c r="I3730" s="25" t="s">
        <v>508</v>
      </c>
      <c r="J3730" s="25" t="s">
        <v>48</v>
      </c>
      <c r="K3730" s="25" t="s">
        <v>9</v>
      </c>
      <c r="L3730" s="25" t="s">
        <v>30</v>
      </c>
      <c r="N3730" s="25" t="s">
        <v>106</v>
      </c>
    </row>
    <row r="3731">
      <c r="A3731" s="171" t="s">
        <v>84</v>
      </c>
      <c r="B3731" s="171" t="s">
        <v>1281</v>
      </c>
      <c r="C3731" s="171" t="s">
        <v>84</v>
      </c>
      <c r="D3731" s="279" t="s">
        <v>1297</v>
      </c>
      <c r="E3731" s="240">
        <v>43855.0</v>
      </c>
      <c r="F3731" s="21" t="str">
        <f t="shared" si="278"/>
        <v>Jan-2020</v>
      </c>
      <c r="G3731" s="32" t="s">
        <v>32</v>
      </c>
      <c r="H3731" s="25" t="s">
        <v>287</v>
      </c>
      <c r="I3731" s="25" t="s">
        <v>508</v>
      </c>
      <c r="J3731" s="25" t="s">
        <v>48</v>
      </c>
      <c r="K3731" s="25" t="s">
        <v>9</v>
      </c>
      <c r="L3731" s="25" t="s">
        <v>24</v>
      </c>
      <c r="N3731" s="25" t="s">
        <v>99</v>
      </c>
    </row>
    <row r="3732">
      <c r="A3732" s="172"/>
      <c r="B3732" s="171" t="s">
        <v>1281</v>
      </c>
      <c r="C3732" s="171" t="s">
        <v>84</v>
      </c>
      <c r="D3732" s="279" t="s">
        <v>1297</v>
      </c>
      <c r="E3732" s="240">
        <v>43855.0</v>
      </c>
      <c r="F3732" s="21" t="str">
        <f t="shared" si="278"/>
        <v>Jan-2020</v>
      </c>
      <c r="G3732" s="32" t="s">
        <v>20</v>
      </c>
      <c r="H3732" s="25" t="s">
        <v>35</v>
      </c>
      <c r="I3732" s="25" t="s">
        <v>1256</v>
      </c>
      <c r="J3732" s="25" t="s">
        <v>97</v>
      </c>
      <c r="K3732" s="25" t="s">
        <v>9</v>
      </c>
      <c r="L3732" s="25" t="s">
        <v>30</v>
      </c>
      <c r="M3732" s="25" t="s">
        <v>30</v>
      </c>
      <c r="N3732" s="25" t="s">
        <v>98</v>
      </c>
    </row>
    <row r="3733">
      <c r="A3733" s="172"/>
      <c r="B3733" s="171" t="s">
        <v>1281</v>
      </c>
      <c r="C3733" s="171" t="s">
        <v>84</v>
      </c>
      <c r="D3733" s="279" t="s">
        <v>1297</v>
      </c>
      <c r="E3733" s="240">
        <v>43855.0</v>
      </c>
      <c r="F3733" s="21" t="str">
        <f t="shared" si="278"/>
        <v>Jan-2020</v>
      </c>
      <c r="G3733" s="32" t="s">
        <v>25</v>
      </c>
      <c r="H3733" s="25" t="s">
        <v>35</v>
      </c>
      <c r="I3733" s="25" t="s">
        <v>1256</v>
      </c>
      <c r="J3733" s="25" t="s">
        <v>97</v>
      </c>
      <c r="K3733" s="25" t="s">
        <v>9</v>
      </c>
      <c r="L3733" s="25" t="s">
        <v>30</v>
      </c>
      <c r="N3733" s="25" t="s">
        <v>99</v>
      </c>
    </row>
    <row r="3734">
      <c r="A3734" s="172"/>
      <c r="B3734" s="171" t="s">
        <v>1281</v>
      </c>
      <c r="C3734" s="171" t="s">
        <v>84</v>
      </c>
      <c r="D3734" s="279" t="s">
        <v>1297</v>
      </c>
      <c r="E3734" s="240">
        <v>43855.0</v>
      </c>
      <c r="F3734" s="21" t="str">
        <f t="shared" si="278"/>
        <v>Jan-2020</v>
      </c>
      <c r="G3734" s="32" t="s">
        <v>20</v>
      </c>
      <c r="H3734" s="25" t="s">
        <v>35</v>
      </c>
      <c r="I3734" s="25" t="s">
        <v>464</v>
      </c>
      <c r="J3734" s="25" t="s">
        <v>27</v>
      </c>
      <c r="K3734" s="25" t="s">
        <v>9</v>
      </c>
      <c r="L3734" s="25" t="s">
        <v>30</v>
      </c>
      <c r="M3734" s="25" t="s">
        <v>30</v>
      </c>
      <c r="N3734" s="25" t="s">
        <v>69</v>
      </c>
    </row>
    <row r="3735">
      <c r="A3735" s="172"/>
      <c r="B3735" s="171" t="s">
        <v>1281</v>
      </c>
      <c r="C3735" s="171" t="s">
        <v>84</v>
      </c>
      <c r="D3735" s="279" t="s">
        <v>1297</v>
      </c>
      <c r="E3735" s="240">
        <v>43855.0</v>
      </c>
      <c r="F3735" s="21" t="str">
        <f t="shared" si="278"/>
        <v>Jan-2020</v>
      </c>
      <c r="G3735" s="32" t="s">
        <v>25</v>
      </c>
      <c r="H3735" s="25" t="s">
        <v>35</v>
      </c>
      <c r="I3735" s="25" t="s">
        <v>464</v>
      </c>
      <c r="J3735" s="25" t="s">
        <v>27</v>
      </c>
      <c r="K3735" s="25" t="s">
        <v>9</v>
      </c>
      <c r="L3735" s="25" t="s">
        <v>30</v>
      </c>
      <c r="N3735" s="25" t="s">
        <v>106</v>
      </c>
    </row>
    <row r="3736">
      <c r="A3736" s="172"/>
      <c r="B3736" s="171" t="s">
        <v>1281</v>
      </c>
      <c r="C3736" s="171" t="s">
        <v>84</v>
      </c>
      <c r="D3736" s="279" t="s">
        <v>1297</v>
      </c>
      <c r="E3736" s="240">
        <v>43855.0</v>
      </c>
      <c r="F3736" s="21" t="str">
        <f t="shared" si="278"/>
        <v>Jan-2020</v>
      </c>
      <c r="G3736" s="32" t="s">
        <v>20</v>
      </c>
      <c r="H3736" s="25" t="s">
        <v>35</v>
      </c>
      <c r="I3736" s="25" t="s">
        <v>771</v>
      </c>
      <c r="J3736" s="25" t="s">
        <v>64</v>
      </c>
      <c r="K3736" s="25" t="s">
        <v>9</v>
      </c>
      <c r="L3736" s="25" t="s">
        <v>24</v>
      </c>
      <c r="M3736" s="25" t="s">
        <v>24</v>
      </c>
      <c r="N3736" s="25" t="s">
        <v>98</v>
      </c>
    </row>
    <row r="3737">
      <c r="A3737" s="172"/>
      <c r="B3737" s="171" t="s">
        <v>1281</v>
      </c>
      <c r="C3737" s="171" t="s">
        <v>84</v>
      </c>
      <c r="D3737" s="279" t="s">
        <v>1297</v>
      </c>
      <c r="E3737" s="240">
        <v>43855.0</v>
      </c>
      <c r="F3737" s="21" t="str">
        <f t="shared" si="278"/>
        <v>Jan-2020</v>
      </c>
      <c r="G3737" s="32" t="s">
        <v>25</v>
      </c>
      <c r="H3737" s="25" t="s">
        <v>35</v>
      </c>
      <c r="I3737" s="25" t="s">
        <v>771</v>
      </c>
      <c r="J3737" s="25" t="s">
        <v>64</v>
      </c>
      <c r="K3737" s="25" t="s">
        <v>9</v>
      </c>
      <c r="L3737" s="25" t="s">
        <v>24</v>
      </c>
      <c r="N3737" s="25" t="s">
        <v>106</v>
      </c>
    </row>
    <row r="3738">
      <c r="A3738" s="172"/>
      <c r="B3738" s="171" t="s">
        <v>1281</v>
      </c>
      <c r="C3738" s="171" t="s">
        <v>84</v>
      </c>
      <c r="D3738" s="279" t="s">
        <v>1297</v>
      </c>
      <c r="E3738" s="240">
        <v>43855.0</v>
      </c>
      <c r="F3738" s="21" t="str">
        <f t="shared" si="278"/>
        <v>Jan-2020</v>
      </c>
      <c r="G3738" s="32" t="s">
        <v>20</v>
      </c>
      <c r="H3738" s="25" t="s">
        <v>35</v>
      </c>
      <c r="I3738" s="25" t="s">
        <v>1072</v>
      </c>
      <c r="J3738" s="25" t="s">
        <v>27</v>
      </c>
      <c r="K3738" s="25" t="s">
        <v>9</v>
      </c>
      <c r="L3738" s="25" t="s">
        <v>30</v>
      </c>
      <c r="M3738" s="25" t="s">
        <v>30</v>
      </c>
      <c r="N3738" s="25" t="s">
        <v>98</v>
      </c>
    </row>
    <row r="3739">
      <c r="A3739" s="172"/>
      <c r="B3739" s="171" t="s">
        <v>1281</v>
      </c>
      <c r="C3739" s="171" t="s">
        <v>84</v>
      </c>
      <c r="D3739" s="279" t="s">
        <v>1297</v>
      </c>
      <c r="E3739" s="240">
        <v>43855.0</v>
      </c>
      <c r="F3739" s="21" t="str">
        <f t="shared" si="278"/>
        <v>Jan-2020</v>
      </c>
      <c r="G3739" s="32" t="s">
        <v>25</v>
      </c>
      <c r="H3739" s="25" t="s">
        <v>35</v>
      </c>
      <c r="I3739" s="25" t="s">
        <v>1072</v>
      </c>
      <c r="J3739" s="25" t="s">
        <v>27</v>
      </c>
      <c r="K3739" s="25" t="s">
        <v>9</v>
      </c>
      <c r="L3739" s="25" t="s">
        <v>30</v>
      </c>
      <c r="N3739" s="25" t="s">
        <v>69</v>
      </c>
    </row>
    <row r="3740">
      <c r="A3740" s="172"/>
      <c r="B3740" s="171" t="s">
        <v>1281</v>
      </c>
      <c r="C3740" s="171" t="s">
        <v>84</v>
      </c>
      <c r="D3740" s="279" t="s">
        <v>1297</v>
      </c>
      <c r="E3740" s="240">
        <v>43855.0</v>
      </c>
      <c r="F3740" s="21" t="str">
        <f t="shared" si="278"/>
        <v>Jan-2020</v>
      </c>
      <c r="G3740" t="s">
        <v>146</v>
      </c>
      <c r="H3740" s="25" t="s">
        <v>35</v>
      </c>
      <c r="I3740" s="25" t="s">
        <v>726</v>
      </c>
      <c r="J3740" s="25" t="s">
        <v>216</v>
      </c>
      <c r="K3740" s="25" t="s">
        <v>9</v>
      </c>
      <c r="L3740" s="25" t="s">
        <v>24</v>
      </c>
      <c r="M3740" s="25" t="s">
        <v>24</v>
      </c>
      <c r="N3740" s="25" t="s">
        <v>37</v>
      </c>
    </row>
    <row r="3741">
      <c r="A3741" s="172"/>
      <c r="B3741" s="171" t="s">
        <v>1281</v>
      </c>
      <c r="C3741" s="171" t="s">
        <v>84</v>
      </c>
      <c r="D3741" s="279" t="s">
        <v>1297</v>
      </c>
      <c r="E3741" s="240">
        <v>43855.0</v>
      </c>
      <c r="F3741" s="21" t="str">
        <f t="shared" si="278"/>
        <v>Jan-2020</v>
      </c>
      <c r="G3741" t="s">
        <v>149</v>
      </c>
      <c r="H3741" s="25" t="s">
        <v>35</v>
      </c>
      <c r="I3741" s="25" t="s">
        <v>726</v>
      </c>
      <c r="J3741" s="25" t="s">
        <v>216</v>
      </c>
      <c r="K3741" s="25" t="s">
        <v>9</v>
      </c>
      <c r="L3741" s="25" t="s">
        <v>24</v>
      </c>
      <c r="N3741" s="25" t="s">
        <v>69</v>
      </c>
    </row>
    <row r="3742">
      <c r="A3742" s="172"/>
      <c r="B3742" s="171" t="s">
        <v>1281</v>
      </c>
      <c r="C3742" s="171" t="s">
        <v>84</v>
      </c>
      <c r="D3742" s="279" t="s">
        <v>1297</v>
      </c>
      <c r="E3742" s="240">
        <v>43855.0</v>
      </c>
      <c r="F3742" s="21" t="str">
        <f t="shared" si="278"/>
        <v>Jan-2020</v>
      </c>
      <c r="G3742" t="s">
        <v>222</v>
      </c>
      <c r="H3742" s="25" t="s">
        <v>35</v>
      </c>
      <c r="I3742" s="25" t="s">
        <v>726</v>
      </c>
      <c r="J3742" s="25" t="s">
        <v>216</v>
      </c>
      <c r="K3742" s="25" t="s">
        <v>9</v>
      </c>
      <c r="L3742" s="25" t="s">
        <v>30</v>
      </c>
      <c r="N3742" s="25" t="s">
        <v>69</v>
      </c>
    </row>
    <row r="3743">
      <c r="A3743" s="172"/>
      <c r="B3743" s="171" t="s">
        <v>1281</v>
      </c>
      <c r="C3743" s="171" t="s">
        <v>84</v>
      </c>
      <c r="D3743" s="279" t="s">
        <v>1297</v>
      </c>
      <c r="E3743" s="240">
        <v>43855.0</v>
      </c>
      <c r="F3743" s="21" t="str">
        <f t="shared" si="278"/>
        <v>Jan-2020</v>
      </c>
      <c r="G3743" t="s">
        <v>467</v>
      </c>
      <c r="H3743" s="25" t="s">
        <v>35</v>
      </c>
      <c r="I3743" s="25" t="s">
        <v>726</v>
      </c>
      <c r="J3743" s="25" t="s">
        <v>216</v>
      </c>
      <c r="K3743" s="25" t="s">
        <v>9</v>
      </c>
      <c r="L3743" s="25" t="s">
        <v>30</v>
      </c>
      <c r="N3743" s="25" t="s">
        <v>29</v>
      </c>
    </row>
    <row r="3744">
      <c r="A3744" s="172"/>
      <c r="B3744" s="171" t="s">
        <v>1281</v>
      </c>
      <c r="C3744" s="171" t="s">
        <v>84</v>
      </c>
      <c r="D3744" s="279" t="s">
        <v>1297</v>
      </c>
      <c r="E3744" s="240">
        <v>43855.0</v>
      </c>
      <c r="F3744" s="21" t="str">
        <f t="shared" si="278"/>
        <v>Jan-2020</v>
      </c>
      <c r="G3744" s="25" t="s">
        <v>480</v>
      </c>
      <c r="H3744" s="25" t="s">
        <v>35</v>
      </c>
      <c r="I3744" s="25" t="s">
        <v>726</v>
      </c>
      <c r="J3744" s="25" t="s">
        <v>216</v>
      </c>
      <c r="K3744" s="25" t="s">
        <v>9</v>
      </c>
      <c r="L3744" s="25" t="s">
        <v>24</v>
      </c>
      <c r="N3744" s="25" t="s">
        <v>29</v>
      </c>
    </row>
    <row r="3745">
      <c r="A3745" s="94"/>
      <c r="F3745" s="21"/>
    </row>
    <row r="3746">
      <c r="A3746" s="279" t="s">
        <v>1301</v>
      </c>
      <c r="B3746" s="171" t="s">
        <v>1250</v>
      </c>
      <c r="C3746" s="171" t="s">
        <v>74</v>
      </c>
      <c r="D3746" s="279" t="s">
        <v>1301</v>
      </c>
      <c r="E3746" s="240">
        <v>43859.0</v>
      </c>
      <c r="F3746" s="21" t="str">
        <f t="shared" ref="F3746:F3763" si="279">TEXT(E3738:E3746, "mmm") &amp; "-" &amp; TEXT(E3738:E3746, "yyyy") </f>
        <v>Jan-2020</v>
      </c>
      <c r="G3746" s="32" t="s">
        <v>20</v>
      </c>
      <c r="I3746" s="25" t="s">
        <v>1225</v>
      </c>
      <c r="J3746" s="25" t="s">
        <v>27</v>
      </c>
      <c r="K3746" s="25" t="s">
        <v>9</v>
      </c>
      <c r="L3746" s="25" t="s">
        <v>30</v>
      </c>
      <c r="M3746" s="25" t="s">
        <v>30</v>
      </c>
      <c r="N3746" s="25" t="s">
        <v>37</v>
      </c>
    </row>
    <row r="3747">
      <c r="A3747" s="171" t="s">
        <v>1250</v>
      </c>
      <c r="B3747" s="171" t="s">
        <v>1250</v>
      </c>
      <c r="C3747" s="171" t="s">
        <v>74</v>
      </c>
      <c r="D3747" s="279" t="s">
        <v>1301</v>
      </c>
      <c r="E3747" s="240">
        <v>43859.0</v>
      </c>
      <c r="F3747" s="21" t="str">
        <f t="shared" si="279"/>
        <v>Jan-2020</v>
      </c>
      <c r="G3747" s="32" t="s">
        <v>25</v>
      </c>
      <c r="I3747" s="25" t="s">
        <v>1225</v>
      </c>
      <c r="J3747" s="25" t="s">
        <v>27</v>
      </c>
      <c r="K3747" s="25" t="s">
        <v>9</v>
      </c>
      <c r="L3747" s="25" t="s">
        <v>30</v>
      </c>
      <c r="N3747" s="25" t="s">
        <v>29</v>
      </c>
    </row>
    <row r="3748">
      <c r="A3748" s="240">
        <v>43859.0</v>
      </c>
      <c r="B3748" s="171" t="s">
        <v>1250</v>
      </c>
      <c r="C3748" s="171" t="s">
        <v>74</v>
      </c>
      <c r="D3748" s="279" t="s">
        <v>1301</v>
      </c>
      <c r="E3748" s="240">
        <v>43859.0</v>
      </c>
      <c r="F3748" s="21" t="str">
        <f t="shared" si="279"/>
        <v>Jan-2020</v>
      </c>
      <c r="G3748" s="32" t="s">
        <v>20</v>
      </c>
      <c r="I3748" s="25" t="s">
        <v>163</v>
      </c>
      <c r="J3748" s="25" t="s">
        <v>44</v>
      </c>
      <c r="K3748" s="25" t="s">
        <v>9</v>
      </c>
      <c r="L3748" s="25" t="s">
        <v>30</v>
      </c>
      <c r="M3748" s="25" t="s">
        <v>30</v>
      </c>
      <c r="N3748" s="25" t="s">
        <v>98</v>
      </c>
    </row>
    <row r="3749">
      <c r="A3749" s="171" t="s">
        <v>1273</v>
      </c>
      <c r="B3749" s="171" t="s">
        <v>1250</v>
      </c>
      <c r="C3749" s="171" t="s">
        <v>74</v>
      </c>
      <c r="D3749" s="279" t="s">
        <v>1301</v>
      </c>
      <c r="E3749" s="240">
        <v>43859.0</v>
      </c>
      <c r="F3749" s="21" t="str">
        <f t="shared" si="279"/>
        <v>Jan-2020</v>
      </c>
      <c r="G3749" s="32" t="s">
        <v>25</v>
      </c>
      <c r="I3749" s="25" t="s">
        <v>163</v>
      </c>
      <c r="J3749" s="25" t="s">
        <v>44</v>
      </c>
      <c r="K3749" s="25" t="s">
        <v>9</v>
      </c>
      <c r="L3749" s="25" t="s">
        <v>30</v>
      </c>
      <c r="N3749" s="25" t="s">
        <v>69</v>
      </c>
    </row>
    <row r="3750">
      <c r="A3750" s="172"/>
      <c r="B3750" s="171" t="s">
        <v>1250</v>
      </c>
      <c r="C3750" s="171" t="s">
        <v>74</v>
      </c>
      <c r="D3750" s="279" t="s">
        <v>1301</v>
      </c>
      <c r="E3750" s="240">
        <v>43859.0</v>
      </c>
      <c r="F3750" s="21" t="str">
        <f t="shared" si="279"/>
        <v>Jan-2020</v>
      </c>
      <c r="G3750" s="32" t="s">
        <v>20</v>
      </c>
      <c r="I3750" s="25" t="s">
        <v>1302</v>
      </c>
      <c r="J3750" s="25" t="s">
        <v>9</v>
      </c>
      <c r="K3750" s="25" t="s">
        <v>9</v>
      </c>
      <c r="L3750" s="25" t="s">
        <v>30</v>
      </c>
      <c r="M3750" s="25" t="s">
        <v>30</v>
      </c>
      <c r="N3750" s="25" t="s">
        <v>99</v>
      </c>
    </row>
    <row r="3751">
      <c r="A3751" s="172"/>
      <c r="B3751" s="171" t="s">
        <v>1250</v>
      </c>
      <c r="C3751" s="171" t="s">
        <v>74</v>
      </c>
      <c r="D3751" s="279" t="s">
        <v>1301</v>
      </c>
      <c r="E3751" s="240">
        <v>43859.0</v>
      </c>
      <c r="F3751" s="21" t="str">
        <f t="shared" si="279"/>
        <v>Jan-2020</v>
      </c>
      <c r="G3751" s="32" t="s">
        <v>25</v>
      </c>
      <c r="I3751" s="25" t="s">
        <v>1302</v>
      </c>
      <c r="J3751" s="25" t="s">
        <v>9</v>
      </c>
      <c r="K3751" s="25" t="s">
        <v>9</v>
      </c>
      <c r="L3751" s="25" t="s">
        <v>30</v>
      </c>
      <c r="N3751" s="25" t="s">
        <v>37</v>
      </c>
    </row>
    <row r="3752">
      <c r="A3752" s="171" t="s">
        <v>74</v>
      </c>
      <c r="B3752" s="171" t="s">
        <v>1250</v>
      </c>
      <c r="C3752" s="171" t="s">
        <v>74</v>
      </c>
      <c r="D3752" s="279" t="s">
        <v>1301</v>
      </c>
      <c r="E3752" s="240">
        <v>43859.0</v>
      </c>
      <c r="F3752" s="21" t="str">
        <f t="shared" si="279"/>
        <v>Jan-2020</v>
      </c>
      <c r="G3752" s="32" t="s">
        <v>20</v>
      </c>
      <c r="I3752" s="25" t="s">
        <v>1303</v>
      </c>
      <c r="J3752" s="25" t="s">
        <v>9</v>
      </c>
      <c r="K3752" s="25" t="s">
        <v>9</v>
      </c>
      <c r="L3752" s="25" t="s">
        <v>30</v>
      </c>
      <c r="M3752" s="25" t="s">
        <v>30</v>
      </c>
      <c r="N3752" s="25" t="s">
        <v>69</v>
      </c>
    </row>
    <row r="3753">
      <c r="A3753" s="172"/>
      <c r="B3753" s="171" t="s">
        <v>1250</v>
      </c>
      <c r="C3753" s="171" t="s">
        <v>74</v>
      </c>
      <c r="D3753" s="279" t="s">
        <v>1301</v>
      </c>
      <c r="E3753" s="240">
        <v>43859.0</v>
      </c>
      <c r="F3753" s="21" t="str">
        <f t="shared" si="279"/>
        <v>Jan-2020</v>
      </c>
      <c r="G3753" s="32" t="s">
        <v>25</v>
      </c>
      <c r="I3753" s="25" t="s">
        <v>1303</v>
      </c>
      <c r="J3753" s="25" t="s">
        <v>9</v>
      </c>
      <c r="K3753" s="25" t="s">
        <v>9</v>
      </c>
      <c r="L3753" s="25" t="s">
        <v>30</v>
      </c>
      <c r="N3753" s="25" t="s">
        <v>106</v>
      </c>
    </row>
    <row r="3754">
      <c r="A3754" s="172"/>
      <c r="B3754" s="171" t="s">
        <v>1250</v>
      </c>
      <c r="C3754" s="171" t="s">
        <v>74</v>
      </c>
      <c r="D3754" s="279" t="s">
        <v>1301</v>
      </c>
      <c r="E3754" s="240">
        <v>43859.0</v>
      </c>
      <c r="F3754" s="21" t="str">
        <f t="shared" si="279"/>
        <v>Jan-2020</v>
      </c>
      <c r="G3754" s="32" t="s">
        <v>20</v>
      </c>
      <c r="I3754" s="25" t="s">
        <v>393</v>
      </c>
      <c r="J3754" s="25" t="s">
        <v>102</v>
      </c>
      <c r="K3754" s="25" t="s">
        <v>9</v>
      </c>
      <c r="L3754" s="25" t="s">
        <v>30</v>
      </c>
      <c r="M3754" s="25" t="s">
        <v>30</v>
      </c>
      <c r="N3754" s="25" t="s">
        <v>99</v>
      </c>
    </row>
    <row r="3755">
      <c r="A3755" s="172"/>
      <c r="B3755" s="171" t="s">
        <v>1250</v>
      </c>
      <c r="C3755" s="171" t="s">
        <v>74</v>
      </c>
      <c r="D3755" s="279" t="s">
        <v>1301</v>
      </c>
      <c r="E3755" s="240">
        <v>43859.0</v>
      </c>
      <c r="F3755" s="21" t="str">
        <f t="shared" si="279"/>
        <v>Jan-2020</v>
      </c>
      <c r="G3755" s="32" t="s">
        <v>25</v>
      </c>
      <c r="I3755" s="25" t="s">
        <v>393</v>
      </c>
      <c r="J3755" s="25" t="s">
        <v>102</v>
      </c>
      <c r="K3755" s="25" t="s">
        <v>9</v>
      </c>
      <c r="L3755" s="25" t="s">
        <v>24</v>
      </c>
      <c r="N3755" s="25" t="s">
        <v>37</v>
      </c>
    </row>
    <row r="3756">
      <c r="A3756" s="172"/>
      <c r="B3756" s="171" t="s">
        <v>1250</v>
      </c>
      <c r="C3756" s="171" t="s">
        <v>74</v>
      </c>
      <c r="D3756" s="279" t="s">
        <v>1301</v>
      </c>
      <c r="E3756" s="240">
        <v>43859.0</v>
      </c>
      <c r="F3756" s="21" t="str">
        <f t="shared" si="279"/>
        <v>Jan-2020</v>
      </c>
      <c r="G3756" s="32" t="s">
        <v>32</v>
      </c>
      <c r="I3756" s="25" t="s">
        <v>393</v>
      </c>
      <c r="J3756" s="25" t="s">
        <v>102</v>
      </c>
      <c r="K3756" s="25" t="s">
        <v>9</v>
      </c>
      <c r="L3756" s="25" t="s">
        <v>30</v>
      </c>
      <c r="N3756" s="25" t="s">
        <v>106</v>
      </c>
    </row>
    <row r="3757">
      <c r="A3757" s="172"/>
      <c r="B3757" s="171" t="s">
        <v>1250</v>
      </c>
      <c r="C3757" s="171" t="s">
        <v>74</v>
      </c>
      <c r="D3757" s="279" t="s">
        <v>1301</v>
      </c>
      <c r="E3757" s="240">
        <v>43859.0</v>
      </c>
      <c r="F3757" s="21" t="str">
        <f t="shared" si="279"/>
        <v>Jan-2020</v>
      </c>
      <c r="G3757" t="s">
        <v>146</v>
      </c>
      <c r="I3757" s="25" t="s">
        <v>452</v>
      </c>
      <c r="J3757" s="25" t="s">
        <v>27</v>
      </c>
      <c r="K3757" s="25" t="s">
        <v>9</v>
      </c>
      <c r="L3757" s="25" t="s">
        <v>24</v>
      </c>
      <c r="M3757" s="25" t="s">
        <v>24</v>
      </c>
      <c r="N3757" s="25" t="s">
        <v>98</v>
      </c>
    </row>
    <row r="3758">
      <c r="A3758" s="172"/>
      <c r="B3758" s="171" t="s">
        <v>1250</v>
      </c>
      <c r="C3758" s="171" t="s">
        <v>74</v>
      </c>
      <c r="D3758" s="279" t="s">
        <v>1301</v>
      </c>
      <c r="E3758" s="240">
        <v>43859.0</v>
      </c>
      <c r="F3758" s="21" t="str">
        <f t="shared" si="279"/>
        <v>Jan-2020</v>
      </c>
      <c r="G3758" t="s">
        <v>149</v>
      </c>
      <c r="I3758" s="25" t="s">
        <v>452</v>
      </c>
      <c r="J3758" s="25" t="s">
        <v>27</v>
      </c>
      <c r="K3758" s="25" t="s">
        <v>9</v>
      </c>
      <c r="L3758" s="25" t="s">
        <v>24</v>
      </c>
      <c r="N3758" s="25" t="s">
        <v>98</v>
      </c>
    </row>
    <row r="3759">
      <c r="A3759" s="172"/>
      <c r="B3759" s="171" t="s">
        <v>1250</v>
      </c>
      <c r="C3759" s="171" t="s">
        <v>74</v>
      </c>
      <c r="D3759" s="279" t="s">
        <v>1301</v>
      </c>
      <c r="E3759" s="240">
        <v>43859.0</v>
      </c>
      <c r="F3759" s="21" t="str">
        <f t="shared" si="279"/>
        <v>Jan-2020</v>
      </c>
      <c r="G3759" t="s">
        <v>222</v>
      </c>
      <c r="I3759" s="25" t="s">
        <v>452</v>
      </c>
      <c r="J3759" s="25" t="s">
        <v>27</v>
      </c>
      <c r="K3759" s="25" t="s">
        <v>9</v>
      </c>
      <c r="L3759" s="25" t="s">
        <v>24</v>
      </c>
      <c r="N3759" s="25" t="s">
        <v>106</v>
      </c>
    </row>
    <row r="3760">
      <c r="A3760" s="172"/>
      <c r="B3760" s="171" t="s">
        <v>1250</v>
      </c>
      <c r="C3760" s="171" t="s">
        <v>74</v>
      </c>
      <c r="D3760" s="279" t="s">
        <v>1301</v>
      </c>
      <c r="E3760" s="240">
        <v>43859.0</v>
      </c>
      <c r="F3760" s="21" t="str">
        <f t="shared" si="279"/>
        <v>Jan-2020</v>
      </c>
      <c r="G3760" t="s">
        <v>146</v>
      </c>
      <c r="I3760" s="25" t="s">
        <v>871</v>
      </c>
      <c r="J3760" s="25" t="s">
        <v>138</v>
      </c>
      <c r="K3760" s="25" t="s">
        <v>9</v>
      </c>
      <c r="L3760" s="25" t="s">
        <v>30</v>
      </c>
      <c r="M3760" s="25" t="s">
        <v>24</v>
      </c>
      <c r="N3760" s="25" t="s">
        <v>98</v>
      </c>
    </row>
    <row r="3761">
      <c r="A3761" s="172"/>
      <c r="B3761" s="171" t="s">
        <v>1250</v>
      </c>
      <c r="C3761" s="171" t="s">
        <v>74</v>
      </c>
      <c r="D3761" s="279" t="s">
        <v>1301</v>
      </c>
      <c r="E3761" s="240">
        <v>43859.0</v>
      </c>
      <c r="F3761" s="21" t="str">
        <f t="shared" si="279"/>
        <v>Jan-2020</v>
      </c>
      <c r="G3761" t="s">
        <v>149</v>
      </c>
      <c r="I3761" s="25" t="s">
        <v>871</v>
      </c>
      <c r="J3761" s="25" t="s">
        <v>138</v>
      </c>
      <c r="K3761" s="25" t="s">
        <v>9</v>
      </c>
      <c r="L3761" s="25" t="s">
        <v>24</v>
      </c>
      <c r="N3761" s="25" t="s">
        <v>29</v>
      </c>
    </row>
    <row r="3762">
      <c r="A3762" s="172"/>
      <c r="B3762" s="171" t="s">
        <v>1250</v>
      </c>
      <c r="C3762" s="171" t="s">
        <v>74</v>
      </c>
      <c r="D3762" s="279" t="s">
        <v>1301</v>
      </c>
      <c r="E3762" s="240">
        <v>43859.0</v>
      </c>
      <c r="F3762" s="21" t="str">
        <f t="shared" si="279"/>
        <v>Jan-2020</v>
      </c>
      <c r="G3762" t="s">
        <v>222</v>
      </c>
      <c r="I3762" s="25" t="s">
        <v>871</v>
      </c>
      <c r="J3762" s="25" t="s">
        <v>138</v>
      </c>
      <c r="K3762" s="25" t="s">
        <v>9</v>
      </c>
      <c r="L3762" s="25" t="s">
        <v>24</v>
      </c>
      <c r="N3762" s="25" t="s">
        <v>69</v>
      </c>
    </row>
    <row r="3763">
      <c r="A3763" s="172"/>
      <c r="B3763" s="171" t="s">
        <v>1250</v>
      </c>
      <c r="C3763" s="171" t="s">
        <v>74</v>
      </c>
      <c r="D3763" s="279" t="s">
        <v>1301</v>
      </c>
      <c r="E3763" s="240">
        <v>43859.0</v>
      </c>
      <c r="F3763" s="21" t="str">
        <f t="shared" si="279"/>
        <v>Jan-2020</v>
      </c>
      <c r="G3763" t="s">
        <v>467</v>
      </c>
      <c r="I3763" s="25" t="s">
        <v>871</v>
      </c>
      <c r="J3763" s="25" t="s">
        <v>138</v>
      </c>
      <c r="K3763" s="25" t="s">
        <v>9</v>
      </c>
      <c r="L3763" s="25" t="s">
        <v>24</v>
      </c>
      <c r="N3763" s="25" t="s">
        <v>69</v>
      </c>
    </row>
    <row r="3764">
      <c r="A3764" s="94"/>
      <c r="F3764" s="21"/>
    </row>
    <row r="3765">
      <c r="A3765" s="279" t="s">
        <v>1304</v>
      </c>
      <c r="B3765" s="171" t="s">
        <v>1281</v>
      </c>
      <c r="C3765" s="171" t="s">
        <v>84</v>
      </c>
      <c r="D3765" s="279" t="s">
        <v>1304</v>
      </c>
      <c r="E3765" s="240">
        <v>43862.0</v>
      </c>
      <c r="F3765" s="21" t="str">
        <f t="shared" ref="F3765:F3786" si="280">TEXT(E3757:E3765, "mmm") &amp; "-" &amp; TEXT(E3757:E3765, "yyyy") </f>
        <v>Feb-2020</v>
      </c>
      <c r="G3765" s="32" t="s">
        <v>20</v>
      </c>
      <c r="H3765" s="25" t="s">
        <v>287</v>
      </c>
      <c r="I3765" s="25" t="s">
        <v>1305</v>
      </c>
      <c r="J3765" s="25" t="s">
        <v>27</v>
      </c>
      <c r="K3765" s="25" t="s">
        <v>9</v>
      </c>
      <c r="L3765" s="25" t="s">
        <v>30</v>
      </c>
      <c r="M3765" s="25" t="s">
        <v>30</v>
      </c>
      <c r="N3765" s="25" t="s">
        <v>37</v>
      </c>
    </row>
    <row r="3766">
      <c r="A3766" s="171" t="s">
        <v>1281</v>
      </c>
      <c r="B3766" s="171" t="s">
        <v>1281</v>
      </c>
      <c r="C3766" s="171" t="s">
        <v>84</v>
      </c>
      <c r="D3766" s="279" t="s">
        <v>1304</v>
      </c>
      <c r="E3766" s="240">
        <v>43862.0</v>
      </c>
      <c r="F3766" s="21" t="str">
        <f t="shared" si="280"/>
        <v>Feb-2020</v>
      </c>
      <c r="G3766" s="32" t="s">
        <v>25</v>
      </c>
      <c r="H3766" s="25" t="s">
        <v>287</v>
      </c>
      <c r="I3766" s="25" t="s">
        <v>1305</v>
      </c>
      <c r="J3766" s="25" t="s">
        <v>27</v>
      </c>
      <c r="K3766" s="25" t="s">
        <v>9</v>
      </c>
      <c r="L3766" s="25" t="s">
        <v>30</v>
      </c>
      <c r="N3766" s="25" t="s">
        <v>69</v>
      </c>
    </row>
    <row r="3767">
      <c r="A3767" s="240">
        <v>43862.0</v>
      </c>
      <c r="B3767" s="171" t="s">
        <v>1281</v>
      </c>
      <c r="C3767" s="171" t="s">
        <v>84</v>
      </c>
      <c r="D3767" s="279" t="s">
        <v>1304</v>
      </c>
      <c r="E3767" s="240">
        <v>43862.0</v>
      </c>
      <c r="F3767" s="21" t="str">
        <f t="shared" si="280"/>
        <v>Feb-2020</v>
      </c>
      <c r="G3767" s="32" t="s">
        <v>20</v>
      </c>
      <c r="H3767" s="25" t="s">
        <v>287</v>
      </c>
      <c r="I3767" s="25" t="s">
        <v>1256</v>
      </c>
      <c r="J3767" s="25" t="s">
        <v>97</v>
      </c>
      <c r="K3767" s="25" t="s">
        <v>9</v>
      </c>
      <c r="L3767" s="25" t="s">
        <v>30</v>
      </c>
      <c r="M3767" s="25" t="s">
        <v>30</v>
      </c>
      <c r="N3767" s="25" t="s">
        <v>98</v>
      </c>
    </row>
    <row r="3768">
      <c r="A3768" s="301" t="s">
        <v>1306</v>
      </c>
      <c r="B3768" s="171" t="s">
        <v>1281</v>
      </c>
      <c r="C3768" s="171" t="s">
        <v>84</v>
      </c>
      <c r="D3768" s="279" t="s">
        <v>1304</v>
      </c>
      <c r="E3768" s="240">
        <v>43862.0</v>
      </c>
      <c r="F3768" s="21" t="str">
        <f t="shared" si="280"/>
        <v>Feb-2020</v>
      </c>
      <c r="G3768" s="32" t="s">
        <v>25</v>
      </c>
      <c r="H3768" s="25" t="s">
        <v>287</v>
      </c>
      <c r="I3768" s="25" t="s">
        <v>1256</v>
      </c>
      <c r="J3768" s="25" t="s">
        <v>97</v>
      </c>
      <c r="K3768" s="25" t="s">
        <v>9</v>
      </c>
      <c r="L3768" s="25" t="s">
        <v>30</v>
      </c>
      <c r="N3768" s="25" t="s">
        <v>99</v>
      </c>
    </row>
    <row r="3769">
      <c r="A3769" s="171" t="s">
        <v>84</v>
      </c>
      <c r="B3769" s="171" t="s">
        <v>1281</v>
      </c>
      <c r="C3769" s="171" t="s">
        <v>84</v>
      </c>
      <c r="D3769" s="279" t="s">
        <v>1304</v>
      </c>
      <c r="E3769" s="240">
        <v>43862.0</v>
      </c>
      <c r="F3769" s="21" t="str">
        <f t="shared" si="280"/>
        <v>Feb-2020</v>
      </c>
      <c r="G3769" s="32" t="s">
        <v>20</v>
      </c>
      <c r="H3769" s="25" t="s">
        <v>287</v>
      </c>
      <c r="I3769" s="25" t="s">
        <v>1082</v>
      </c>
      <c r="J3769" s="25" t="s">
        <v>48</v>
      </c>
      <c r="K3769" s="25" t="s">
        <v>9</v>
      </c>
      <c r="L3769" s="25" t="s">
        <v>30</v>
      </c>
      <c r="M3769" s="25" t="s">
        <v>30</v>
      </c>
      <c r="N3769" s="25" t="s">
        <v>98</v>
      </c>
    </row>
    <row r="3770">
      <c r="A3770" s="171" t="s">
        <v>1307</v>
      </c>
      <c r="B3770" s="171" t="s">
        <v>1281</v>
      </c>
      <c r="C3770" s="171" t="s">
        <v>84</v>
      </c>
      <c r="D3770" s="279" t="s">
        <v>1304</v>
      </c>
      <c r="E3770" s="240">
        <v>43862.0</v>
      </c>
      <c r="F3770" s="21" t="str">
        <f t="shared" si="280"/>
        <v>Feb-2020</v>
      </c>
      <c r="G3770" s="32" t="s">
        <v>25</v>
      </c>
      <c r="H3770" s="25" t="s">
        <v>287</v>
      </c>
      <c r="I3770" s="25" t="s">
        <v>1082</v>
      </c>
      <c r="J3770" s="25" t="s">
        <v>48</v>
      </c>
      <c r="K3770" s="25" t="s">
        <v>9</v>
      </c>
      <c r="L3770" s="25" t="s">
        <v>30</v>
      </c>
      <c r="N3770" s="25" t="s">
        <v>106</v>
      </c>
    </row>
    <row r="3771">
      <c r="A3771" s="301" t="s">
        <v>1308</v>
      </c>
      <c r="B3771" s="171" t="s">
        <v>1281</v>
      </c>
      <c r="C3771" s="171" t="s">
        <v>84</v>
      </c>
      <c r="D3771" s="279" t="s">
        <v>1304</v>
      </c>
      <c r="E3771" s="240">
        <v>43862.0</v>
      </c>
      <c r="F3771" s="21" t="str">
        <f t="shared" si="280"/>
        <v>Feb-2020</v>
      </c>
      <c r="G3771" s="32" t="s">
        <v>20</v>
      </c>
      <c r="H3771" s="25" t="s">
        <v>287</v>
      </c>
      <c r="I3771" s="25" t="s">
        <v>100</v>
      </c>
      <c r="J3771" s="25" t="s">
        <v>9</v>
      </c>
      <c r="K3771" s="25" t="s">
        <v>9</v>
      </c>
      <c r="L3771" s="25" t="s">
        <v>24</v>
      </c>
      <c r="M3771" s="25" t="s">
        <v>30</v>
      </c>
      <c r="N3771" s="25" t="s">
        <v>98</v>
      </c>
    </row>
    <row r="3772">
      <c r="A3772" s="172"/>
      <c r="B3772" s="171" t="s">
        <v>1281</v>
      </c>
      <c r="C3772" s="171" t="s">
        <v>84</v>
      </c>
      <c r="D3772" s="279" t="s">
        <v>1304</v>
      </c>
      <c r="E3772" s="240">
        <v>43862.0</v>
      </c>
      <c r="F3772" s="21" t="str">
        <f t="shared" si="280"/>
        <v>Feb-2020</v>
      </c>
      <c r="G3772" s="32" t="s">
        <v>25</v>
      </c>
      <c r="H3772" s="25" t="s">
        <v>287</v>
      </c>
      <c r="I3772" s="25" t="s">
        <v>100</v>
      </c>
      <c r="J3772" s="25" t="s">
        <v>9</v>
      </c>
      <c r="K3772" s="25" t="s">
        <v>9</v>
      </c>
      <c r="L3772" s="25" t="s">
        <v>30</v>
      </c>
      <c r="N3772" s="25" t="s">
        <v>69</v>
      </c>
    </row>
    <row r="3773">
      <c r="A3773" s="172"/>
      <c r="B3773" s="171" t="s">
        <v>1281</v>
      </c>
      <c r="C3773" s="171" t="s">
        <v>84</v>
      </c>
      <c r="D3773" s="279" t="s">
        <v>1304</v>
      </c>
      <c r="E3773" s="240">
        <v>43862.0</v>
      </c>
      <c r="F3773" s="21" t="str">
        <f t="shared" si="280"/>
        <v>Feb-2020</v>
      </c>
      <c r="G3773" s="32" t="s">
        <v>32</v>
      </c>
      <c r="H3773" s="25" t="s">
        <v>287</v>
      </c>
      <c r="I3773" s="25" t="s">
        <v>100</v>
      </c>
      <c r="J3773" s="25" t="s">
        <v>9</v>
      </c>
      <c r="K3773" s="25" t="s">
        <v>9</v>
      </c>
      <c r="L3773" s="25" t="s">
        <v>30</v>
      </c>
      <c r="N3773" s="25" t="s">
        <v>106</v>
      </c>
    </row>
    <row r="3774">
      <c r="A3774" s="172"/>
      <c r="B3774" s="171" t="s">
        <v>1281</v>
      </c>
      <c r="C3774" s="171" t="s">
        <v>84</v>
      </c>
      <c r="D3774" s="279" t="s">
        <v>1304</v>
      </c>
      <c r="E3774" s="240">
        <v>43862.0</v>
      </c>
      <c r="F3774" s="21" t="str">
        <f t="shared" si="280"/>
        <v>Feb-2020</v>
      </c>
      <c r="G3774" s="32" t="s">
        <v>20</v>
      </c>
      <c r="H3774" s="25" t="s">
        <v>35</v>
      </c>
      <c r="I3774" s="25" t="s">
        <v>508</v>
      </c>
      <c r="J3774" s="25" t="s">
        <v>48</v>
      </c>
      <c r="K3774" s="25" t="s">
        <v>9</v>
      </c>
      <c r="L3774" s="25" t="s">
        <v>24</v>
      </c>
      <c r="M3774" s="25" t="s">
        <v>30</v>
      </c>
      <c r="N3774" s="25" t="s">
        <v>98</v>
      </c>
    </row>
    <row r="3775">
      <c r="A3775" s="172"/>
      <c r="B3775" s="171" t="s">
        <v>1281</v>
      </c>
      <c r="C3775" s="171" t="s">
        <v>84</v>
      </c>
      <c r="D3775" s="279" t="s">
        <v>1304</v>
      </c>
      <c r="E3775" s="240">
        <v>43862.0</v>
      </c>
      <c r="F3775" s="21" t="str">
        <f t="shared" si="280"/>
        <v>Feb-2020</v>
      </c>
      <c r="G3775" s="32" t="s">
        <v>25</v>
      </c>
      <c r="H3775" s="25" t="s">
        <v>35</v>
      </c>
      <c r="I3775" s="25" t="s">
        <v>508</v>
      </c>
      <c r="J3775" s="25" t="s">
        <v>48</v>
      </c>
      <c r="K3775" s="25" t="s">
        <v>9</v>
      </c>
      <c r="L3775" s="25" t="s">
        <v>30</v>
      </c>
      <c r="N3775" s="25" t="s">
        <v>106</v>
      </c>
    </row>
    <row r="3776">
      <c r="A3776" s="172"/>
      <c r="B3776" s="171" t="s">
        <v>1281</v>
      </c>
      <c r="C3776" s="171" t="s">
        <v>84</v>
      </c>
      <c r="D3776" s="279" t="s">
        <v>1304</v>
      </c>
      <c r="E3776" s="240">
        <v>43862.0</v>
      </c>
      <c r="F3776" s="21" t="str">
        <f t="shared" si="280"/>
        <v>Feb-2020</v>
      </c>
      <c r="G3776" s="32" t="s">
        <v>32</v>
      </c>
      <c r="H3776" s="25" t="s">
        <v>35</v>
      </c>
      <c r="I3776" s="25" t="s">
        <v>508</v>
      </c>
      <c r="J3776" s="25" t="s">
        <v>48</v>
      </c>
      <c r="K3776" s="25" t="s">
        <v>9</v>
      </c>
      <c r="L3776" s="25" t="s">
        <v>30</v>
      </c>
      <c r="N3776" s="25" t="s">
        <v>99</v>
      </c>
    </row>
    <row r="3777">
      <c r="A3777" s="172"/>
      <c r="B3777" s="171" t="s">
        <v>1281</v>
      </c>
      <c r="C3777" s="171" t="s">
        <v>84</v>
      </c>
      <c r="D3777" s="279" t="s">
        <v>1304</v>
      </c>
      <c r="E3777" s="240">
        <v>43862.0</v>
      </c>
      <c r="F3777" s="21" t="str">
        <f t="shared" si="280"/>
        <v>Feb-2020</v>
      </c>
      <c r="G3777" s="32" t="s">
        <v>20</v>
      </c>
      <c r="H3777" s="25" t="s">
        <v>35</v>
      </c>
      <c r="I3777" s="25" t="s">
        <v>442</v>
      </c>
      <c r="J3777" s="25" t="s">
        <v>71</v>
      </c>
      <c r="K3777" s="25" t="s">
        <v>9</v>
      </c>
      <c r="L3777" s="25" t="s">
        <v>30</v>
      </c>
      <c r="M3777" s="25" t="s">
        <v>30</v>
      </c>
      <c r="N3777" s="25" t="s">
        <v>99</v>
      </c>
    </row>
    <row r="3778">
      <c r="A3778" s="172"/>
      <c r="B3778" s="171" t="s">
        <v>1281</v>
      </c>
      <c r="C3778" s="171" t="s">
        <v>84</v>
      </c>
      <c r="D3778" s="279" t="s">
        <v>1304</v>
      </c>
      <c r="E3778" s="240">
        <v>43862.0</v>
      </c>
      <c r="F3778" s="21" t="str">
        <f t="shared" si="280"/>
        <v>Feb-2020</v>
      </c>
      <c r="G3778" s="32" t="s">
        <v>25</v>
      </c>
      <c r="H3778" s="25" t="s">
        <v>35</v>
      </c>
      <c r="I3778" s="25" t="s">
        <v>442</v>
      </c>
      <c r="J3778" s="25" t="s">
        <v>71</v>
      </c>
      <c r="K3778" s="25" t="s">
        <v>9</v>
      </c>
      <c r="L3778" s="25" t="s">
        <v>30</v>
      </c>
      <c r="N3778" s="25" t="s">
        <v>99</v>
      </c>
    </row>
    <row r="3779">
      <c r="A3779" s="172"/>
      <c r="B3779" s="171" t="s">
        <v>1281</v>
      </c>
      <c r="C3779" s="171" t="s">
        <v>84</v>
      </c>
      <c r="D3779" s="279" t="s">
        <v>1304</v>
      </c>
      <c r="E3779" s="240">
        <v>43862.0</v>
      </c>
      <c r="F3779" s="21" t="str">
        <f t="shared" si="280"/>
        <v>Feb-2020</v>
      </c>
      <c r="G3779" t="s">
        <v>146</v>
      </c>
      <c r="H3779" s="25" t="s">
        <v>35</v>
      </c>
      <c r="I3779" s="25" t="s">
        <v>364</v>
      </c>
      <c r="J3779" s="25" t="s">
        <v>86</v>
      </c>
      <c r="K3779" s="25" t="s">
        <v>9</v>
      </c>
      <c r="L3779" s="25" t="s">
        <v>24</v>
      </c>
      <c r="M3779" s="25" t="s">
        <v>24</v>
      </c>
      <c r="N3779" s="25" t="s">
        <v>69</v>
      </c>
    </row>
    <row r="3780">
      <c r="A3780" s="172"/>
      <c r="B3780" s="171" t="s">
        <v>1281</v>
      </c>
      <c r="C3780" s="171" t="s">
        <v>84</v>
      </c>
      <c r="D3780" s="279" t="s">
        <v>1304</v>
      </c>
      <c r="E3780" s="240">
        <v>43862.0</v>
      </c>
      <c r="F3780" s="21" t="str">
        <f t="shared" si="280"/>
        <v>Feb-2020</v>
      </c>
      <c r="G3780" t="s">
        <v>149</v>
      </c>
      <c r="H3780" s="25" t="s">
        <v>35</v>
      </c>
      <c r="I3780" s="25" t="s">
        <v>364</v>
      </c>
      <c r="J3780" s="25" t="s">
        <v>86</v>
      </c>
      <c r="K3780" s="25" t="s">
        <v>9</v>
      </c>
      <c r="L3780" s="25" t="s">
        <v>30</v>
      </c>
      <c r="N3780" s="25" t="s">
        <v>29</v>
      </c>
    </row>
    <row r="3781">
      <c r="A3781" s="172"/>
      <c r="B3781" s="171" t="s">
        <v>1281</v>
      </c>
      <c r="C3781" s="171" t="s">
        <v>84</v>
      </c>
      <c r="D3781" s="279" t="s">
        <v>1304</v>
      </c>
      <c r="E3781" s="240">
        <v>43862.0</v>
      </c>
      <c r="F3781" s="21" t="str">
        <f t="shared" si="280"/>
        <v>Feb-2020</v>
      </c>
      <c r="G3781" t="s">
        <v>222</v>
      </c>
      <c r="H3781" s="25" t="s">
        <v>35</v>
      </c>
      <c r="I3781" s="25" t="s">
        <v>364</v>
      </c>
      <c r="J3781" s="25" t="s">
        <v>86</v>
      </c>
      <c r="K3781" s="25" t="s">
        <v>9</v>
      </c>
      <c r="L3781" s="25" t="s">
        <v>24</v>
      </c>
      <c r="N3781" s="25" t="s">
        <v>98</v>
      </c>
    </row>
    <row r="3782">
      <c r="A3782" s="172"/>
      <c r="B3782" s="171" t="s">
        <v>1281</v>
      </c>
      <c r="C3782" s="171" t="s">
        <v>84</v>
      </c>
      <c r="D3782" s="279" t="s">
        <v>1304</v>
      </c>
      <c r="E3782" s="240">
        <v>43862.0</v>
      </c>
      <c r="F3782" s="21" t="str">
        <f t="shared" si="280"/>
        <v>Feb-2020</v>
      </c>
      <c r="G3782" t="s">
        <v>467</v>
      </c>
      <c r="H3782" s="25" t="s">
        <v>35</v>
      </c>
      <c r="I3782" s="25" t="s">
        <v>364</v>
      </c>
      <c r="J3782" s="25" t="s">
        <v>86</v>
      </c>
      <c r="K3782" s="25" t="s">
        <v>9</v>
      </c>
      <c r="L3782" s="25" t="s">
        <v>24</v>
      </c>
      <c r="N3782" s="25" t="s">
        <v>99</v>
      </c>
    </row>
    <row r="3783">
      <c r="A3783" s="172"/>
      <c r="B3783" s="171" t="s">
        <v>1281</v>
      </c>
      <c r="C3783" s="171" t="s">
        <v>84</v>
      </c>
      <c r="D3783" s="279" t="s">
        <v>1304</v>
      </c>
      <c r="E3783" s="240">
        <v>43862.0</v>
      </c>
      <c r="F3783" s="21" t="str">
        <f t="shared" si="280"/>
        <v>Feb-2020</v>
      </c>
      <c r="G3783" t="s">
        <v>146</v>
      </c>
      <c r="H3783" s="25" t="s">
        <v>35</v>
      </c>
      <c r="I3783" s="25" t="s">
        <v>508</v>
      </c>
      <c r="J3783" s="25" t="s">
        <v>48</v>
      </c>
      <c r="K3783" s="25" t="s">
        <v>9</v>
      </c>
      <c r="L3783" s="25" t="s">
        <v>24</v>
      </c>
      <c r="M3783" s="25" t="s">
        <v>24</v>
      </c>
      <c r="N3783" s="25" t="s">
        <v>98</v>
      </c>
    </row>
    <row r="3784">
      <c r="A3784" s="172"/>
      <c r="B3784" s="171" t="s">
        <v>1281</v>
      </c>
      <c r="C3784" s="171" t="s">
        <v>84</v>
      </c>
      <c r="D3784" s="279" t="s">
        <v>1304</v>
      </c>
      <c r="E3784" s="240">
        <v>43862.0</v>
      </c>
      <c r="F3784" s="21" t="str">
        <f t="shared" si="280"/>
        <v>Feb-2020</v>
      </c>
      <c r="G3784" t="s">
        <v>149</v>
      </c>
      <c r="H3784" s="25" t="s">
        <v>35</v>
      </c>
      <c r="I3784" s="25" t="s">
        <v>508</v>
      </c>
      <c r="J3784" s="25" t="s">
        <v>48</v>
      </c>
      <c r="K3784" s="25" t="s">
        <v>9</v>
      </c>
      <c r="L3784" s="25" t="s">
        <v>30</v>
      </c>
      <c r="N3784" s="25" t="s">
        <v>69</v>
      </c>
    </row>
    <row r="3785">
      <c r="A3785" s="172"/>
      <c r="B3785" s="171" t="s">
        <v>1281</v>
      </c>
      <c r="C3785" s="171" t="s">
        <v>84</v>
      </c>
      <c r="D3785" s="279" t="s">
        <v>1304</v>
      </c>
      <c r="E3785" s="240">
        <v>43862.0</v>
      </c>
      <c r="F3785" s="21" t="str">
        <f t="shared" si="280"/>
        <v>Feb-2020</v>
      </c>
      <c r="G3785" t="s">
        <v>222</v>
      </c>
      <c r="H3785" s="25" t="s">
        <v>35</v>
      </c>
      <c r="I3785" s="25" t="s">
        <v>508</v>
      </c>
      <c r="J3785" s="25" t="s">
        <v>48</v>
      </c>
      <c r="K3785" s="25" t="s">
        <v>9</v>
      </c>
      <c r="L3785" s="25" t="s">
        <v>24</v>
      </c>
      <c r="N3785" s="25" t="s">
        <v>37</v>
      </c>
    </row>
    <row r="3786">
      <c r="A3786" s="172"/>
      <c r="B3786" s="171" t="s">
        <v>1281</v>
      </c>
      <c r="C3786" s="171" t="s">
        <v>84</v>
      </c>
      <c r="D3786" s="279" t="s">
        <v>1304</v>
      </c>
      <c r="E3786" s="240">
        <v>43862.0</v>
      </c>
      <c r="F3786" s="21" t="str">
        <f t="shared" si="280"/>
        <v>Feb-2020</v>
      </c>
      <c r="G3786" t="s">
        <v>467</v>
      </c>
      <c r="H3786" s="25" t="s">
        <v>35</v>
      </c>
      <c r="I3786" s="25" t="s">
        <v>508</v>
      </c>
      <c r="J3786" s="25" t="s">
        <v>48</v>
      </c>
      <c r="K3786" s="25" t="s">
        <v>9</v>
      </c>
      <c r="L3786" s="25" t="s">
        <v>24</v>
      </c>
      <c r="N3786" s="25" t="s">
        <v>106</v>
      </c>
    </row>
    <row r="3787">
      <c r="A3787" s="94"/>
      <c r="F3787" s="21"/>
    </row>
    <row r="3788">
      <c r="A3788" s="279" t="s">
        <v>1309</v>
      </c>
      <c r="B3788" s="171" t="s">
        <v>1250</v>
      </c>
      <c r="C3788" s="171" t="s">
        <v>74</v>
      </c>
      <c r="D3788" s="279" t="s">
        <v>1309</v>
      </c>
      <c r="E3788" s="240">
        <v>43863.0</v>
      </c>
      <c r="F3788" s="21" t="str">
        <f t="shared" ref="F3788:F3796" si="281">TEXT(E3780:E3788, "mmm") &amp; "-" &amp; TEXT(E3780:E3788, "yyyy") </f>
        <v>Feb-2020</v>
      </c>
      <c r="G3788" s="32" t="s">
        <v>20</v>
      </c>
      <c r="H3788" s="25" t="s">
        <v>35</v>
      </c>
      <c r="I3788" s="25" t="s">
        <v>1310</v>
      </c>
      <c r="J3788" s="25" t="s">
        <v>44</v>
      </c>
      <c r="K3788" s="25" t="s">
        <v>9</v>
      </c>
      <c r="L3788" s="25" t="s">
        <v>30</v>
      </c>
      <c r="M3788" s="25" t="s">
        <v>30</v>
      </c>
      <c r="N3788" s="25" t="s">
        <v>37</v>
      </c>
    </row>
    <row r="3789">
      <c r="A3789" s="171" t="s">
        <v>1250</v>
      </c>
      <c r="B3789" s="171" t="s">
        <v>1250</v>
      </c>
      <c r="C3789" s="171" t="s">
        <v>74</v>
      </c>
      <c r="D3789" s="279" t="s">
        <v>1309</v>
      </c>
      <c r="E3789" s="240">
        <v>43863.0</v>
      </c>
      <c r="F3789" s="21" t="str">
        <f t="shared" si="281"/>
        <v>Feb-2020</v>
      </c>
      <c r="G3789" s="32" t="s">
        <v>25</v>
      </c>
      <c r="H3789" s="25" t="s">
        <v>35</v>
      </c>
      <c r="I3789" s="25" t="s">
        <v>1310</v>
      </c>
      <c r="J3789" s="25" t="s">
        <v>44</v>
      </c>
      <c r="K3789" s="25" t="s">
        <v>9</v>
      </c>
      <c r="L3789" s="25" t="s">
        <v>30</v>
      </c>
      <c r="N3789" s="25" t="s">
        <v>106</v>
      </c>
    </row>
    <row r="3790">
      <c r="A3790" s="240">
        <v>43863.0</v>
      </c>
      <c r="B3790" s="171" t="s">
        <v>1250</v>
      </c>
      <c r="C3790" s="171" t="s">
        <v>74</v>
      </c>
      <c r="D3790" s="279" t="s">
        <v>1309</v>
      </c>
      <c r="E3790" s="240">
        <v>43863.0</v>
      </c>
      <c r="F3790" s="21" t="str">
        <f t="shared" si="281"/>
        <v>Feb-2020</v>
      </c>
      <c r="G3790" s="32" t="s">
        <v>20</v>
      </c>
      <c r="H3790" s="25" t="s">
        <v>35</v>
      </c>
      <c r="I3790" s="25" t="s">
        <v>393</v>
      </c>
      <c r="J3790" s="25" t="s">
        <v>102</v>
      </c>
      <c r="K3790" s="25" t="s">
        <v>9</v>
      </c>
      <c r="L3790" s="25" t="s">
        <v>24</v>
      </c>
      <c r="M3790" s="25" t="s">
        <v>24</v>
      </c>
      <c r="N3790" s="25" t="s">
        <v>99</v>
      </c>
    </row>
    <row r="3791">
      <c r="A3791" s="171" t="s">
        <v>1273</v>
      </c>
      <c r="B3791" s="171" t="s">
        <v>1250</v>
      </c>
      <c r="C3791" s="171" t="s">
        <v>74</v>
      </c>
      <c r="D3791" s="279" t="s">
        <v>1309</v>
      </c>
      <c r="E3791" s="240">
        <v>43863.0</v>
      </c>
      <c r="F3791" s="21" t="str">
        <f t="shared" si="281"/>
        <v>Feb-2020</v>
      </c>
      <c r="G3791" s="32" t="s">
        <v>25</v>
      </c>
      <c r="H3791" s="25" t="s">
        <v>35</v>
      </c>
      <c r="I3791" s="25" t="s">
        <v>393</v>
      </c>
      <c r="J3791" s="25" t="s">
        <v>102</v>
      </c>
      <c r="K3791" s="25" t="s">
        <v>9</v>
      </c>
      <c r="L3791" s="25" t="s">
        <v>30</v>
      </c>
      <c r="N3791" s="25" t="s">
        <v>106</v>
      </c>
    </row>
    <row r="3792">
      <c r="A3792" s="171" t="s">
        <v>74</v>
      </c>
      <c r="B3792" s="171" t="s">
        <v>1250</v>
      </c>
      <c r="C3792" s="171" t="s">
        <v>74</v>
      </c>
      <c r="D3792" s="279" t="s">
        <v>1309</v>
      </c>
      <c r="E3792" s="240">
        <v>43863.0</v>
      </c>
      <c r="F3792" s="21" t="str">
        <f t="shared" si="281"/>
        <v>Feb-2020</v>
      </c>
      <c r="G3792" s="32" t="s">
        <v>32</v>
      </c>
      <c r="H3792" s="25" t="s">
        <v>35</v>
      </c>
      <c r="I3792" s="25" t="s">
        <v>393</v>
      </c>
      <c r="J3792" s="25" t="s">
        <v>102</v>
      </c>
      <c r="K3792" s="25" t="s">
        <v>9</v>
      </c>
      <c r="L3792" s="25" t="s">
        <v>24</v>
      </c>
      <c r="N3792" s="25" t="s">
        <v>37</v>
      </c>
    </row>
    <row r="3793">
      <c r="A3793" s="172"/>
      <c r="B3793" s="171" t="s">
        <v>1250</v>
      </c>
      <c r="C3793" s="171" t="s">
        <v>74</v>
      </c>
      <c r="D3793" s="279" t="s">
        <v>1309</v>
      </c>
      <c r="E3793" s="240">
        <v>43863.0</v>
      </c>
      <c r="F3793" s="21" t="str">
        <f t="shared" si="281"/>
        <v>Feb-2020</v>
      </c>
      <c r="G3793" s="32" t="s">
        <v>20</v>
      </c>
      <c r="H3793" s="25" t="s">
        <v>35</v>
      </c>
      <c r="I3793" s="25" t="s">
        <v>451</v>
      </c>
      <c r="J3793" s="25" t="s">
        <v>139</v>
      </c>
      <c r="K3793" s="25" t="s">
        <v>9</v>
      </c>
      <c r="L3793" s="25" t="s">
        <v>30</v>
      </c>
      <c r="M3793" s="25" t="s">
        <v>30</v>
      </c>
      <c r="N3793" s="25" t="s">
        <v>98</v>
      </c>
    </row>
    <row r="3794">
      <c r="A3794" s="172"/>
      <c r="B3794" s="171" t="s">
        <v>1250</v>
      </c>
      <c r="C3794" s="171" t="s">
        <v>74</v>
      </c>
      <c r="D3794" s="279" t="s">
        <v>1309</v>
      </c>
      <c r="E3794" s="240">
        <v>43863.0</v>
      </c>
      <c r="F3794" s="21" t="str">
        <f t="shared" si="281"/>
        <v>Feb-2020</v>
      </c>
      <c r="G3794" s="32" t="s">
        <v>25</v>
      </c>
      <c r="H3794" s="25" t="s">
        <v>35</v>
      </c>
      <c r="I3794" s="25" t="s">
        <v>451</v>
      </c>
      <c r="J3794" s="25" t="s">
        <v>139</v>
      </c>
      <c r="K3794" s="25" t="s">
        <v>9</v>
      </c>
      <c r="L3794" s="25" t="s">
        <v>30</v>
      </c>
      <c r="N3794" s="25" t="s">
        <v>99</v>
      </c>
    </row>
    <row r="3795">
      <c r="A3795" s="172"/>
      <c r="B3795" s="171" t="s">
        <v>1250</v>
      </c>
      <c r="C3795" s="171" t="s">
        <v>74</v>
      </c>
      <c r="D3795" s="279" t="s">
        <v>1309</v>
      </c>
      <c r="E3795" s="240">
        <v>43863.0</v>
      </c>
      <c r="F3795" s="21" t="str">
        <f t="shared" si="281"/>
        <v>Feb-2020</v>
      </c>
      <c r="G3795" s="32" t="s">
        <v>20</v>
      </c>
      <c r="H3795" s="25" t="s">
        <v>35</v>
      </c>
      <c r="I3795" s="25" t="s">
        <v>1311</v>
      </c>
      <c r="J3795" s="25" t="s">
        <v>9</v>
      </c>
      <c r="K3795" s="25" t="s">
        <v>9</v>
      </c>
      <c r="L3795" s="25" t="s">
        <v>24</v>
      </c>
      <c r="M3795" s="25" t="s">
        <v>24</v>
      </c>
      <c r="N3795" s="25" t="s">
        <v>98</v>
      </c>
    </row>
    <row r="3796">
      <c r="A3796" s="172"/>
      <c r="B3796" s="171" t="s">
        <v>1250</v>
      </c>
      <c r="C3796" s="171" t="s">
        <v>74</v>
      </c>
      <c r="D3796" s="279" t="s">
        <v>1309</v>
      </c>
      <c r="E3796" s="240">
        <v>43863.0</v>
      </c>
      <c r="F3796" s="21" t="str">
        <f t="shared" si="281"/>
        <v>Feb-2020</v>
      </c>
      <c r="G3796" s="32" t="s">
        <v>25</v>
      </c>
      <c r="H3796" s="25" t="s">
        <v>35</v>
      </c>
      <c r="I3796" s="25" t="s">
        <v>1311</v>
      </c>
      <c r="J3796" s="25" t="s">
        <v>9</v>
      </c>
      <c r="K3796" s="25" t="s">
        <v>9</v>
      </c>
      <c r="L3796" s="25" t="s">
        <v>24</v>
      </c>
      <c r="N3796" s="25" t="s">
        <v>69</v>
      </c>
    </row>
    <row r="3797">
      <c r="A3797" s="94"/>
      <c r="F3797" s="21"/>
      <c r="G3797" s="32"/>
      <c r="N3797" s="25"/>
    </row>
    <row r="3798">
      <c r="A3798" s="279" t="s">
        <v>1312</v>
      </c>
      <c r="B3798" s="171" t="s">
        <v>34</v>
      </c>
      <c r="C3798" s="171" t="s">
        <v>74</v>
      </c>
      <c r="D3798" s="279" t="s">
        <v>1312</v>
      </c>
      <c r="E3798" s="240">
        <v>43867.0</v>
      </c>
      <c r="F3798" s="21" t="str">
        <f t="shared" ref="F3798:F3807" si="282">TEXT(E3790:E3798, "mmm") &amp; "-" &amp; TEXT(E3790:E3798, "yyyy") </f>
        <v>Feb-2020</v>
      </c>
      <c r="G3798" s="32" t="s">
        <v>20</v>
      </c>
      <c r="H3798" s="25" t="s">
        <v>287</v>
      </c>
      <c r="I3798" s="25" t="s">
        <v>842</v>
      </c>
      <c r="J3798" s="25" t="s">
        <v>71</v>
      </c>
      <c r="K3798" s="25" t="s">
        <v>9</v>
      </c>
      <c r="L3798" s="25" t="s">
        <v>30</v>
      </c>
      <c r="M3798" s="25" t="s">
        <v>30</v>
      </c>
      <c r="N3798" s="25" t="s">
        <v>99</v>
      </c>
    </row>
    <row r="3799">
      <c r="A3799" s="171" t="s">
        <v>34</v>
      </c>
      <c r="B3799" s="171" t="s">
        <v>34</v>
      </c>
      <c r="C3799" s="171" t="s">
        <v>74</v>
      </c>
      <c r="D3799" s="279" t="s">
        <v>1312</v>
      </c>
      <c r="E3799" s="240">
        <v>43867.0</v>
      </c>
      <c r="F3799" s="21" t="str">
        <f t="shared" si="282"/>
        <v>Feb-2020</v>
      </c>
      <c r="G3799" s="32" t="s">
        <v>25</v>
      </c>
      <c r="H3799" s="25" t="s">
        <v>287</v>
      </c>
      <c r="I3799" s="25" t="s">
        <v>842</v>
      </c>
      <c r="J3799" s="25" t="s">
        <v>71</v>
      </c>
      <c r="K3799" s="25" t="s">
        <v>9</v>
      </c>
      <c r="L3799" s="25" t="s">
        <v>30</v>
      </c>
      <c r="N3799" s="25" t="s">
        <v>37</v>
      </c>
    </row>
    <row r="3800">
      <c r="A3800" s="171" t="s">
        <v>662</v>
      </c>
      <c r="B3800" s="171" t="s">
        <v>34</v>
      </c>
      <c r="C3800" s="171" t="s">
        <v>74</v>
      </c>
      <c r="D3800" s="279" t="s">
        <v>1312</v>
      </c>
      <c r="E3800" s="240">
        <v>43867.0</v>
      </c>
      <c r="F3800" s="21" t="str">
        <f t="shared" si="282"/>
        <v>Feb-2020</v>
      </c>
      <c r="G3800" s="32" t="s">
        <v>20</v>
      </c>
      <c r="H3800" s="25" t="s">
        <v>287</v>
      </c>
      <c r="I3800" s="25" t="s">
        <v>1142</v>
      </c>
      <c r="J3800" s="25" t="s">
        <v>27</v>
      </c>
      <c r="K3800" s="25" t="s">
        <v>9</v>
      </c>
      <c r="L3800" s="25" t="s">
        <v>30</v>
      </c>
      <c r="M3800" s="25" t="s">
        <v>24</v>
      </c>
      <c r="N3800" s="25" t="s">
        <v>37</v>
      </c>
    </row>
    <row r="3801">
      <c r="A3801" s="240">
        <v>43867.0</v>
      </c>
      <c r="B3801" s="171" t="s">
        <v>34</v>
      </c>
      <c r="C3801" s="171" t="s">
        <v>74</v>
      </c>
      <c r="D3801" s="279" t="s">
        <v>1312</v>
      </c>
      <c r="E3801" s="240">
        <v>43867.0</v>
      </c>
      <c r="F3801" s="21" t="str">
        <f t="shared" si="282"/>
        <v>Feb-2020</v>
      </c>
      <c r="G3801" s="32" t="s">
        <v>25</v>
      </c>
      <c r="H3801" s="25" t="s">
        <v>287</v>
      </c>
      <c r="I3801" s="25" t="s">
        <v>1142</v>
      </c>
      <c r="J3801" s="25" t="s">
        <v>27</v>
      </c>
      <c r="K3801" s="25" t="s">
        <v>9</v>
      </c>
      <c r="L3801" s="25" t="s">
        <v>24</v>
      </c>
      <c r="N3801" s="25" t="s">
        <v>29</v>
      </c>
    </row>
    <row r="3802">
      <c r="A3802" s="171" t="s">
        <v>74</v>
      </c>
      <c r="B3802" s="171" t="s">
        <v>34</v>
      </c>
      <c r="C3802" s="171" t="s">
        <v>74</v>
      </c>
      <c r="D3802" s="279" t="s">
        <v>1312</v>
      </c>
      <c r="E3802" s="240">
        <v>43867.0</v>
      </c>
      <c r="F3802" s="21" t="str">
        <f t="shared" si="282"/>
        <v>Feb-2020</v>
      </c>
      <c r="G3802" s="32" t="s">
        <v>32</v>
      </c>
      <c r="H3802" s="25" t="s">
        <v>287</v>
      </c>
      <c r="I3802" s="25" t="s">
        <v>1142</v>
      </c>
      <c r="J3802" s="25" t="s">
        <v>27</v>
      </c>
      <c r="K3802" s="25" t="s">
        <v>9</v>
      </c>
      <c r="L3802" s="25" t="s">
        <v>24</v>
      </c>
      <c r="N3802" s="25" t="s">
        <v>106</v>
      </c>
    </row>
    <row r="3803">
      <c r="A3803" s="172"/>
      <c r="B3803" s="171" t="s">
        <v>34</v>
      </c>
      <c r="C3803" s="171" t="s">
        <v>74</v>
      </c>
      <c r="D3803" s="279" t="s">
        <v>1312</v>
      </c>
      <c r="E3803" s="240">
        <v>43867.0</v>
      </c>
      <c r="F3803" s="21" t="str">
        <f t="shared" si="282"/>
        <v>Feb-2020</v>
      </c>
      <c r="G3803" s="32" t="s">
        <v>20</v>
      </c>
      <c r="H3803" s="25" t="s">
        <v>287</v>
      </c>
      <c r="I3803" s="25" t="s">
        <v>947</v>
      </c>
      <c r="J3803" s="25" t="s">
        <v>23</v>
      </c>
      <c r="K3803" s="25" t="s">
        <v>9</v>
      </c>
      <c r="L3803" s="25" t="s">
        <v>24</v>
      </c>
      <c r="M3803" s="25" t="s">
        <v>24</v>
      </c>
      <c r="N3803" s="25" t="s">
        <v>37</v>
      </c>
    </row>
    <row r="3804">
      <c r="A3804" s="172"/>
      <c r="B3804" s="171" t="s">
        <v>34</v>
      </c>
      <c r="C3804" s="171" t="s">
        <v>74</v>
      </c>
      <c r="D3804" s="279" t="s">
        <v>1312</v>
      </c>
      <c r="E3804" s="240">
        <v>43867.0</v>
      </c>
      <c r="F3804" s="21" t="str">
        <f t="shared" si="282"/>
        <v>Feb-2020</v>
      </c>
      <c r="G3804" s="32" t="s">
        <v>25</v>
      </c>
      <c r="H3804" s="25" t="s">
        <v>287</v>
      </c>
      <c r="I3804" s="25" t="s">
        <v>947</v>
      </c>
      <c r="J3804" s="25" t="s">
        <v>23</v>
      </c>
      <c r="K3804" s="25" t="s">
        <v>9</v>
      </c>
      <c r="L3804" s="25" t="s">
        <v>24</v>
      </c>
      <c r="N3804" s="25" t="s">
        <v>106</v>
      </c>
    </row>
    <row r="3805">
      <c r="A3805" s="172"/>
      <c r="B3805" s="171" t="s">
        <v>34</v>
      </c>
      <c r="C3805" s="171" t="s">
        <v>74</v>
      </c>
      <c r="D3805" s="279" t="s">
        <v>1312</v>
      </c>
      <c r="E3805" s="240">
        <v>43867.0</v>
      </c>
      <c r="F3805" s="21" t="str">
        <f t="shared" si="282"/>
        <v>Feb-2020</v>
      </c>
      <c r="G3805" s="32" t="s">
        <v>20</v>
      </c>
      <c r="H3805" s="25" t="s">
        <v>287</v>
      </c>
      <c r="I3805" s="25" t="s">
        <v>795</v>
      </c>
      <c r="J3805" s="25" t="s">
        <v>86</v>
      </c>
      <c r="K3805" s="25" t="s">
        <v>9</v>
      </c>
      <c r="L3805" s="25" t="s">
        <v>24</v>
      </c>
      <c r="M3805" s="25" t="s">
        <v>30</v>
      </c>
      <c r="N3805" s="25" t="s">
        <v>69</v>
      </c>
    </row>
    <row r="3806">
      <c r="A3806" s="172"/>
      <c r="B3806" s="171" t="s">
        <v>34</v>
      </c>
      <c r="C3806" s="171" t="s">
        <v>74</v>
      </c>
      <c r="D3806" s="279" t="s">
        <v>1312</v>
      </c>
      <c r="E3806" s="240">
        <v>43867.0</v>
      </c>
      <c r="F3806" s="21" t="str">
        <f t="shared" si="282"/>
        <v>Feb-2020</v>
      </c>
      <c r="G3806" s="32" t="s">
        <v>25</v>
      </c>
      <c r="H3806" s="25" t="s">
        <v>287</v>
      </c>
      <c r="I3806" s="25" t="s">
        <v>795</v>
      </c>
      <c r="J3806" s="25" t="s">
        <v>86</v>
      </c>
      <c r="K3806" s="25" t="s">
        <v>9</v>
      </c>
      <c r="L3806" s="25" t="s">
        <v>30</v>
      </c>
      <c r="N3806" s="25" t="s">
        <v>99</v>
      </c>
    </row>
    <row r="3807">
      <c r="A3807" s="172"/>
      <c r="B3807" s="171" t="s">
        <v>34</v>
      </c>
      <c r="C3807" s="171" t="s">
        <v>74</v>
      </c>
      <c r="D3807" s="279" t="s">
        <v>1312</v>
      </c>
      <c r="E3807" s="240">
        <v>43867.0</v>
      </c>
      <c r="F3807" s="21" t="str">
        <f t="shared" si="282"/>
        <v>Feb-2020</v>
      </c>
      <c r="G3807" s="32" t="s">
        <v>32</v>
      </c>
      <c r="H3807" s="25" t="s">
        <v>287</v>
      </c>
      <c r="I3807" s="25" t="s">
        <v>795</v>
      </c>
      <c r="J3807" s="25" t="s">
        <v>86</v>
      </c>
      <c r="K3807" s="25" t="s">
        <v>9</v>
      </c>
      <c r="L3807" s="25" t="s">
        <v>30</v>
      </c>
      <c r="N3807" s="25" t="s">
        <v>98</v>
      </c>
    </row>
    <row r="3808">
      <c r="A3808" s="94"/>
      <c r="F3808" s="21"/>
    </row>
    <row r="3809">
      <c r="A3809" s="333" t="s">
        <v>1313</v>
      </c>
      <c r="B3809" s="334" t="s">
        <v>18</v>
      </c>
      <c r="C3809" s="334" t="s">
        <v>116</v>
      </c>
      <c r="D3809" s="333" t="s">
        <v>1313</v>
      </c>
      <c r="E3809" s="247">
        <v>43869.0</v>
      </c>
      <c r="F3809" s="21" t="str">
        <f t="shared" ref="F3809:F3830" si="283">TEXT(E3801:E3809, "mmm") &amp; "-" &amp; TEXT(E3801:E3809, "yyyy") </f>
        <v>Feb-2020</v>
      </c>
      <c r="G3809" s="32" t="s">
        <v>20</v>
      </c>
      <c r="H3809" s="25" t="s">
        <v>287</v>
      </c>
      <c r="I3809" s="25" t="s">
        <v>1046</v>
      </c>
      <c r="J3809" s="25" t="s">
        <v>86</v>
      </c>
      <c r="K3809" s="25" t="s">
        <v>9</v>
      </c>
      <c r="L3809" s="25" t="s">
        <v>30</v>
      </c>
      <c r="M3809" s="25" t="s">
        <v>30</v>
      </c>
      <c r="N3809" s="25" t="s">
        <v>99</v>
      </c>
    </row>
    <row r="3810">
      <c r="A3810" s="334" t="s">
        <v>18</v>
      </c>
      <c r="B3810" s="334" t="s">
        <v>18</v>
      </c>
      <c r="C3810" s="334" t="s">
        <v>116</v>
      </c>
      <c r="D3810" s="333" t="s">
        <v>1313</v>
      </c>
      <c r="E3810" s="247">
        <v>43869.0</v>
      </c>
      <c r="F3810" s="21" t="str">
        <f t="shared" si="283"/>
        <v>Feb-2020</v>
      </c>
      <c r="G3810" s="32" t="s">
        <v>25</v>
      </c>
      <c r="H3810" s="25" t="s">
        <v>287</v>
      </c>
      <c r="I3810" s="25" t="s">
        <v>1046</v>
      </c>
      <c r="J3810" s="25" t="s">
        <v>86</v>
      </c>
      <c r="K3810" s="25" t="s">
        <v>9</v>
      </c>
      <c r="L3810" s="25" t="s">
        <v>30</v>
      </c>
      <c r="N3810" s="25" t="s">
        <v>29</v>
      </c>
    </row>
    <row r="3811">
      <c r="A3811" s="335"/>
      <c r="B3811" s="334" t="s">
        <v>18</v>
      </c>
      <c r="C3811" s="334" t="s">
        <v>116</v>
      </c>
      <c r="D3811" s="333" t="s">
        <v>1313</v>
      </c>
      <c r="E3811" s="247">
        <v>43869.0</v>
      </c>
      <c r="F3811" s="21" t="str">
        <f t="shared" si="283"/>
        <v>Feb-2020</v>
      </c>
      <c r="G3811" s="32" t="s">
        <v>20</v>
      </c>
      <c r="H3811" s="25" t="s">
        <v>287</v>
      </c>
      <c r="I3811" s="25" t="s">
        <v>1314</v>
      </c>
      <c r="J3811" s="25" t="s">
        <v>27</v>
      </c>
      <c r="K3811" s="25" t="s">
        <v>9</v>
      </c>
      <c r="L3811" s="25" t="s">
        <v>30</v>
      </c>
      <c r="M3811" s="25" t="s">
        <v>30</v>
      </c>
      <c r="N3811" s="25" t="s">
        <v>98</v>
      </c>
    </row>
    <row r="3812">
      <c r="A3812" s="247">
        <v>43869.0</v>
      </c>
      <c r="B3812" s="334" t="s">
        <v>18</v>
      </c>
      <c r="C3812" s="334" t="s">
        <v>116</v>
      </c>
      <c r="D3812" s="333" t="s">
        <v>1313</v>
      </c>
      <c r="E3812" s="247">
        <v>43869.0</v>
      </c>
      <c r="F3812" s="21" t="str">
        <f t="shared" si="283"/>
        <v>Feb-2020</v>
      </c>
      <c r="G3812" s="32" t="s">
        <v>25</v>
      </c>
      <c r="H3812" s="25" t="s">
        <v>287</v>
      </c>
      <c r="I3812" s="25" t="s">
        <v>1314</v>
      </c>
      <c r="J3812" s="25" t="s">
        <v>27</v>
      </c>
      <c r="K3812" s="25" t="s">
        <v>9</v>
      </c>
      <c r="L3812" s="25" t="s">
        <v>30</v>
      </c>
      <c r="N3812" s="25" t="s">
        <v>37</v>
      </c>
    </row>
    <row r="3813">
      <c r="A3813" s="334" t="s">
        <v>116</v>
      </c>
      <c r="B3813" s="334" t="s">
        <v>18</v>
      </c>
      <c r="C3813" s="334" t="s">
        <v>116</v>
      </c>
      <c r="D3813" s="333" t="s">
        <v>1313</v>
      </c>
      <c r="E3813" s="247">
        <v>43869.0</v>
      </c>
      <c r="F3813" s="21" t="str">
        <f t="shared" si="283"/>
        <v>Feb-2020</v>
      </c>
      <c r="G3813" s="32" t="s">
        <v>20</v>
      </c>
      <c r="H3813" s="25" t="s">
        <v>287</v>
      </c>
      <c r="I3813" s="25" t="s">
        <v>1315</v>
      </c>
      <c r="J3813" s="25" t="s">
        <v>9</v>
      </c>
      <c r="K3813" s="25" t="s">
        <v>9</v>
      </c>
      <c r="L3813" s="25" t="s">
        <v>30</v>
      </c>
      <c r="M3813" s="25" t="s">
        <v>30</v>
      </c>
      <c r="N3813" s="25" t="s">
        <v>69</v>
      </c>
    </row>
    <row r="3814">
      <c r="A3814" s="336" t="s">
        <v>1316</v>
      </c>
      <c r="B3814" s="334" t="s">
        <v>18</v>
      </c>
      <c r="C3814" s="334" t="s">
        <v>116</v>
      </c>
      <c r="D3814" s="333" t="s">
        <v>1313</v>
      </c>
      <c r="E3814" s="247">
        <v>43869.0</v>
      </c>
      <c r="F3814" s="21" t="str">
        <f t="shared" si="283"/>
        <v>Feb-2020</v>
      </c>
      <c r="G3814" s="32" t="s">
        <v>25</v>
      </c>
      <c r="H3814" s="25" t="s">
        <v>287</v>
      </c>
      <c r="I3814" s="25" t="s">
        <v>1315</v>
      </c>
      <c r="J3814" s="25" t="s">
        <v>9</v>
      </c>
      <c r="K3814" s="25" t="s">
        <v>9</v>
      </c>
      <c r="L3814" s="25" t="s">
        <v>30</v>
      </c>
      <c r="N3814" s="25" t="s">
        <v>106</v>
      </c>
    </row>
    <row r="3815">
      <c r="A3815" s="335"/>
      <c r="B3815" s="334" t="s">
        <v>18</v>
      </c>
      <c r="C3815" s="334" t="s">
        <v>116</v>
      </c>
      <c r="D3815" s="333" t="s">
        <v>1313</v>
      </c>
      <c r="E3815" s="247">
        <v>43869.0</v>
      </c>
      <c r="F3815" s="21" t="str">
        <f t="shared" si="283"/>
        <v>Feb-2020</v>
      </c>
      <c r="G3815" s="32" t="s">
        <v>20</v>
      </c>
      <c r="H3815" s="25" t="s">
        <v>287</v>
      </c>
      <c r="I3815" s="25" t="s">
        <v>568</v>
      </c>
      <c r="J3815" s="25" t="s">
        <v>71</v>
      </c>
      <c r="K3815" s="25" t="s">
        <v>9</v>
      </c>
      <c r="L3815" s="25" t="s">
        <v>30</v>
      </c>
      <c r="M3815" s="25" t="s">
        <v>30</v>
      </c>
      <c r="N3815" s="25" t="s">
        <v>99</v>
      </c>
    </row>
    <row r="3816">
      <c r="A3816" s="335"/>
      <c r="B3816" s="334" t="s">
        <v>18</v>
      </c>
      <c r="C3816" s="334" t="s">
        <v>116</v>
      </c>
      <c r="D3816" s="333" t="s">
        <v>1313</v>
      </c>
      <c r="E3816" s="247">
        <v>43869.0</v>
      </c>
      <c r="F3816" s="21" t="str">
        <f t="shared" si="283"/>
        <v>Feb-2020</v>
      </c>
      <c r="G3816" s="32" t="s">
        <v>25</v>
      </c>
      <c r="H3816" s="25" t="s">
        <v>287</v>
      </c>
      <c r="I3816" s="25" t="s">
        <v>568</v>
      </c>
      <c r="J3816" s="25" t="s">
        <v>71</v>
      </c>
      <c r="K3816" s="25" t="s">
        <v>9</v>
      </c>
      <c r="L3816" s="25" t="s">
        <v>30</v>
      </c>
      <c r="N3816" s="25" t="s">
        <v>37</v>
      </c>
    </row>
    <row r="3817">
      <c r="A3817" s="335"/>
      <c r="B3817" s="334" t="s">
        <v>18</v>
      </c>
      <c r="C3817" s="334" t="s">
        <v>116</v>
      </c>
      <c r="D3817" s="333" t="s">
        <v>1313</v>
      </c>
      <c r="E3817" s="247">
        <v>43869.0</v>
      </c>
      <c r="F3817" s="21" t="str">
        <f t="shared" si="283"/>
        <v>Feb-2020</v>
      </c>
      <c r="G3817" s="32" t="s">
        <v>20</v>
      </c>
      <c r="H3817" s="25" t="s">
        <v>287</v>
      </c>
      <c r="I3817" s="25" t="s">
        <v>1317</v>
      </c>
      <c r="J3817" s="25" t="s">
        <v>48</v>
      </c>
      <c r="K3817" s="25" t="s">
        <v>9</v>
      </c>
      <c r="L3817" s="25" t="s">
        <v>30</v>
      </c>
      <c r="M3817" s="25" t="s">
        <v>30</v>
      </c>
      <c r="N3817" s="25" t="s">
        <v>29</v>
      </c>
    </row>
    <row r="3818">
      <c r="A3818" s="335"/>
      <c r="B3818" s="334" t="s">
        <v>18</v>
      </c>
      <c r="C3818" s="334" t="s">
        <v>116</v>
      </c>
      <c r="D3818" s="333" t="s">
        <v>1313</v>
      </c>
      <c r="E3818" s="247">
        <v>43869.0</v>
      </c>
      <c r="F3818" s="21" t="str">
        <f t="shared" si="283"/>
        <v>Feb-2020</v>
      </c>
      <c r="G3818" s="32" t="s">
        <v>25</v>
      </c>
      <c r="H3818" s="25" t="s">
        <v>287</v>
      </c>
      <c r="I3818" s="25" t="s">
        <v>1317</v>
      </c>
      <c r="J3818" s="25" t="s">
        <v>9</v>
      </c>
      <c r="K3818" s="25" t="s">
        <v>9</v>
      </c>
      <c r="L3818" s="25" t="s">
        <v>30</v>
      </c>
      <c r="N3818" s="25" t="s">
        <v>69</v>
      </c>
    </row>
    <row r="3819">
      <c r="A3819" s="335"/>
      <c r="B3819" s="334" t="s">
        <v>18</v>
      </c>
      <c r="C3819" s="334" t="s">
        <v>116</v>
      </c>
      <c r="D3819" s="333" t="s">
        <v>1313</v>
      </c>
      <c r="E3819" s="247">
        <v>43869.0</v>
      </c>
      <c r="F3819" s="21" t="str">
        <f t="shared" si="283"/>
        <v>Feb-2020</v>
      </c>
      <c r="G3819" s="32" t="s">
        <v>20</v>
      </c>
      <c r="H3819" s="25" t="s">
        <v>287</v>
      </c>
      <c r="I3819" s="25" t="s">
        <v>1246</v>
      </c>
      <c r="J3819" s="25" t="s">
        <v>71</v>
      </c>
      <c r="K3819" s="25" t="s">
        <v>9</v>
      </c>
      <c r="L3819" s="25" t="s">
        <v>30</v>
      </c>
      <c r="M3819" s="25" t="s">
        <v>30</v>
      </c>
      <c r="N3819" s="25" t="s">
        <v>98</v>
      </c>
    </row>
    <row r="3820">
      <c r="A3820" s="335"/>
      <c r="B3820" s="334" t="s">
        <v>18</v>
      </c>
      <c r="C3820" s="334" t="s">
        <v>116</v>
      </c>
      <c r="D3820" s="333" t="s">
        <v>1313</v>
      </c>
      <c r="E3820" s="247">
        <v>43869.0</v>
      </c>
      <c r="F3820" s="21" t="str">
        <f t="shared" si="283"/>
        <v>Feb-2020</v>
      </c>
      <c r="G3820" s="32" t="s">
        <v>25</v>
      </c>
      <c r="H3820" s="25" t="s">
        <v>287</v>
      </c>
      <c r="I3820" s="25" t="s">
        <v>1246</v>
      </c>
      <c r="J3820" s="25" t="s">
        <v>27</v>
      </c>
      <c r="K3820" s="25" t="s">
        <v>9</v>
      </c>
      <c r="L3820" s="25" t="s">
        <v>30</v>
      </c>
      <c r="N3820" s="25" t="s">
        <v>69</v>
      </c>
    </row>
    <row r="3821">
      <c r="A3821" s="335"/>
      <c r="B3821" s="334" t="s">
        <v>18</v>
      </c>
      <c r="C3821" s="334" t="s">
        <v>116</v>
      </c>
      <c r="D3821" s="333" t="s">
        <v>1313</v>
      </c>
      <c r="E3821" s="247">
        <v>43869.0</v>
      </c>
      <c r="F3821" s="21" t="str">
        <f t="shared" si="283"/>
        <v>Feb-2020</v>
      </c>
      <c r="G3821" s="32" t="s">
        <v>20</v>
      </c>
      <c r="H3821" s="25" t="s">
        <v>287</v>
      </c>
      <c r="I3821" s="25" t="s">
        <v>193</v>
      </c>
      <c r="J3821" s="25" t="s">
        <v>23</v>
      </c>
      <c r="K3821" s="25" t="s">
        <v>9</v>
      </c>
      <c r="L3821" s="25" t="s">
        <v>30</v>
      </c>
      <c r="M3821" s="25" t="s">
        <v>30</v>
      </c>
      <c r="N3821" s="25" t="s">
        <v>69</v>
      </c>
    </row>
    <row r="3822">
      <c r="A3822" s="335"/>
      <c r="B3822" s="334" t="s">
        <v>18</v>
      </c>
      <c r="C3822" s="334" t="s">
        <v>116</v>
      </c>
      <c r="D3822" s="333" t="s">
        <v>1313</v>
      </c>
      <c r="E3822" s="247">
        <v>43869.0</v>
      </c>
      <c r="F3822" s="21" t="str">
        <f t="shared" si="283"/>
        <v>Feb-2020</v>
      </c>
      <c r="G3822" s="32" t="s">
        <v>25</v>
      </c>
      <c r="H3822" s="25" t="s">
        <v>287</v>
      </c>
      <c r="I3822" s="25" t="s">
        <v>193</v>
      </c>
      <c r="J3822" s="25" t="s">
        <v>138</v>
      </c>
      <c r="K3822" s="25" t="s">
        <v>9</v>
      </c>
      <c r="L3822" s="25" t="s">
        <v>30</v>
      </c>
      <c r="N3822" s="25" t="s">
        <v>99</v>
      </c>
    </row>
    <row r="3823">
      <c r="A3823" s="335"/>
      <c r="B3823" s="334" t="s">
        <v>18</v>
      </c>
      <c r="C3823" s="334" t="s">
        <v>116</v>
      </c>
      <c r="D3823" s="333" t="s">
        <v>1313</v>
      </c>
      <c r="E3823" s="247">
        <v>43869.0</v>
      </c>
      <c r="F3823" s="21" t="str">
        <f t="shared" si="283"/>
        <v>Feb-2020</v>
      </c>
      <c r="G3823" s="32" t="s">
        <v>20</v>
      </c>
      <c r="H3823" s="25" t="s">
        <v>287</v>
      </c>
      <c r="I3823" s="25" t="s">
        <v>190</v>
      </c>
      <c r="J3823" s="25" t="s">
        <v>9</v>
      </c>
      <c r="K3823" s="25" t="s">
        <v>9</v>
      </c>
      <c r="L3823" s="25" t="s">
        <v>24</v>
      </c>
      <c r="M3823" s="25" t="s">
        <v>24</v>
      </c>
      <c r="N3823" s="25" t="s">
        <v>98</v>
      </c>
    </row>
    <row r="3824">
      <c r="A3824" s="335"/>
      <c r="B3824" s="334" t="s">
        <v>18</v>
      </c>
      <c r="C3824" s="334" t="s">
        <v>116</v>
      </c>
      <c r="D3824" s="333" t="s">
        <v>1313</v>
      </c>
      <c r="E3824" s="247">
        <v>43869.0</v>
      </c>
      <c r="F3824" s="21" t="str">
        <f t="shared" si="283"/>
        <v>Feb-2020</v>
      </c>
      <c r="G3824" s="32" t="s">
        <v>25</v>
      </c>
      <c r="H3824" s="25" t="s">
        <v>287</v>
      </c>
      <c r="I3824" s="25" t="s">
        <v>190</v>
      </c>
      <c r="J3824" s="25" t="s">
        <v>9</v>
      </c>
      <c r="K3824" s="25" t="s">
        <v>9</v>
      </c>
      <c r="L3824" s="25" t="s">
        <v>30</v>
      </c>
      <c r="N3824" s="25" t="s">
        <v>99</v>
      </c>
    </row>
    <row r="3825">
      <c r="A3825" s="335"/>
      <c r="B3825" s="334" t="s">
        <v>18</v>
      </c>
      <c r="C3825" s="334" t="s">
        <v>116</v>
      </c>
      <c r="D3825" s="333" t="s">
        <v>1313</v>
      </c>
      <c r="E3825" s="247">
        <v>43869.0</v>
      </c>
      <c r="F3825" s="21" t="str">
        <f t="shared" si="283"/>
        <v>Feb-2020</v>
      </c>
      <c r="G3825" s="32" t="s">
        <v>32</v>
      </c>
      <c r="H3825" s="25" t="s">
        <v>287</v>
      </c>
      <c r="I3825" s="25" t="s">
        <v>190</v>
      </c>
      <c r="J3825" s="25" t="s">
        <v>9</v>
      </c>
      <c r="K3825" s="25" t="s">
        <v>9</v>
      </c>
      <c r="L3825" s="25" t="s">
        <v>24</v>
      </c>
      <c r="N3825" s="25" t="s">
        <v>106</v>
      </c>
    </row>
    <row r="3826">
      <c r="A3826" s="335"/>
      <c r="B3826" s="334" t="s">
        <v>18</v>
      </c>
      <c r="C3826" s="334" t="s">
        <v>116</v>
      </c>
      <c r="D3826" s="333" t="s">
        <v>1313</v>
      </c>
      <c r="E3826" s="247">
        <v>43869.0</v>
      </c>
      <c r="F3826" s="21" t="str">
        <f t="shared" si="283"/>
        <v>Feb-2020</v>
      </c>
      <c r="G3826" s="32" t="s">
        <v>20</v>
      </c>
      <c r="H3826" s="25" t="s">
        <v>35</v>
      </c>
      <c r="I3826" s="25" t="s">
        <v>1265</v>
      </c>
      <c r="J3826" s="25" t="s">
        <v>44</v>
      </c>
      <c r="K3826" s="25" t="s">
        <v>9</v>
      </c>
      <c r="L3826" s="25" t="s">
        <v>24</v>
      </c>
      <c r="M3826" s="25" t="s">
        <v>24</v>
      </c>
      <c r="N3826" s="25" t="s">
        <v>98</v>
      </c>
    </row>
    <row r="3827">
      <c r="A3827" s="335"/>
      <c r="B3827" s="334" t="s">
        <v>18</v>
      </c>
      <c r="C3827" s="334" t="s">
        <v>116</v>
      </c>
      <c r="D3827" s="333" t="s">
        <v>1313</v>
      </c>
      <c r="E3827" s="247">
        <v>43869.0</v>
      </c>
      <c r="F3827" s="21" t="str">
        <f t="shared" si="283"/>
        <v>Feb-2020</v>
      </c>
      <c r="G3827" s="32" t="s">
        <v>25</v>
      </c>
      <c r="H3827" s="25" t="s">
        <v>35</v>
      </c>
      <c r="I3827" s="25" t="s">
        <v>1265</v>
      </c>
      <c r="J3827" s="25" t="s">
        <v>44</v>
      </c>
      <c r="K3827" s="25" t="s">
        <v>9</v>
      </c>
      <c r="L3827" s="25" t="s">
        <v>24</v>
      </c>
      <c r="N3827" s="25" t="s">
        <v>106</v>
      </c>
    </row>
    <row r="3828">
      <c r="A3828" s="335"/>
      <c r="B3828" s="334" t="s">
        <v>18</v>
      </c>
      <c r="C3828" s="334" t="s">
        <v>116</v>
      </c>
      <c r="D3828" s="333" t="s">
        <v>1313</v>
      </c>
      <c r="E3828" s="247">
        <v>43869.0</v>
      </c>
      <c r="F3828" s="21" t="str">
        <f t="shared" si="283"/>
        <v>Feb-2020</v>
      </c>
      <c r="G3828" s="32" t="s">
        <v>20</v>
      </c>
      <c r="H3828" s="25" t="s">
        <v>35</v>
      </c>
      <c r="I3828" s="25" t="s">
        <v>1191</v>
      </c>
      <c r="J3828" s="25" t="s">
        <v>139</v>
      </c>
      <c r="K3828" s="25" t="s">
        <v>9</v>
      </c>
      <c r="L3828" s="25" t="s">
        <v>24</v>
      </c>
      <c r="M3828" s="25" t="s">
        <v>24</v>
      </c>
      <c r="N3828" s="25" t="s">
        <v>37</v>
      </c>
    </row>
    <row r="3829">
      <c r="A3829" s="335"/>
      <c r="B3829" s="334" t="s">
        <v>18</v>
      </c>
      <c r="C3829" s="334" t="s">
        <v>116</v>
      </c>
      <c r="D3829" s="333" t="s">
        <v>1313</v>
      </c>
      <c r="E3829" s="247">
        <v>43869.0</v>
      </c>
      <c r="F3829" s="21" t="str">
        <f t="shared" si="283"/>
        <v>Feb-2020</v>
      </c>
      <c r="G3829" s="32" t="s">
        <v>25</v>
      </c>
      <c r="H3829" s="25" t="s">
        <v>35</v>
      </c>
      <c r="I3829" s="25" t="s">
        <v>1191</v>
      </c>
      <c r="J3829" s="25" t="s">
        <v>139</v>
      </c>
      <c r="K3829" s="25" t="s">
        <v>9</v>
      </c>
      <c r="L3829" s="25" t="s">
        <v>30</v>
      </c>
      <c r="N3829" s="25" t="s">
        <v>106</v>
      </c>
    </row>
    <row r="3830">
      <c r="A3830" s="335"/>
      <c r="B3830" s="334" t="s">
        <v>18</v>
      </c>
      <c r="C3830" s="334" t="s">
        <v>116</v>
      </c>
      <c r="D3830" s="333" t="s">
        <v>1313</v>
      </c>
      <c r="E3830" s="247">
        <v>43869.0</v>
      </c>
      <c r="F3830" s="21" t="str">
        <f t="shared" si="283"/>
        <v>Feb-2020</v>
      </c>
      <c r="G3830" s="32" t="s">
        <v>32</v>
      </c>
      <c r="H3830" s="25" t="s">
        <v>35</v>
      </c>
      <c r="I3830" s="25" t="s">
        <v>1191</v>
      </c>
      <c r="J3830" s="25" t="s">
        <v>139</v>
      </c>
      <c r="K3830" s="25" t="s">
        <v>9</v>
      </c>
      <c r="L3830" s="25" t="s">
        <v>24</v>
      </c>
      <c r="N3830" s="25" t="s">
        <v>99</v>
      </c>
    </row>
    <row r="3831">
      <c r="A3831" s="94"/>
      <c r="F3831" s="21"/>
      <c r="G3831" s="32"/>
    </row>
    <row r="3832">
      <c r="A3832" s="279" t="s">
        <v>1318</v>
      </c>
      <c r="B3832" s="171" t="s">
        <v>1250</v>
      </c>
      <c r="C3832" s="171" t="s">
        <v>1319</v>
      </c>
      <c r="D3832" s="279" t="s">
        <v>1318</v>
      </c>
      <c r="E3832" s="240">
        <v>43870.0</v>
      </c>
      <c r="F3832" s="21" t="str">
        <f t="shared" ref="F3832:F3855" si="284">TEXT(E3824:E3832, "mmm") &amp; "-" &amp; TEXT(E3824:E3832, "yyyy") </f>
        <v>Feb-2020</v>
      </c>
      <c r="G3832" s="32" t="s">
        <v>20</v>
      </c>
      <c r="H3832" s="25" t="s">
        <v>35</v>
      </c>
      <c r="I3832" s="25" t="s">
        <v>1320</v>
      </c>
      <c r="J3832" s="25" t="s">
        <v>44</v>
      </c>
      <c r="K3832" s="25" t="s">
        <v>9</v>
      </c>
      <c r="L3832" s="25" t="s">
        <v>30</v>
      </c>
      <c r="M3832" s="25" t="s">
        <v>30</v>
      </c>
      <c r="N3832" s="25" t="s">
        <v>69</v>
      </c>
    </row>
    <row r="3833">
      <c r="A3833" s="171" t="s">
        <v>1250</v>
      </c>
      <c r="B3833" s="171" t="s">
        <v>1250</v>
      </c>
      <c r="C3833" s="171" t="s">
        <v>1319</v>
      </c>
      <c r="D3833" s="279" t="s">
        <v>1318</v>
      </c>
      <c r="E3833" s="240">
        <v>43870.0</v>
      </c>
      <c r="F3833" s="21" t="str">
        <f t="shared" si="284"/>
        <v>Feb-2020</v>
      </c>
      <c r="G3833" s="32" t="s">
        <v>25</v>
      </c>
      <c r="H3833" s="25" t="s">
        <v>35</v>
      </c>
      <c r="I3833" s="25" t="s">
        <v>1320</v>
      </c>
      <c r="J3833" s="25" t="s">
        <v>44</v>
      </c>
      <c r="K3833" s="25" t="s">
        <v>9</v>
      </c>
      <c r="L3833" s="25" t="s">
        <v>30</v>
      </c>
      <c r="N3833" s="25" t="s">
        <v>106</v>
      </c>
    </row>
    <row r="3834">
      <c r="A3834" s="240">
        <v>43870.0</v>
      </c>
      <c r="B3834" s="171" t="s">
        <v>1250</v>
      </c>
      <c r="C3834" s="171" t="s">
        <v>1319</v>
      </c>
      <c r="D3834" s="279" t="s">
        <v>1318</v>
      </c>
      <c r="E3834" s="240">
        <v>43870.0</v>
      </c>
      <c r="F3834" s="21" t="str">
        <f t="shared" si="284"/>
        <v>Feb-2020</v>
      </c>
      <c r="G3834" s="32" t="s">
        <v>32</v>
      </c>
      <c r="H3834" s="25" t="s">
        <v>35</v>
      </c>
      <c r="I3834" s="25" t="s">
        <v>1320</v>
      </c>
      <c r="J3834" s="25" t="s">
        <v>64</v>
      </c>
      <c r="K3834" s="25" t="s">
        <v>9</v>
      </c>
      <c r="L3834" s="25" t="s">
        <v>30</v>
      </c>
      <c r="N3834" s="25" t="s">
        <v>99</v>
      </c>
    </row>
    <row r="3835">
      <c r="A3835" s="171" t="s">
        <v>1273</v>
      </c>
      <c r="B3835" s="171" t="s">
        <v>1250</v>
      </c>
      <c r="C3835" s="171" t="s">
        <v>1319</v>
      </c>
      <c r="D3835" s="279" t="s">
        <v>1318</v>
      </c>
      <c r="E3835" s="240">
        <v>43870.0</v>
      </c>
      <c r="F3835" s="21" t="str">
        <f t="shared" si="284"/>
        <v>Feb-2020</v>
      </c>
      <c r="G3835" s="32" t="s">
        <v>20</v>
      </c>
      <c r="H3835" s="25" t="s">
        <v>35</v>
      </c>
      <c r="I3835" s="25" t="s">
        <v>1246</v>
      </c>
      <c r="J3835" s="25" t="s">
        <v>27</v>
      </c>
      <c r="K3835" s="25" t="s">
        <v>9</v>
      </c>
      <c r="L3835" s="25" t="s">
        <v>30</v>
      </c>
      <c r="M3835" s="25" t="s">
        <v>30</v>
      </c>
      <c r="N3835" s="25" t="s">
        <v>98</v>
      </c>
    </row>
    <row r="3836">
      <c r="A3836" s="171" t="s">
        <v>74</v>
      </c>
      <c r="B3836" s="171" t="s">
        <v>1250</v>
      </c>
      <c r="C3836" s="171" t="s">
        <v>1319</v>
      </c>
      <c r="D3836" s="279" t="s">
        <v>1318</v>
      </c>
      <c r="E3836" s="240">
        <v>43870.0</v>
      </c>
      <c r="F3836" s="21" t="str">
        <f t="shared" si="284"/>
        <v>Feb-2020</v>
      </c>
      <c r="G3836" s="32" t="s">
        <v>25</v>
      </c>
      <c r="H3836" s="25" t="s">
        <v>35</v>
      </c>
      <c r="I3836" s="25" t="s">
        <v>1246</v>
      </c>
      <c r="J3836" s="25" t="s">
        <v>27</v>
      </c>
      <c r="K3836" s="25" t="s">
        <v>9</v>
      </c>
      <c r="L3836" s="25" t="s">
        <v>30</v>
      </c>
      <c r="N3836" s="25" t="s">
        <v>106</v>
      </c>
    </row>
    <row r="3837">
      <c r="A3837" s="172"/>
      <c r="B3837" s="171" t="s">
        <v>1250</v>
      </c>
      <c r="C3837" s="171" t="s">
        <v>1319</v>
      </c>
      <c r="D3837" s="279" t="s">
        <v>1318</v>
      </c>
      <c r="E3837" s="240">
        <v>43870.0</v>
      </c>
      <c r="F3837" s="21" t="str">
        <f t="shared" si="284"/>
        <v>Feb-2020</v>
      </c>
      <c r="G3837" s="32" t="s">
        <v>20</v>
      </c>
      <c r="H3837" s="25" t="s">
        <v>35</v>
      </c>
      <c r="I3837" s="25" t="s">
        <v>1225</v>
      </c>
      <c r="J3837" s="25" t="s">
        <v>23</v>
      </c>
      <c r="K3837" s="25" t="s">
        <v>9</v>
      </c>
      <c r="L3837" s="25" t="s">
        <v>30</v>
      </c>
      <c r="M3837" s="25" t="s">
        <v>30</v>
      </c>
      <c r="N3837" s="25" t="s">
        <v>69</v>
      </c>
    </row>
    <row r="3838">
      <c r="A3838" s="172"/>
      <c r="B3838" s="171" t="s">
        <v>1250</v>
      </c>
      <c r="C3838" s="171" t="s">
        <v>1319</v>
      </c>
      <c r="D3838" s="279" t="s">
        <v>1318</v>
      </c>
      <c r="E3838" s="240">
        <v>43870.0</v>
      </c>
      <c r="F3838" s="21" t="str">
        <f t="shared" si="284"/>
        <v>Feb-2020</v>
      </c>
      <c r="G3838" s="32" t="s">
        <v>25</v>
      </c>
      <c r="H3838" s="25" t="s">
        <v>35</v>
      </c>
      <c r="I3838" s="25" t="s">
        <v>1225</v>
      </c>
      <c r="J3838" s="25" t="s">
        <v>23</v>
      </c>
      <c r="K3838" s="25" t="s">
        <v>9</v>
      </c>
      <c r="L3838" s="25" t="s">
        <v>30</v>
      </c>
      <c r="N3838" s="25" t="s">
        <v>99</v>
      </c>
    </row>
    <row r="3839">
      <c r="A3839" s="172"/>
      <c r="B3839" s="171" t="s">
        <v>1250</v>
      </c>
      <c r="C3839" s="171" t="s">
        <v>1319</v>
      </c>
      <c r="D3839" s="279" t="s">
        <v>1318</v>
      </c>
      <c r="E3839" s="240">
        <v>43870.0</v>
      </c>
      <c r="F3839" s="21" t="str">
        <f t="shared" si="284"/>
        <v>Feb-2020</v>
      </c>
      <c r="G3839" s="32" t="s">
        <v>20</v>
      </c>
      <c r="H3839" s="25" t="s">
        <v>35</v>
      </c>
      <c r="I3839" s="25" t="s">
        <v>655</v>
      </c>
      <c r="J3839" s="25" t="s">
        <v>86</v>
      </c>
      <c r="K3839" s="25" t="s">
        <v>9</v>
      </c>
      <c r="L3839" s="25" t="s">
        <v>30</v>
      </c>
      <c r="M3839" s="25" t="s">
        <v>30</v>
      </c>
      <c r="N3839" s="25" t="s">
        <v>29</v>
      </c>
    </row>
    <row r="3840">
      <c r="A3840" s="172"/>
      <c r="B3840" s="171" t="s">
        <v>1250</v>
      </c>
      <c r="C3840" s="171" t="s">
        <v>1319</v>
      </c>
      <c r="D3840" s="279" t="s">
        <v>1318</v>
      </c>
      <c r="E3840" s="240">
        <v>43870.0</v>
      </c>
      <c r="F3840" s="21" t="str">
        <f t="shared" si="284"/>
        <v>Feb-2020</v>
      </c>
      <c r="G3840" s="32" t="s">
        <v>25</v>
      </c>
      <c r="H3840" s="25" t="s">
        <v>35</v>
      </c>
      <c r="I3840" s="25" t="s">
        <v>655</v>
      </c>
      <c r="J3840" s="25" t="s">
        <v>86</v>
      </c>
      <c r="K3840" s="25" t="s">
        <v>9</v>
      </c>
      <c r="L3840" s="25" t="s">
        <v>30</v>
      </c>
      <c r="N3840" s="25" t="s">
        <v>98</v>
      </c>
    </row>
    <row r="3841">
      <c r="A3841" s="172"/>
      <c r="B3841" s="171" t="s">
        <v>1250</v>
      </c>
      <c r="C3841" s="171" t="s">
        <v>1319</v>
      </c>
      <c r="D3841" s="279" t="s">
        <v>1318</v>
      </c>
      <c r="E3841" s="240">
        <v>43870.0</v>
      </c>
      <c r="F3841" s="21" t="str">
        <f t="shared" si="284"/>
        <v>Feb-2020</v>
      </c>
      <c r="G3841" t="s">
        <v>146</v>
      </c>
      <c r="H3841" s="25" t="s">
        <v>35</v>
      </c>
      <c r="I3841" s="25" t="s">
        <v>399</v>
      </c>
      <c r="J3841" s="25" t="s">
        <v>9</v>
      </c>
      <c r="K3841" s="25" t="s">
        <v>9</v>
      </c>
      <c r="L3841" s="25" t="s">
        <v>24</v>
      </c>
      <c r="M3841" s="25" t="s">
        <v>24</v>
      </c>
      <c r="N3841" s="25" t="s">
        <v>98</v>
      </c>
    </row>
    <row r="3842">
      <c r="A3842" s="172"/>
      <c r="B3842" s="171" t="s">
        <v>1250</v>
      </c>
      <c r="C3842" s="171" t="s">
        <v>1319</v>
      </c>
      <c r="D3842" s="279" t="s">
        <v>1318</v>
      </c>
      <c r="E3842" s="240">
        <v>43870.0</v>
      </c>
      <c r="F3842" s="21" t="str">
        <f t="shared" si="284"/>
        <v>Feb-2020</v>
      </c>
      <c r="G3842" t="s">
        <v>149</v>
      </c>
      <c r="H3842" s="25" t="s">
        <v>35</v>
      </c>
      <c r="I3842" s="25" t="s">
        <v>399</v>
      </c>
      <c r="J3842" s="25" t="s">
        <v>9</v>
      </c>
      <c r="K3842" s="25" t="s">
        <v>9</v>
      </c>
      <c r="L3842" s="25" t="s">
        <v>30</v>
      </c>
      <c r="N3842" s="25" t="s">
        <v>69</v>
      </c>
    </row>
    <row r="3843">
      <c r="A3843" s="172"/>
      <c r="B3843" s="171" t="s">
        <v>1250</v>
      </c>
      <c r="C3843" s="171" t="s">
        <v>1319</v>
      </c>
      <c r="D3843" s="279" t="s">
        <v>1318</v>
      </c>
      <c r="E3843" s="240">
        <v>43870.0</v>
      </c>
      <c r="F3843" s="21" t="str">
        <f t="shared" si="284"/>
        <v>Feb-2020</v>
      </c>
      <c r="G3843" t="s">
        <v>222</v>
      </c>
      <c r="H3843" s="25" t="s">
        <v>35</v>
      </c>
      <c r="I3843" s="25" t="s">
        <v>399</v>
      </c>
      <c r="J3843" s="25" t="s">
        <v>9</v>
      </c>
      <c r="K3843" s="25" t="s">
        <v>9</v>
      </c>
      <c r="L3843" s="25" t="s">
        <v>30</v>
      </c>
      <c r="N3843" s="25" t="s">
        <v>29</v>
      </c>
    </row>
    <row r="3844">
      <c r="A3844" s="172"/>
      <c r="B3844" s="171" t="s">
        <v>1250</v>
      </c>
      <c r="C3844" s="171" t="s">
        <v>1319</v>
      </c>
      <c r="D3844" s="279" t="s">
        <v>1318</v>
      </c>
      <c r="E3844" s="240">
        <v>43870.0</v>
      </c>
      <c r="F3844" s="21" t="str">
        <f t="shared" si="284"/>
        <v>Feb-2020</v>
      </c>
      <c r="G3844" t="s">
        <v>467</v>
      </c>
      <c r="H3844" s="25" t="s">
        <v>35</v>
      </c>
      <c r="I3844" s="25" t="s">
        <v>399</v>
      </c>
      <c r="J3844" s="25" t="s">
        <v>9</v>
      </c>
      <c r="K3844" s="25" t="s">
        <v>9</v>
      </c>
      <c r="L3844" s="25" t="s">
        <v>24</v>
      </c>
      <c r="N3844" s="25" t="s">
        <v>37</v>
      </c>
    </row>
    <row r="3845">
      <c r="A3845" s="172"/>
      <c r="B3845" s="171" t="s">
        <v>1250</v>
      </c>
      <c r="C3845" s="171" t="s">
        <v>1319</v>
      </c>
      <c r="D3845" s="279" t="s">
        <v>1318</v>
      </c>
      <c r="E3845" s="240">
        <v>43870.0</v>
      </c>
      <c r="F3845" s="21" t="str">
        <f t="shared" si="284"/>
        <v>Feb-2020</v>
      </c>
      <c r="G3845" s="25" t="s">
        <v>480</v>
      </c>
      <c r="H3845" s="25" t="s">
        <v>35</v>
      </c>
      <c r="I3845" s="25" t="s">
        <v>399</v>
      </c>
      <c r="J3845" s="25" t="s">
        <v>9</v>
      </c>
      <c r="K3845" s="25" t="s">
        <v>9</v>
      </c>
      <c r="L3845" s="25" t="s">
        <v>24</v>
      </c>
      <c r="N3845" s="25" t="s">
        <v>99</v>
      </c>
    </row>
    <row r="3846">
      <c r="A3846" s="172"/>
      <c r="B3846" s="171" t="s">
        <v>1250</v>
      </c>
      <c r="C3846" s="171" t="s">
        <v>1319</v>
      </c>
      <c r="D3846" s="279" t="s">
        <v>1318</v>
      </c>
      <c r="E3846" s="240">
        <v>43870.0</v>
      </c>
      <c r="F3846" s="21" t="str">
        <f t="shared" si="284"/>
        <v>Feb-2020</v>
      </c>
      <c r="G3846" s="32" t="s">
        <v>146</v>
      </c>
      <c r="H3846" s="25" t="s">
        <v>35</v>
      </c>
      <c r="I3846" s="25" t="s">
        <v>655</v>
      </c>
      <c r="J3846" s="25" t="s">
        <v>86</v>
      </c>
      <c r="K3846" s="25" t="s">
        <v>9</v>
      </c>
      <c r="L3846" s="25" t="s">
        <v>30</v>
      </c>
      <c r="M3846" s="25" t="s">
        <v>30</v>
      </c>
      <c r="N3846" s="25" t="s">
        <v>98</v>
      </c>
    </row>
    <row r="3847">
      <c r="A3847" s="172"/>
      <c r="B3847" s="171" t="s">
        <v>1250</v>
      </c>
      <c r="C3847" s="171" t="s">
        <v>1319</v>
      </c>
      <c r="D3847" s="279" t="s">
        <v>1318</v>
      </c>
      <c r="E3847" s="240">
        <v>43870.0</v>
      </c>
      <c r="F3847" s="21" t="str">
        <f t="shared" si="284"/>
        <v>Feb-2020</v>
      </c>
      <c r="G3847" s="22" t="s">
        <v>149</v>
      </c>
      <c r="H3847" s="25" t="s">
        <v>35</v>
      </c>
      <c r="I3847" s="25" t="s">
        <v>655</v>
      </c>
      <c r="J3847" s="25" t="s">
        <v>86</v>
      </c>
      <c r="K3847" s="25" t="s">
        <v>9</v>
      </c>
      <c r="L3847" s="25" t="s">
        <v>24</v>
      </c>
      <c r="N3847" s="25" t="s">
        <v>69</v>
      </c>
    </row>
    <row r="3848">
      <c r="A3848" s="172"/>
      <c r="B3848" s="171" t="s">
        <v>1250</v>
      </c>
      <c r="C3848" s="171" t="s">
        <v>1319</v>
      </c>
      <c r="D3848" s="279" t="s">
        <v>1318</v>
      </c>
      <c r="E3848" s="240">
        <v>43870.0</v>
      </c>
      <c r="F3848" s="21" t="str">
        <f t="shared" si="284"/>
        <v>Feb-2020</v>
      </c>
      <c r="G3848" s="32" t="s">
        <v>222</v>
      </c>
      <c r="H3848" s="25" t="s">
        <v>35</v>
      </c>
      <c r="I3848" s="25" t="s">
        <v>655</v>
      </c>
      <c r="J3848" s="25" t="s">
        <v>86</v>
      </c>
      <c r="K3848" s="25" t="s">
        <v>9</v>
      </c>
      <c r="L3848" s="25" t="s">
        <v>30</v>
      </c>
      <c r="N3848" s="25" t="s">
        <v>37</v>
      </c>
    </row>
    <row r="3849">
      <c r="A3849" s="172"/>
      <c r="B3849" s="171" t="s">
        <v>1250</v>
      </c>
      <c r="C3849" s="171" t="s">
        <v>1319</v>
      </c>
      <c r="D3849" s="279" t="s">
        <v>1318</v>
      </c>
      <c r="E3849" s="240">
        <v>43870.0</v>
      </c>
      <c r="F3849" s="21" t="str">
        <f t="shared" si="284"/>
        <v>Feb-2020</v>
      </c>
      <c r="G3849" s="32" t="s">
        <v>467</v>
      </c>
      <c r="H3849" s="25" t="s">
        <v>35</v>
      </c>
      <c r="I3849" s="25" t="s">
        <v>655</v>
      </c>
      <c r="J3849" s="25" t="s">
        <v>86</v>
      </c>
      <c r="K3849" s="25" t="s">
        <v>9</v>
      </c>
      <c r="L3849" s="25" t="s">
        <v>24</v>
      </c>
      <c r="N3849" s="25" t="s">
        <v>29</v>
      </c>
    </row>
    <row r="3850">
      <c r="A3850" s="172"/>
      <c r="B3850" s="171" t="s">
        <v>1250</v>
      </c>
      <c r="C3850" s="171" t="s">
        <v>1319</v>
      </c>
      <c r="D3850" s="279" t="s">
        <v>1318</v>
      </c>
      <c r="E3850" s="240">
        <v>43870.0</v>
      </c>
      <c r="F3850" s="21" t="str">
        <f t="shared" si="284"/>
        <v>Feb-2020</v>
      </c>
      <c r="G3850" s="32" t="s">
        <v>480</v>
      </c>
      <c r="H3850" s="25" t="s">
        <v>35</v>
      </c>
      <c r="I3850" s="25" t="s">
        <v>655</v>
      </c>
      <c r="J3850" s="25" t="s">
        <v>86</v>
      </c>
      <c r="K3850" s="25" t="s">
        <v>9</v>
      </c>
      <c r="L3850" s="25" t="s">
        <v>30</v>
      </c>
      <c r="N3850" s="25" t="s">
        <v>99</v>
      </c>
    </row>
    <row r="3851">
      <c r="A3851" s="172"/>
      <c r="B3851" s="171" t="s">
        <v>1250</v>
      </c>
      <c r="C3851" s="171" t="s">
        <v>1319</v>
      </c>
      <c r="D3851" s="279" t="s">
        <v>1318</v>
      </c>
      <c r="E3851" s="240">
        <v>43870.0</v>
      </c>
      <c r="F3851" s="21" t="str">
        <f t="shared" si="284"/>
        <v>Feb-2020</v>
      </c>
      <c r="G3851" s="32" t="s">
        <v>146</v>
      </c>
      <c r="H3851" s="25" t="s">
        <v>35</v>
      </c>
      <c r="I3851" s="25" t="s">
        <v>452</v>
      </c>
      <c r="J3851" s="25" t="s">
        <v>27</v>
      </c>
      <c r="K3851" s="25" t="s">
        <v>9</v>
      </c>
      <c r="L3851" s="25" t="s">
        <v>30</v>
      </c>
      <c r="M3851" s="25" t="s">
        <v>24</v>
      </c>
      <c r="N3851" s="25" t="s">
        <v>29</v>
      </c>
    </row>
    <row r="3852">
      <c r="A3852" s="172"/>
      <c r="B3852" s="171" t="s">
        <v>1250</v>
      </c>
      <c r="C3852" s="171" t="s">
        <v>1319</v>
      </c>
      <c r="D3852" s="279" t="s">
        <v>1318</v>
      </c>
      <c r="E3852" s="240">
        <v>43870.0</v>
      </c>
      <c r="F3852" s="21" t="str">
        <f t="shared" si="284"/>
        <v>Feb-2020</v>
      </c>
      <c r="G3852" s="22" t="s">
        <v>149</v>
      </c>
      <c r="H3852" s="25" t="s">
        <v>35</v>
      </c>
      <c r="I3852" s="25" t="s">
        <v>452</v>
      </c>
      <c r="J3852" s="25" t="s">
        <v>27</v>
      </c>
      <c r="K3852" s="25" t="s">
        <v>9</v>
      </c>
      <c r="L3852" s="25" t="s">
        <v>24</v>
      </c>
      <c r="N3852" s="25" t="s">
        <v>98</v>
      </c>
    </row>
    <row r="3853">
      <c r="A3853" s="172"/>
      <c r="B3853" s="171" t="s">
        <v>1250</v>
      </c>
      <c r="C3853" s="171" t="s">
        <v>1319</v>
      </c>
      <c r="D3853" s="279" t="s">
        <v>1318</v>
      </c>
      <c r="E3853" s="240">
        <v>43870.0</v>
      </c>
      <c r="F3853" s="21" t="str">
        <f t="shared" si="284"/>
        <v>Feb-2020</v>
      </c>
      <c r="G3853" s="32" t="s">
        <v>222</v>
      </c>
      <c r="H3853" s="25" t="s">
        <v>35</v>
      </c>
      <c r="I3853" s="25" t="s">
        <v>452</v>
      </c>
      <c r="J3853" s="25" t="s">
        <v>27</v>
      </c>
      <c r="K3853" s="25" t="s">
        <v>9</v>
      </c>
      <c r="L3853" s="25" t="s">
        <v>24</v>
      </c>
      <c r="N3853" s="25" t="s">
        <v>69</v>
      </c>
    </row>
    <row r="3854">
      <c r="A3854" s="172"/>
      <c r="B3854" s="171" t="s">
        <v>1250</v>
      </c>
      <c r="C3854" s="171" t="s">
        <v>1319</v>
      </c>
      <c r="D3854" s="279" t="s">
        <v>1318</v>
      </c>
      <c r="E3854" s="240">
        <v>43870.0</v>
      </c>
      <c r="F3854" s="21" t="str">
        <f t="shared" si="284"/>
        <v>Feb-2020</v>
      </c>
      <c r="G3854" s="32" t="s">
        <v>467</v>
      </c>
      <c r="H3854" s="25" t="s">
        <v>35</v>
      </c>
      <c r="I3854" s="25" t="s">
        <v>452</v>
      </c>
      <c r="J3854" s="25" t="s">
        <v>27</v>
      </c>
      <c r="K3854" s="25" t="s">
        <v>9</v>
      </c>
      <c r="L3854" s="25" t="s">
        <v>30</v>
      </c>
      <c r="N3854" s="25" t="s">
        <v>106</v>
      </c>
    </row>
    <row r="3855">
      <c r="A3855" s="172"/>
      <c r="B3855" s="171" t="s">
        <v>1250</v>
      </c>
      <c r="C3855" s="171" t="s">
        <v>1319</v>
      </c>
      <c r="D3855" s="279" t="s">
        <v>1318</v>
      </c>
      <c r="E3855" s="240">
        <v>43870.0</v>
      </c>
      <c r="F3855" s="21" t="str">
        <f t="shared" si="284"/>
        <v>Feb-2020</v>
      </c>
      <c r="G3855" s="32" t="s">
        <v>480</v>
      </c>
      <c r="H3855" s="25" t="s">
        <v>35</v>
      </c>
      <c r="I3855" s="25" t="s">
        <v>452</v>
      </c>
      <c r="J3855" s="25" t="s">
        <v>27</v>
      </c>
      <c r="K3855" s="25" t="s">
        <v>9</v>
      </c>
      <c r="L3855" s="25" t="s">
        <v>24</v>
      </c>
      <c r="N3855" s="25" t="s">
        <v>99</v>
      </c>
    </row>
    <row r="3856">
      <c r="A3856" s="94"/>
      <c r="F3856" s="21"/>
    </row>
    <row r="3857">
      <c r="A3857" s="279" t="s">
        <v>1321</v>
      </c>
      <c r="B3857" s="171" t="s">
        <v>1281</v>
      </c>
      <c r="C3857" s="171" t="s">
        <v>1322</v>
      </c>
      <c r="D3857" s="279" t="s">
        <v>1321</v>
      </c>
      <c r="E3857" s="240">
        <v>43876.0</v>
      </c>
      <c r="F3857" s="21" t="str">
        <f t="shared" ref="F3857:F3862" si="285">TEXT(E3851:E3857, "mmm") &amp; "-" &amp; TEXT(E3851:E3857, "yyyy") </f>
        <v>Feb-2020</v>
      </c>
      <c r="G3857" s="32" t="s">
        <v>20</v>
      </c>
      <c r="H3857" s="25" t="s">
        <v>287</v>
      </c>
      <c r="I3857" s="25" t="s">
        <v>1288</v>
      </c>
      <c r="J3857" s="25" t="s">
        <v>27</v>
      </c>
      <c r="K3857" s="25" t="s">
        <v>9</v>
      </c>
      <c r="L3857" s="25" t="s">
        <v>30</v>
      </c>
      <c r="M3857" s="25" t="s">
        <v>30</v>
      </c>
      <c r="N3857" s="25" t="s">
        <v>29</v>
      </c>
    </row>
    <row r="3858">
      <c r="A3858" s="171" t="s">
        <v>1281</v>
      </c>
      <c r="B3858" s="171" t="s">
        <v>1281</v>
      </c>
      <c r="C3858" s="171" t="s">
        <v>1322</v>
      </c>
      <c r="D3858" s="279" t="s">
        <v>1321</v>
      </c>
      <c r="E3858" s="240">
        <v>43876.0</v>
      </c>
      <c r="F3858" s="21" t="str">
        <f t="shared" si="285"/>
        <v>Feb-2020</v>
      </c>
      <c r="G3858" s="32" t="s">
        <v>25</v>
      </c>
      <c r="H3858" s="25" t="s">
        <v>287</v>
      </c>
      <c r="I3858" s="25" t="s">
        <v>1288</v>
      </c>
      <c r="J3858" s="25" t="s">
        <v>27</v>
      </c>
      <c r="K3858" s="25" t="s">
        <v>9</v>
      </c>
      <c r="L3858" s="25" t="s">
        <v>30</v>
      </c>
      <c r="N3858" s="25" t="s">
        <v>69</v>
      </c>
    </row>
    <row r="3859">
      <c r="A3859" s="240">
        <v>43876.0</v>
      </c>
      <c r="B3859" s="171" t="s">
        <v>1281</v>
      </c>
      <c r="C3859" s="171" t="s">
        <v>1322</v>
      </c>
      <c r="D3859" s="279" t="s">
        <v>1321</v>
      </c>
      <c r="E3859" s="240">
        <v>43876.0</v>
      </c>
      <c r="F3859" s="21" t="str">
        <f t="shared" si="285"/>
        <v>Feb-2020</v>
      </c>
      <c r="G3859" s="32" t="s">
        <v>20</v>
      </c>
      <c r="H3859" s="25" t="s">
        <v>287</v>
      </c>
      <c r="I3859" s="25" t="s">
        <v>1072</v>
      </c>
      <c r="J3859" s="25" t="s">
        <v>27</v>
      </c>
      <c r="K3859" s="25" t="s">
        <v>9</v>
      </c>
      <c r="L3859" s="25" t="s">
        <v>30</v>
      </c>
      <c r="M3859" s="25" t="s">
        <v>30</v>
      </c>
      <c r="N3859" s="25" t="s">
        <v>98</v>
      </c>
    </row>
    <row r="3860">
      <c r="A3860" s="171" t="s">
        <v>1322</v>
      </c>
      <c r="B3860" s="171" t="s">
        <v>1281</v>
      </c>
      <c r="C3860" s="171" t="s">
        <v>1322</v>
      </c>
      <c r="D3860" s="279" t="s">
        <v>1321</v>
      </c>
      <c r="E3860" s="240">
        <v>43876.0</v>
      </c>
      <c r="F3860" s="21" t="str">
        <f t="shared" si="285"/>
        <v>Feb-2020</v>
      </c>
      <c r="G3860" s="32" t="s">
        <v>25</v>
      </c>
      <c r="H3860" s="25" t="s">
        <v>287</v>
      </c>
      <c r="I3860" s="25" t="s">
        <v>1072</v>
      </c>
      <c r="J3860" s="25" t="s">
        <v>27</v>
      </c>
      <c r="K3860" s="25" t="s">
        <v>9</v>
      </c>
      <c r="L3860" s="25" t="s">
        <v>30</v>
      </c>
      <c r="N3860" s="25" t="s">
        <v>69</v>
      </c>
    </row>
    <row r="3861">
      <c r="A3861" s="172"/>
      <c r="B3861" s="171" t="s">
        <v>1281</v>
      </c>
      <c r="C3861" s="171" t="s">
        <v>1322</v>
      </c>
      <c r="D3861" s="279" t="s">
        <v>1321</v>
      </c>
      <c r="E3861" s="240">
        <v>43876.0</v>
      </c>
      <c r="F3861" s="21" t="str">
        <f t="shared" si="285"/>
        <v>Feb-2020</v>
      </c>
      <c r="G3861" s="32" t="s">
        <v>20</v>
      </c>
      <c r="H3861" s="25" t="s">
        <v>287</v>
      </c>
      <c r="I3861" s="25" t="s">
        <v>811</v>
      </c>
      <c r="J3861" s="25" t="s">
        <v>44</v>
      </c>
      <c r="K3861" s="25" t="s">
        <v>9</v>
      </c>
      <c r="L3861" s="25" t="s">
        <v>24</v>
      </c>
      <c r="M3861" s="25" t="s">
        <v>24</v>
      </c>
      <c r="N3861" s="25" t="s">
        <v>69</v>
      </c>
    </row>
    <row r="3862">
      <c r="A3862" s="172"/>
      <c r="B3862" s="171" t="s">
        <v>1281</v>
      </c>
      <c r="C3862" s="171" t="s">
        <v>1322</v>
      </c>
      <c r="D3862" s="279" t="s">
        <v>1321</v>
      </c>
      <c r="E3862" s="240">
        <v>43876.0</v>
      </c>
      <c r="F3862" s="21" t="str">
        <f t="shared" si="285"/>
        <v>Feb-2020</v>
      </c>
      <c r="G3862" s="32" t="s">
        <v>25</v>
      </c>
      <c r="H3862" s="25" t="s">
        <v>287</v>
      </c>
      <c r="I3862" s="25" t="s">
        <v>811</v>
      </c>
      <c r="J3862" s="25" t="s">
        <v>44</v>
      </c>
      <c r="K3862" s="25" t="s">
        <v>9</v>
      </c>
      <c r="L3862" s="25" t="s">
        <v>24</v>
      </c>
      <c r="N3862" s="25" t="s">
        <v>106</v>
      </c>
    </row>
    <row r="3863">
      <c r="A3863" s="172"/>
      <c r="B3863" s="171" t="s">
        <v>1281</v>
      </c>
      <c r="C3863" s="171" t="s">
        <v>1322</v>
      </c>
      <c r="D3863" s="279" t="s">
        <v>1321</v>
      </c>
      <c r="E3863" s="240">
        <v>43876.0</v>
      </c>
      <c r="F3863" s="21" t="str">
        <f>TEXT(E3856:E3863, "mmm") &amp; "-" &amp; TEXT(E3856:E3863, "yyyy") </f>
        <v>Feb-2020</v>
      </c>
      <c r="G3863" s="32" t="s">
        <v>20</v>
      </c>
      <c r="H3863" s="25" t="s">
        <v>287</v>
      </c>
      <c r="I3863" s="25" t="s">
        <v>463</v>
      </c>
      <c r="J3863" s="25" t="s">
        <v>9</v>
      </c>
      <c r="K3863" s="25" t="s">
        <v>9</v>
      </c>
      <c r="L3863" s="25" t="s">
        <v>24</v>
      </c>
      <c r="M3863" s="25" t="s">
        <v>24</v>
      </c>
      <c r="N3863" s="25" t="s">
        <v>98</v>
      </c>
    </row>
    <row r="3864">
      <c r="A3864" s="172"/>
      <c r="B3864" s="171" t="s">
        <v>1281</v>
      </c>
      <c r="C3864" s="171" t="s">
        <v>1322</v>
      </c>
      <c r="D3864" s="279" t="s">
        <v>1321</v>
      </c>
      <c r="E3864" s="240">
        <v>43876.0</v>
      </c>
      <c r="F3864" s="21" t="str">
        <f t="shared" ref="F3864:F3871" si="286">TEXT(E3856:E3864, "mmm") &amp; "-" &amp; TEXT(E3856:E3864, "yyyy") </f>
        <v>Feb-2020</v>
      </c>
      <c r="G3864" s="32" t="s">
        <v>25</v>
      </c>
      <c r="H3864" s="25" t="s">
        <v>287</v>
      </c>
      <c r="I3864" s="25" t="s">
        <v>463</v>
      </c>
      <c r="J3864" s="25" t="s">
        <v>9</v>
      </c>
      <c r="K3864" s="25" t="s">
        <v>9</v>
      </c>
      <c r="L3864" s="25" t="s">
        <v>24</v>
      </c>
      <c r="N3864" s="25" t="s">
        <v>69</v>
      </c>
    </row>
    <row r="3865">
      <c r="A3865" s="172"/>
      <c r="B3865" s="171" t="s">
        <v>1281</v>
      </c>
      <c r="C3865" s="171" t="s">
        <v>1322</v>
      </c>
      <c r="D3865" s="279" t="s">
        <v>1321</v>
      </c>
      <c r="E3865" s="240">
        <v>43876.0</v>
      </c>
      <c r="F3865" s="21" t="str">
        <f t="shared" si="286"/>
        <v>Feb-2020</v>
      </c>
      <c r="G3865" s="32" t="s">
        <v>20</v>
      </c>
      <c r="H3865" s="25" t="s">
        <v>35</v>
      </c>
      <c r="I3865" s="25" t="s">
        <v>1323</v>
      </c>
      <c r="J3865" s="25" t="s">
        <v>9</v>
      </c>
      <c r="K3865" s="25" t="s">
        <v>9</v>
      </c>
      <c r="L3865" s="25" t="s">
        <v>24</v>
      </c>
      <c r="M3865" s="25" t="s">
        <v>24</v>
      </c>
      <c r="N3865" s="25" t="s">
        <v>69</v>
      </c>
    </row>
    <row r="3866">
      <c r="A3866" s="172"/>
      <c r="B3866" s="171" t="s">
        <v>1281</v>
      </c>
      <c r="C3866" s="171" t="s">
        <v>1322</v>
      </c>
      <c r="D3866" s="279" t="s">
        <v>1321</v>
      </c>
      <c r="E3866" s="240">
        <v>43876.0</v>
      </c>
      <c r="F3866" s="21" t="str">
        <f t="shared" si="286"/>
        <v>Feb-2020</v>
      </c>
      <c r="G3866" s="32" t="s">
        <v>25</v>
      </c>
      <c r="H3866" s="25" t="s">
        <v>35</v>
      </c>
      <c r="I3866" s="25" t="s">
        <v>1323</v>
      </c>
      <c r="J3866" s="25" t="s">
        <v>9</v>
      </c>
      <c r="K3866" s="25" t="s">
        <v>27</v>
      </c>
      <c r="L3866" s="25" t="s">
        <v>24</v>
      </c>
      <c r="N3866" s="25" t="s">
        <v>69</v>
      </c>
    </row>
    <row r="3867">
      <c r="A3867" s="172"/>
      <c r="B3867" s="171" t="s">
        <v>1281</v>
      </c>
      <c r="C3867" s="171" t="s">
        <v>1322</v>
      </c>
      <c r="D3867" s="279" t="s">
        <v>1321</v>
      </c>
      <c r="E3867" s="240">
        <v>43876.0</v>
      </c>
      <c r="F3867" s="21" t="str">
        <f t="shared" si="286"/>
        <v>Feb-2020</v>
      </c>
      <c r="G3867" s="32" t="s">
        <v>20</v>
      </c>
      <c r="H3867" s="25" t="s">
        <v>35</v>
      </c>
      <c r="I3867" s="25" t="s">
        <v>1303</v>
      </c>
      <c r="J3867" s="25" t="s">
        <v>9</v>
      </c>
      <c r="K3867" s="25" t="s">
        <v>27</v>
      </c>
      <c r="L3867" s="25" t="s">
        <v>30</v>
      </c>
      <c r="M3867" s="25" t="s">
        <v>30</v>
      </c>
      <c r="N3867" s="25" t="s">
        <v>69</v>
      </c>
    </row>
    <row r="3868">
      <c r="A3868" s="172"/>
      <c r="B3868" s="171" t="s">
        <v>1281</v>
      </c>
      <c r="C3868" s="171" t="s">
        <v>1322</v>
      </c>
      <c r="D3868" s="279" t="s">
        <v>1321</v>
      </c>
      <c r="E3868" s="240">
        <v>43876.0</v>
      </c>
      <c r="F3868" s="21" t="str">
        <f t="shared" si="286"/>
        <v>Feb-2020</v>
      </c>
      <c r="G3868" s="32" t="s">
        <v>25</v>
      </c>
      <c r="H3868" s="25" t="s">
        <v>35</v>
      </c>
      <c r="I3868" s="25" t="s">
        <v>1303</v>
      </c>
      <c r="J3868" s="25" t="s">
        <v>9</v>
      </c>
      <c r="K3868" s="25" t="s">
        <v>27</v>
      </c>
      <c r="L3868" s="25" t="s">
        <v>30</v>
      </c>
      <c r="N3868" s="25" t="s">
        <v>29</v>
      </c>
    </row>
    <row r="3869">
      <c r="A3869" s="172"/>
      <c r="B3869" s="171" t="s">
        <v>1281</v>
      </c>
      <c r="C3869" s="171" t="s">
        <v>1322</v>
      </c>
      <c r="D3869" s="279" t="s">
        <v>1321</v>
      </c>
      <c r="E3869" s="240">
        <v>43876.0</v>
      </c>
      <c r="F3869" s="21" t="str">
        <f t="shared" si="286"/>
        <v>Feb-2020</v>
      </c>
      <c r="G3869" s="32" t="s">
        <v>20</v>
      </c>
      <c r="H3869" s="25" t="s">
        <v>35</v>
      </c>
      <c r="I3869" s="25" t="s">
        <v>100</v>
      </c>
      <c r="J3869" s="25" t="s">
        <v>9</v>
      </c>
      <c r="K3869" s="25" t="s">
        <v>27</v>
      </c>
      <c r="L3869" s="25" t="s">
        <v>24</v>
      </c>
      <c r="M3869" s="25" t="s">
        <v>24</v>
      </c>
      <c r="N3869" s="25" t="s">
        <v>69</v>
      </c>
    </row>
    <row r="3870">
      <c r="A3870" s="172"/>
      <c r="B3870" s="171" t="s">
        <v>1281</v>
      </c>
      <c r="C3870" s="171" t="s">
        <v>1322</v>
      </c>
      <c r="D3870" s="279" t="s">
        <v>1321</v>
      </c>
      <c r="E3870" s="240">
        <v>43876.0</v>
      </c>
      <c r="F3870" s="21" t="str">
        <f t="shared" si="286"/>
        <v>Feb-2020</v>
      </c>
      <c r="G3870" s="32" t="s">
        <v>25</v>
      </c>
      <c r="H3870" s="25" t="s">
        <v>35</v>
      </c>
      <c r="I3870" s="25" t="s">
        <v>100</v>
      </c>
      <c r="J3870" s="25" t="s">
        <v>9</v>
      </c>
      <c r="K3870" s="25" t="s">
        <v>27</v>
      </c>
      <c r="L3870" s="25" t="s">
        <v>30</v>
      </c>
      <c r="N3870" s="25" t="s">
        <v>99</v>
      </c>
    </row>
    <row r="3871">
      <c r="A3871" s="172"/>
      <c r="B3871" s="171" t="s">
        <v>1281</v>
      </c>
      <c r="C3871" s="171" t="s">
        <v>1322</v>
      </c>
      <c r="D3871" s="279" t="s">
        <v>1321</v>
      </c>
      <c r="E3871" s="240">
        <v>43876.0</v>
      </c>
      <c r="F3871" s="21" t="str">
        <f t="shared" si="286"/>
        <v>Feb-2020</v>
      </c>
      <c r="G3871" s="32" t="s">
        <v>32</v>
      </c>
      <c r="H3871" s="25" t="s">
        <v>35</v>
      </c>
      <c r="I3871" s="25" t="s">
        <v>100</v>
      </c>
      <c r="J3871" s="25" t="s">
        <v>9</v>
      </c>
      <c r="K3871" s="25" t="s">
        <v>27</v>
      </c>
      <c r="L3871" s="25" t="s">
        <v>24</v>
      </c>
      <c r="N3871" s="25" t="s">
        <v>98</v>
      </c>
    </row>
    <row r="3872">
      <c r="A3872" s="94"/>
      <c r="F3872" s="21"/>
    </row>
    <row r="3873">
      <c r="A3873" s="279" t="s">
        <v>1324</v>
      </c>
      <c r="B3873" s="171" t="s">
        <v>18</v>
      </c>
      <c r="C3873" s="171" t="s">
        <v>1319</v>
      </c>
      <c r="D3873" s="279" t="s">
        <v>1324</v>
      </c>
      <c r="E3873" s="240">
        <v>43878.0</v>
      </c>
      <c r="F3873" s="21" t="str">
        <f t="shared" ref="F3873:F3893" si="287">TEXT(E3865:E3873, "mmm") &amp; "-" &amp; TEXT(E3865:E3873, "yyyy") </f>
        <v>Feb-2020</v>
      </c>
      <c r="G3873" s="32" t="s">
        <v>20</v>
      </c>
      <c r="H3873" s="25" t="s">
        <v>35</v>
      </c>
      <c r="I3873" s="25" t="s">
        <v>1093</v>
      </c>
      <c r="J3873" s="25" t="s">
        <v>86</v>
      </c>
      <c r="K3873" s="25" t="s">
        <v>9</v>
      </c>
      <c r="L3873" s="25" t="s">
        <v>30</v>
      </c>
      <c r="M3873" s="25" t="s">
        <v>30</v>
      </c>
      <c r="N3873" s="25" t="s">
        <v>69</v>
      </c>
    </row>
    <row r="3874">
      <c r="A3874" s="171" t="s">
        <v>18</v>
      </c>
      <c r="B3874" s="171" t="s">
        <v>18</v>
      </c>
      <c r="C3874" s="171" t="s">
        <v>1319</v>
      </c>
      <c r="D3874" s="279" t="s">
        <v>1324</v>
      </c>
      <c r="E3874" s="240">
        <v>43878.0</v>
      </c>
      <c r="F3874" s="21" t="str">
        <f t="shared" si="287"/>
        <v>Feb-2020</v>
      </c>
      <c r="G3874" s="32" t="s">
        <v>25</v>
      </c>
      <c r="H3874" s="25" t="s">
        <v>35</v>
      </c>
      <c r="I3874" s="25" t="s">
        <v>1093</v>
      </c>
      <c r="J3874" s="25" t="s">
        <v>86</v>
      </c>
      <c r="K3874" s="25" t="s">
        <v>9</v>
      </c>
      <c r="L3874" s="25" t="s">
        <v>24</v>
      </c>
      <c r="N3874" s="25" t="s">
        <v>98</v>
      </c>
    </row>
    <row r="3875">
      <c r="A3875" s="240">
        <v>43878.0</v>
      </c>
      <c r="B3875" s="171" t="s">
        <v>18</v>
      </c>
      <c r="C3875" s="171" t="s">
        <v>1319</v>
      </c>
      <c r="D3875" s="279" t="s">
        <v>1324</v>
      </c>
      <c r="E3875" s="240">
        <v>43878.0</v>
      </c>
      <c r="F3875" s="21" t="str">
        <f t="shared" si="287"/>
        <v>Feb-2020</v>
      </c>
      <c r="G3875" s="32" t="s">
        <v>32</v>
      </c>
      <c r="H3875" s="25" t="s">
        <v>35</v>
      </c>
      <c r="I3875" s="25" t="s">
        <v>1093</v>
      </c>
      <c r="J3875" s="25" t="s">
        <v>86</v>
      </c>
      <c r="K3875" s="25" t="s">
        <v>9</v>
      </c>
      <c r="L3875" s="25" t="s">
        <v>30</v>
      </c>
      <c r="N3875" s="25" t="s">
        <v>99</v>
      </c>
    </row>
    <row r="3876">
      <c r="A3876" s="301" t="s">
        <v>1325</v>
      </c>
      <c r="B3876" s="171" t="s">
        <v>18</v>
      </c>
      <c r="C3876" s="171" t="s">
        <v>1319</v>
      </c>
      <c r="D3876" s="279" t="s">
        <v>1324</v>
      </c>
      <c r="E3876" s="240">
        <v>43878.0</v>
      </c>
      <c r="F3876" s="21" t="str">
        <f t="shared" si="287"/>
        <v>Feb-2020</v>
      </c>
      <c r="G3876" s="32" t="s">
        <v>20</v>
      </c>
      <c r="H3876" s="25" t="s">
        <v>35</v>
      </c>
      <c r="I3876" s="25" t="s">
        <v>361</v>
      </c>
      <c r="J3876" s="25" t="s">
        <v>44</v>
      </c>
      <c r="K3876" s="25" t="s">
        <v>9</v>
      </c>
      <c r="L3876" s="25" t="s">
        <v>24</v>
      </c>
      <c r="M3876" s="25" t="s">
        <v>24</v>
      </c>
      <c r="N3876" s="25" t="s">
        <v>99</v>
      </c>
    </row>
    <row r="3877">
      <c r="A3877" s="171" t="s">
        <v>1319</v>
      </c>
      <c r="B3877" s="171" t="s">
        <v>18</v>
      </c>
      <c r="C3877" s="171" t="s">
        <v>1319</v>
      </c>
      <c r="D3877" s="279" t="s">
        <v>1324</v>
      </c>
      <c r="E3877" s="240">
        <v>43878.0</v>
      </c>
      <c r="F3877" s="21" t="str">
        <f t="shared" si="287"/>
        <v>Feb-2020</v>
      </c>
      <c r="G3877" s="32" t="s">
        <v>25</v>
      </c>
      <c r="H3877" s="25" t="s">
        <v>35</v>
      </c>
      <c r="I3877" s="25" t="s">
        <v>361</v>
      </c>
      <c r="J3877" s="25" t="s">
        <v>44</v>
      </c>
      <c r="K3877" s="25" t="s">
        <v>9</v>
      </c>
      <c r="L3877" s="25" t="s">
        <v>24</v>
      </c>
      <c r="N3877" s="25" t="s">
        <v>69</v>
      </c>
    </row>
    <row r="3878">
      <c r="A3878" s="172"/>
      <c r="B3878" s="171" t="s">
        <v>18</v>
      </c>
      <c r="C3878" s="171" t="s">
        <v>1319</v>
      </c>
      <c r="D3878" s="279" t="s">
        <v>1324</v>
      </c>
      <c r="E3878" s="240">
        <v>43878.0</v>
      </c>
      <c r="F3878" s="21" t="str">
        <f t="shared" si="287"/>
        <v>Feb-2020</v>
      </c>
      <c r="G3878" s="32" t="s">
        <v>20</v>
      </c>
      <c r="H3878" s="25" t="s">
        <v>35</v>
      </c>
      <c r="I3878" s="25" t="s">
        <v>726</v>
      </c>
      <c r="J3878" s="25" t="s">
        <v>216</v>
      </c>
      <c r="K3878" s="25" t="s">
        <v>9</v>
      </c>
      <c r="L3878" s="25" t="s">
        <v>30</v>
      </c>
      <c r="M3878" s="25" t="s">
        <v>30</v>
      </c>
      <c r="N3878" s="25" t="s">
        <v>37</v>
      </c>
    </row>
    <row r="3879">
      <c r="A3879" s="172"/>
      <c r="B3879" s="171" t="s">
        <v>18</v>
      </c>
      <c r="C3879" s="171" t="s">
        <v>1319</v>
      </c>
      <c r="D3879" s="279" t="s">
        <v>1324</v>
      </c>
      <c r="E3879" s="240">
        <v>43878.0</v>
      </c>
      <c r="F3879" s="21" t="str">
        <f t="shared" si="287"/>
        <v>Feb-2020</v>
      </c>
      <c r="G3879" s="32" t="s">
        <v>25</v>
      </c>
      <c r="H3879" s="25" t="s">
        <v>35</v>
      </c>
      <c r="I3879" s="25" t="s">
        <v>726</v>
      </c>
      <c r="J3879" s="25" t="s">
        <v>216</v>
      </c>
      <c r="K3879" s="25" t="s">
        <v>9</v>
      </c>
      <c r="L3879" s="25" t="s">
        <v>24</v>
      </c>
      <c r="N3879" s="25" t="s">
        <v>37</v>
      </c>
    </row>
    <row r="3880">
      <c r="A3880" s="172"/>
      <c r="B3880" s="171" t="s">
        <v>18</v>
      </c>
      <c r="C3880" s="171" t="s">
        <v>1319</v>
      </c>
      <c r="D3880" s="279" t="s">
        <v>1324</v>
      </c>
      <c r="E3880" s="240">
        <v>43878.0</v>
      </c>
      <c r="F3880" s="21" t="str">
        <f t="shared" si="287"/>
        <v>Feb-2020</v>
      </c>
      <c r="G3880" s="32" t="s">
        <v>32</v>
      </c>
      <c r="H3880" s="25" t="s">
        <v>35</v>
      </c>
      <c r="I3880" s="25" t="s">
        <v>726</v>
      </c>
      <c r="J3880" s="25" t="s">
        <v>216</v>
      </c>
      <c r="K3880" s="25" t="s">
        <v>9</v>
      </c>
      <c r="L3880" s="25" t="s">
        <v>30</v>
      </c>
      <c r="N3880" s="25" t="s">
        <v>106</v>
      </c>
    </row>
    <row r="3881">
      <c r="A3881" s="172"/>
      <c r="B3881" s="171" t="s">
        <v>18</v>
      </c>
      <c r="C3881" s="171" t="s">
        <v>1319</v>
      </c>
      <c r="D3881" s="279" t="s">
        <v>1324</v>
      </c>
      <c r="E3881" s="240">
        <v>43878.0</v>
      </c>
      <c r="F3881" s="21" t="str">
        <f t="shared" si="287"/>
        <v>Feb-2020</v>
      </c>
      <c r="G3881" s="32" t="s">
        <v>146</v>
      </c>
      <c r="H3881" s="25" t="s">
        <v>35</v>
      </c>
      <c r="I3881" s="25" t="s">
        <v>452</v>
      </c>
      <c r="J3881" s="25" t="s">
        <v>27</v>
      </c>
      <c r="K3881" s="25" t="s">
        <v>9</v>
      </c>
      <c r="L3881" s="25" t="s">
        <v>24</v>
      </c>
      <c r="M3881" s="25" t="s">
        <v>30</v>
      </c>
      <c r="N3881" s="25" t="s">
        <v>98</v>
      </c>
    </row>
    <row r="3882">
      <c r="A3882" s="172"/>
      <c r="B3882" s="171" t="s">
        <v>18</v>
      </c>
      <c r="C3882" s="171" t="s">
        <v>1319</v>
      </c>
      <c r="D3882" s="279" t="s">
        <v>1324</v>
      </c>
      <c r="E3882" s="240">
        <v>43878.0</v>
      </c>
      <c r="F3882" s="21" t="str">
        <f t="shared" si="287"/>
        <v>Feb-2020</v>
      </c>
      <c r="G3882" s="22" t="s">
        <v>149</v>
      </c>
      <c r="H3882" s="25" t="s">
        <v>35</v>
      </c>
      <c r="I3882" s="25" t="s">
        <v>452</v>
      </c>
      <c r="J3882" s="25" t="s">
        <v>27</v>
      </c>
      <c r="K3882" s="25" t="s">
        <v>9</v>
      </c>
      <c r="L3882" s="25" t="s">
        <v>30</v>
      </c>
      <c r="N3882" s="25" t="s">
        <v>29</v>
      </c>
    </row>
    <row r="3883">
      <c r="A3883" s="172"/>
      <c r="B3883" s="171" t="s">
        <v>18</v>
      </c>
      <c r="C3883" s="171" t="s">
        <v>1319</v>
      </c>
      <c r="D3883" s="279" t="s">
        <v>1324</v>
      </c>
      <c r="E3883" s="240">
        <v>43878.0</v>
      </c>
      <c r="F3883" s="21" t="str">
        <f t="shared" si="287"/>
        <v>Feb-2020</v>
      </c>
      <c r="G3883" s="32" t="s">
        <v>222</v>
      </c>
      <c r="H3883" s="25" t="s">
        <v>35</v>
      </c>
      <c r="I3883" s="25" t="s">
        <v>452</v>
      </c>
      <c r="J3883" s="25" t="s">
        <v>27</v>
      </c>
      <c r="K3883" s="25" t="s">
        <v>9</v>
      </c>
      <c r="L3883" s="25" t="s">
        <v>30</v>
      </c>
      <c r="N3883" s="25" t="s">
        <v>99</v>
      </c>
    </row>
    <row r="3884">
      <c r="A3884" s="172"/>
      <c r="B3884" s="171" t="s">
        <v>18</v>
      </c>
      <c r="C3884" s="171" t="s">
        <v>1319</v>
      </c>
      <c r="D3884" s="279" t="s">
        <v>1324</v>
      </c>
      <c r="E3884" s="240">
        <v>43878.0</v>
      </c>
      <c r="F3884" s="21" t="str">
        <f t="shared" si="287"/>
        <v>Feb-2020</v>
      </c>
      <c r="G3884" s="32" t="s">
        <v>467</v>
      </c>
      <c r="H3884" s="25" t="s">
        <v>35</v>
      </c>
      <c r="I3884" s="25" t="s">
        <v>452</v>
      </c>
      <c r="J3884" s="25" t="s">
        <v>27</v>
      </c>
      <c r="K3884" s="25" t="s">
        <v>9</v>
      </c>
      <c r="L3884" s="25" t="s">
        <v>30</v>
      </c>
      <c r="N3884" s="25" t="s">
        <v>69</v>
      </c>
    </row>
    <row r="3885">
      <c r="A3885" s="172"/>
      <c r="B3885" s="171" t="s">
        <v>18</v>
      </c>
      <c r="C3885" s="171" t="s">
        <v>1319</v>
      </c>
      <c r="D3885" s="279" t="s">
        <v>1324</v>
      </c>
      <c r="E3885" s="240">
        <v>43878.0</v>
      </c>
      <c r="F3885" s="21" t="str">
        <f t="shared" si="287"/>
        <v>Feb-2020</v>
      </c>
      <c r="G3885" s="32" t="s">
        <v>146</v>
      </c>
      <c r="H3885" s="25" t="s">
        <v>35</v>
      </c>
      <c r="I3885" s="25" t="s">
        <v>871</v>
      </c>
      <c r="J3885" s="25" t="s">
        <v>138</v>
      </c>
      <c r="K3885" s="25" t="s">
        <v>9</v>
      </c>
      <c r="L3885" s="25" t="s">
        <v>30</v>
      </c>
      <c r="M3885" s="25" t="s">
        <v>30</v>
      </c>
      <c r="N3885" s="25" t="s">
        <v>98</v>
      </c>
    </row>
    <row r="3886">
      <c r="A3886" s="172"/>
      <c r="B3886" s="171" t="s">
        <v>18</v>
      </c>
      <c r="C3886" s="171" t="s">
        <v>1319</v>
      </c>
      <c r="D3886" s="279" t="s">
        <v>1324</v>
      </c>
      <c r="E3886" s="240">
        <v>43878.0</v>
      </c>
      <c r="F3886" s="21" t="str">
        <f t="shared" si="287"/>
        <v>Feb-2020</v>
      </c>
      <c r="G3886" s="22" t="s">
        <v>149</v>
      </c>
      <c r="H3886" s="25" t="s">
        <v>35</v>
      </c>
      <c r="I3886" s="25" t="s">
        <v>871</v>
      </c>
      <c r="J3886" s="25" t="s">
        <v>138</v>
      </c>
      <c r="K3886" s="25" t="s">
        <v>9</v>
      </c>
      <c r="L3886" s="25" t="s">
        <v>24</v>
      </c>
      <c r="N3886" s="25" t="s">
        <v>29</v>
      </c>
    </row>
    <row r="3887">
      <c r="A3887" s="172"/>
      <c r="B3887" s="171" t="s">
        <v>18</v>
      </c>
      <c r="C3887" s="171" t="s">
        <v>1319</v>
      </c>
      <c r="D3887" s="279" t="s">
        <v>1324</v>
      </c>
      <c r="E3887" s="240">
        <v>43878.0</v>
      </c>
      <c r="F3887" s="21" t="str">
        <f t="shared" si="287"/>
        <v>Feb-2020</v>
      </c>
      <c r="G3887" s="32" t="s">
        <v>222</v>
      </c>
      <c r="H3887" s="25" t="s">
        <v>35</v>
      </c>
      <c r="I3887" s="25" t="s">
        <v>871</v>
      </c>
      <c r="J3887" s="25" t="s">
        <v>138</v>
      </c>
      <c r="K3887" s="25" t="s">
        <v>9</v>
      </c>
      <c r="L3887" s="25" t="s">
        <v>30</v>
      </c>
      <c r="N3887" s="25" t="s">
        <v>69</v>
      </c>
    </row>
    <row r="3888">
      <c r="A3888" s="172"/>
      <c r="B3888" s="171" t="s">
        <v>18</v>
      </c>
      <c r="C3888" s="171" t="s">
        <v>1319</v>
      </c>
      <c r="D3888" s="279" t="s">
        <v>1324</v>
      </c>
      <c r="E3888" s="240">
        <v>43878.0</v>
      </c>
      <c r="F3888" s="21" t="str">
        <f t="shared" si="287"/>
        <v>Feb-2020</v>
      </c>
      <c r="G3888" s="32" t="s">
        <v>467</v>
      </c>
      <c r="H3888" s="25" t="s">
        <v>35</v>
      </c>
      <c r="I3888" s="25" t="s">
        <v>871</v>
      </c>
      <c r="J3888" s="25" t="s">
        <v>138</v>
      </c>
      <c r="K3888" s="25" t="s">
        <v>9</v>
      </c>
      <c r="L3888" s="25" t="s">
        <v>30</v>
      </c>
      <c r="N3888" s="25" t="s">
        <v>106</v>
      </c>
    </row>
    <row r="3889">
      <c r="A3889" s="172"/>
      <c r="B3889" s="171" t="s">
        <v>18</v>
      </c>
      <c r="C3889" s="171" t="s">
        <v>1319</v>
      </c>
      <c r="D3889" s="279" t="s">
        <v>1324</v>
      </c>
      <c r="E3889" s="240">
        <v>43878.0</v>
      </c>
      <c r="F3889" s="21" t="str">
        <f t="shared" si="287"/>
        <v>Feb-2020</v>
      </c>
      <c r="G3889" s="32" t="s">
        <v>146</v>
      </c>
      <c r="H3889" s="25" t="s">
        <v>35</v>
      </c>
      <c r="I3889" s="25" t="s">
        <v>989</v>
      </c>
      <c r="J3889" s="25" t="s">
        <v>86</v>
      </c>
      <c r="K3889" s="25" t="s">
        <v>9</v>
      </c>
      <c r="L3889" s="25" t="s">
        <v>30</v>
      </c>
      <c r="M3889" s="25" t="s">
        <v>24</v>
      </c>
      <c r="N3889" s="25" t="s">
        <v>29</v>
      </c>
    </row>
    <row r="3890">
      <c r="A3890" s="172"/>
      <c r="B3890" s="171" t="s">
        <v>18</v>
      </c>
      <c r="C3890" s="171" t="s">
        <v>1319</v>
      </c>
      <c r="D3890" s="279" t="s">
        <v>1324</v>
      </c>
      <c r="E3890" s="240">
        <v>43878.0</v>
      </c>
      <c r="F3890" s="21" t="str">
        <f t="shared" si="287"/>
        <v>Feb-2020</v>
      </c>
      <c r="G3890" s="22" t="s">
        <v>149</v>
      </c>
      <c r="H3890" s="25" t="s">
        <v>35</v>
      </c>
      <c r="I3890" s="25" t="s">
        <v>989</v>
      </c>
      <c r="J3890" s="25" t="s">
        <v>86</v>
      </c>
      <c r="K3890" s="25" t="s">
        <v>9</v>
      </c>
      <c r="L3890" s="25" t="s">
        <v>24</v>
      </c>
      <c r="N3890" s="25" t="s">
        <v>37</v>
      </c>
    </row>
    <row r="3891">
      <c r="A3891" s="172"/>
      <c r="B3891" s="171" t="s">
        <v>18</v>
      </c>
      <c r="C3891" s="171" t="s">
        <v>1319</v>
      </c>
      <c r="D3891" s="279" t="s">
        <v>1324</v>
      </c>
      <c r="E3891" s="240">
        <v>43878.0</v>
      </c>
      <c r="F3891" s="21" t="str">
        <f t="shared" si="287"/>
        <v>Feb-2020</v>
      </c>
      <c r="G3891" s="32" t="s">
        <v>222</v>
      </c>
      <c r="H3891" s="25" t="s">
        <v>35</v>
      </c>
      <c r="I3891" s="25" t="s">
        <v>989</v>
      </c>
      <c r="J3891" s="25" t="s">
        <v>86</v>
      </c>
      <c r="K3891" s="25" t="s">
        <v>9</v>
      </c>
      <c r="L3891" s="25" t="s">
        <v>24</v>
      </c>
      <c r="N3891" s="25" t="s">
        <v>99</v>
      </c>
    </row>
    <row r="3892">
      <c r="A3892" s="172"/>
      <c r="B3892" s="171" t="s">
        <v>18</v>
      </c>
      <c r="C3892" s="171" t="s">
        <v>1319</v>
      </c>
      <c r="D3892" s="279" t="s">
        <v>1324</v>
      </c>
      <c r="E3892" s="240">
        <v>43878.0</v>
      </c>
      <c r="F3892" s="21" t="str">
        <f t="shared" si="287"/>
        <v>Feb-2020</v>
      </c>
      <c r="G3892" s="32" t="s">
        <v>467</v>
      </c>
      <c r="H3892" s="25" t="s">
        <v>35</v>
      </c>
      <c r="I3892" s="25" t="s">
        <v>989</v>
      </c>
      <c r="J3892" s="25" t="s">
        <v>86</v>
      </c>
      <c r="K3892" s="25" t="s">
        <v>9</v>
      </c>
      <c r="L3892" s="25" t="s">
        <v>30</v>
      </c>
      <c r="N3892" s="25" t="s">
        <v>69</v>
      </c>
    </row>
    <row r="3893">
      <c r="A3893" s="172"/>
      <c r="B3893" s="171" t="s">
        <v>18</v>
      </c>
      <c r="C3893" s="171" t="s">
        <v>1319</v>
      </c>
      <c r="D3893" s="279" t="s">
        <v>1324</v>
      </c>
      <c r="E3893" s="240">
        <v>43878.0</v>
      </c>
      <c r="F3893" s="21" t="str">
        <f t="shared" si="287"/>
        <v>Feb-2020</v>
      </c>
      <c r="G3893" s="32" t="s">
        <v>480</v>
      </c>
      <c r="H3893" s="25" t="s">
        <v>35</v>
      </c>
      <c r="I3893" s="25" t="s">
        <v>989</v>
      </c>
      <c r="J3893" s="25" t="s">
        <v>86</v>
      </c>
      <c r="K3893" s="25" t="s">
        <v>9</v>
      </c>
      <c r="L3893" s="25" t="s">
        <v>24</v>
      </c>
      <c r="N3893" s="25" t="s">
        <v>98</v>
      </c>
    </row>
    <row r="3894">
      <c r="A3894" s="94"/>
      <c r="F3894" s="21"/>
    </row>
    <row r="3895">
      <c r="A3895" s="279" t="s">
        <v>1326</v>
      </c>
      <c r="B3895" s="171" t="s">
        <v>1281</v>
      </c>
      <c r="C3895" s="171" t="s">
        <v>1322</v>
      </c>
      <c r="D3895" s="279" t="s">
        <v>1326</v>
      </c>
      <c r="E3895" s="240">
        <v>43883.0</v>
      </c>
      <c r="F3895" s="21" t="str">
        <f t="shared" ref="F3895:F3923" si="288">TEXT(E3887:E3895, "mmm") &amp; "-" &amp; TEXT(E3887:E3895, "yyyy") </f>
        <v>Feb-2020</v>
      </c>
      <c r="G3895" s="32" t="s">
        <v>20</v>
      </c>
      <c r="H3895" s="25" t="s">
        <v>287</v>
      </c>
      <c r="I3895" s="25" t="s">
        <v>1314</v>
      </c>
      <c r="J3895" s="25" t="s">
        <v>27</v>
      </c>
      <c r="K3895" s="25" t="s">
        <v>9</v>
      </c>
      <c r="L3895" s="25" t="s">
        <v>24</v>
      </c>
      <c r="M3895" s="25" t="s">
        <v>30</v>
      </c>
      <c r="N3895" s="25" t="s">
        <v>98</v>
      </c>
    </row>
    <row r="3896">
      <c r="A3896" s="171" t="s">
        <v>1281</v>
      </c>
      <c r="B3896" s="171" t="s">
        <v>1281</v>
      </c>
      <c r="C3896" s="171" t="s">
        <v>1322</v>
      </c>
      <c r="D3896" s="279" t="s">
        <v>1326</v>
      </c>
      <c r="E3896" s="240">
        <v>43883.0</v>
      </c>
      <c r="F3896" s="21" t="str">
        <f t="shared" si="288"/>
        <v>Feb-2020</v>
      </c>
      <c r="G3896" s="32" t="s">
        <v>25</v>
      </c>
      <c r="H3896" s="25" t="s">
        <v>287</v>
      </c>
      <c r="I3896" s="25" t="s">
        <v>1314</v>
      </c>
      <c r="J3896" s="25" t="s">
        <v>27</v>
      </c>
      <c r="K3896" s="25" t="s">
        <v>9</v>
      </c>
      <c r="L3896" s="25" t="s">
        <v>30</v>
      </c>
      <c r="N3896" s="25" t="s">
        <v>106</v>
      </c>
    </row>
    <row r="3897">
      <c r="A3897" s="240">
        <v>43883.0</v>
      </c>
      <c r="B3897" s="171" t="s">
        <v>1281</v>
      </c>
      <c r="C3897" s="171" t="s">
        <v>1322</v>
      </c>
      <c r="D3897" s="279" t="s">
        <v>1326</v>
      </c>
      <c r="E3897" s="240">
        <v>43883.0</v>
      </c>
      <c r="F3897" s="21" t="str">
        <f t="shared" si="288"/>
        <v>Feb-2020</v>
      </c>
      <c r="G3897" s="32" t="s">
        <v>32</v>
      </c>
      <c r="H3897" s="25" t="s">
        <v>287</v>
      </c>
      <c r="I3897" s="25" t="s">
        <v>1314</v>
      </c>
      <c r="J3897" s="25" t="s">
        <v>27</v>
      </c>
      <c r="K3897" s="25" t="s">
        <v>9</v>
      </c>
      <c r="L3897" s="25" t="s">
        <v>30</v>
      </c>
      <c r="N3897" s="25" t="s">
        <v>69</v>
      </c>
    </row>
    <row r="3898">
      <c r="A3898" s="171" t="s">
        <v>1322</v>
      </c>
      <c r="B3898" s="171" t="s">
        <v>1281</v>
      </c>
      <c r="C3898" s="171" t="s">
        <v>1322</v>
      </c>
      <c r="D3898" s="279" t="s">
        <v>1326</v>
      </c>
      <c r="E3898" s="240">
        <v>43883.0</v>
      </c>
      <c r="F3898" s="21" t="str">
        <f t="shared" si="288"/>
        <v>Feb-2020</v>
      </c>
      <c r="G3898" s="32" t="s">
        <v>20</v>
      </c>
      <c r="H3898" s="25" t="s">
        <v>287</v>
      </c>
      <c r="I3898" s="25" t="s">
        <v>563</v>
      </c>
      <c r="J3898" s="25" t="s">
        <v>44</v>
      </c>
      <c r="K3898" s="25" t="s">
        <v>9</v>
      </c>
      <c r="L3898" s="25" t="s">
        <v>30</v>
      </c>
      <c r="M3898" s="25" t="s">
        <v>30</v>
      </c>
      <c r="N3898" s="25" t="s">
        <v>98</v>
      </c>
    </row>
    <row r="3899">
      <c r="A3899" s="301" t="s">
        <v>1327</v>
      </c>
      <c r="B3899" s="171" t="s">
        <v>1281</v>
      </c>
      <c r="C3899" s="171" t="s">
        <v>1322</v>
      </c>
      <c r="D3899" s="279" t="s">
        <v>1326</v>
      </c>
      <c r="E3899" s="240">
        <v>43883.0</v>
      </c>
      <c r="F3899" s="21" t="str">
        <f t="shared" si="288"/>
        <v>Feb-2020</v>
      </c>
      <c r="G3899" s="32" t="s">
        <v>25</v>
      </c>
      <c r="H3899" s="25" t="s">
        <v>287</v>
      </c>
      <c r="I3899" s="25" t="s">
        <v>563</v>
      </c>
      <c r="J3899" s="25" t="s">
        <v>44</v>
      </c>
      <c r="K3899" s="25" t="s">
        <v>9</v>
      </c>
      <c r="L3899" s="25" t="s">
        <v>30</v>
      </c>
      <c r="N3899" s="25" t="s">
        <v>69</v>
      </c>
    </row>
    <row r="3900">
      <c r="A3900" s="171" t="s">
        <v>1328</v>
      </c>
      <c r="B3900" s="171" t="s">
        <v>1281</v>
      </c>
      <c r="C3900" s="171" t="s">
        <v>1322</v>
      </c>
      <c r="D3900" s="279" t="s">
        <v>1326</v>
      </c>
      <c r="E3900" s="240">
        <v>43883.0</v>
      </c>
      <c r="F3900" s="21" t="str">
        <f t="shared" si="288"/>
        <v>Feb-2020</v>
      </c>
      <c r="G3900" s="32" t="s">
        <v>20</v>
      </c>
      <c r="H3900" s="25" t="s">
        <v>287</v>
      </c>
      <c r="I3900" s="25" t="s">
        <v>1320</v>
      </c>
      <c r="J3900" s="25" t="s">
        <v>44</v>
      </c>
      <c r="K3900" s="25" t="s">
        <v>9</v>
      </c>
      <c r="L3900" s="25" t="s">
        <v>30</v>
      </c>
      <c r="M3900" s="25" t="s">
        <v>30</v>
      </c>
      <c r="N3900" s="25" t="s">
        <v>69</v>
      </c>
    </row>
    <row r="3901">
      <c r="A3901" s="301" t="s">
        <v>1329</v>
      </c>
      <c r="B3901" s="171" t="s">
        <v>1281</v>
      </c>
      <c r="C3901" s="171" t="s">
        <v>1322</v>
      </c>
      <c r="D3901" s="279" t="s">
        <v>1326</v>
      </c>
      <c r="E3901" s="240">
        <v>43883.0</v>
      </c>
      <c r="F3901" s="21" t="str">
        <f t="shared" si="288"/>
        <v>Feb-2020</v>
      </c>
      <c r="G3901" s="32" t="s">
        <v>25</v>
      </c>
      <c r="H3901" s="25" t="s">
        <v>287</v>
      </c>
      <c r="I3901" s="25" t="s">
        <v>1320</v>
      </c>
      <c r="J3901" s="25" t="s">
        <v>44</v>
      </c>
      <c r="K3901" s="25" t="s">
        <v>9</v>
      </c>
      <c r="L3901" s="25" t="s">
        <v>30</v>
      </c>
      <c r="N3901" s="25" t="s">
        <v>69</v>
      </c>
    </row>
    <row r="3902">
      <c r="A3902" s="172"/>
      <c r="B3902" s="171" t="s">
        <v>1281</v>
      </c>
      <c r="C3902" s="171" t="s">
        <v>1322</v>
      </c>
      <c r="D3902" s="279" t="s">
        <v>1326</v>
      </c>
      <c r="E3902" s="240">
        <v>43883.0</v>
      </c>
      <c r="F3902" s="21" t="str">
        <f t="shared" si="288"/>
        <v>Feb-2020</v>
      </c>
      <c r="G3902" s="32" t="s">
        <v>20</v>
      </c>
      <c r="H3902" s="25" t="s">
        <v>287</v>
      </c>
      <c r="I3902" s="25" t="s">
        <v>91</v>
      </c>
      <c r="J3902" s="25" t="s">
        <v>44</v>
      </c>
      <c r="K3902" s="25" t="s">
        <v>9</v>
      </c>
      <c r="L3902" s="25" t="s">
        <v>30</v>
      </c>
      <c r="M3902" s="25" t="s">
        <v>30</v>
      </c>
      <c r="N3902" s="25" t="s">
        <v>69</v>
      </c>
    </row>
    <row r="3903">
      <c r="A3903" s="172"/>
      <c r="B3903" s="171" t="s">
        <v>1281</v>
      </c>
      <c r="C3903" s="171" t="s">
        <v>1322</v>
      </c>
      <c r="D3903" s="279" t="s">
        <v>1326</v>
      </c>
      <c r="E3903" s="240">
        <v>43883.0</v>
      </c>
      <c r="F3903" s="21" t="str">
        <f t="shared" si="288"/>
        <v>Feb-2020</v>
      </c>
      <c r="G3903" s="32" t="s">
        <v>25</v>
      </c>
      <c r="H3903" s="25" t="s">
        <v>287</v>
      </c>
      <c r="I3903" s="25" t="s">
        <v>91</v>
      </c>
      <c r="J3903" s="25" t="s">
        <v>44</v>
      </c>
      <c r="K3903" s="25" t="s">
        <v>9</v>
      </c>
      <c r="L3903" s="25" t="s">
        <v>30</v>
      </c>
      <c r="N3903" s="25" t="s">
        <v>106</v>
      </c>
    </row>
    <row r="3904">
      <c r="A3904" s="172"/>
      <c r="B3904" s="171" t="s">
        <v>1281</v>
      </c>
      <c r="C3904" s="171" t="s">
        <v>1322</v>
      </c>
      <c r="D3904" s="279" t="s">
        <v>1326</v>
      </c>
      <c r="E3904" s="240">
        <v>43883.0</v>
      </c>
      <c r="F3904" s="21" t="str">
        <f t="shared" si="288"/>
        <v>Feb-2020</v>
      </c>
      <c r="G3904" s="32" t="s">
        <v>20</v>
      </c>
      <c r="H3904" s="25" t="s">
        <v>287</v>
      </c>
      <c r="I3904" s="25" t="s">
        <v>238</v>
      </c>
      <c r="J3904" s="25" t="s">
        <v>27</v>
      </c>
      <c r="K3904" s="25" t="s">
        <v>9</v>
      </c>
      <c r="L3904" s="25" t="s">
        <v>30</v>
      </c>
      <c r="M3904" s="25" t="s">
        <v>30</v>
      </c>
      <c r="N3904" s="25" t="s">
        <v>98</v>
      </c>
    </row>
    <row r="3905">
      <c r="A3905" s="172"/>
      <c r="B3905" s="171" t="s">
        <v>1281</v>
      </c>
      <c r="C3905" s="171" t="s">
        <v>1322</v>
      </c>
      <c r="D3905" s="279" t="s">
        <v>1326</v>
      </c>
      <c r="E3905" s="240">
        <v>43883.0</v>
      </c>
      <c r="F3905" s="21" t="str">
        <f t="shared" si="288"/>
        <v>Feb-2020</v>
      </c>
      <c r="G3905" s="32" t="s">
        <v>25</v>
      </c>
      <c r="H3905" s="25" t="s">
        <v>287</v>
      </c>
      <c r="I3905" s="25" t="s">
        <v>238</v>
      </c>
      <c r="J3905" s="25" t="s">
        <v>27</v>
      </c>
      <c r="K3905" s="25" t="s">
        <v>9</v>
      </c>
      <c r="L3905" s="25" t="s">
        <v>30</v>
      </c>
      <c r="N3905" s="25" t="s">
        <v>29</v>
      </c>
    </row>
    <row r="3906">
      <c r="A3906" s="172"/>
      <c r="B3906" s="171" t="s">
        <v>1281</v>
      </c>
      <c r="C3906" s="171" t="s">
        <v>1322</v>
      </c>
      <c r="D3906" s="279" t="s">
        <v>1326</v>
      </c>
      <c r="E3906" s="240">
        <v>43883.0</v>
      </c>
      <c r="F3906" s="21" t="str">
        <f t="shared" si="288"/>
        <v>Feb-2020</v>
      </c>
      <c r="G3906" s="32" t="s">
        <v>20</v>
      </c>
      <c r="H3906" s="25" t="s">
        <v>287</v>
      </c>
      <c r="I3906" s="25" t="s">
        <v>194</v>
      </c>
      <c r="J3906" s="25" t="s">
        <v>23</v>
      </c>
      <c r="K3906" s="25" t="s">
        <v>9</v>
      </c>
      <c r="L3906" s="25" t="s">
        <v>24</v>
      </c>
      <c r="M3906" s="25" t="s">
        <v>24</v>
      </c>
      <c r="N3906" s="25" t="s">
        <v>37</v>
      </c>
    </row>
    <row r="3907">
      <c r="A3907" s="172"/>
      <c r="B3907" s="171" t="s">
        <v>1281</v>
      </c>
      <c r="C3907" s="171" t="s">
        <v>1322</v>
      </c>
      <c r="D3907" s="279" t="s">
        <v>1326</v>
      </c>
      <c r="E3907" s="240">
        <v>43883.0</v>
      </c>
      <c r="F3907" s="21" t="str">
        <f t="shared" si="288"/>
        <v>Feb-2020</v>
      </c>
      <c r="G3907" s="32" t="s">
        <v>25</v>
      </c>
      <c r="H3907" s="25" t="s">
        <v>287</v>
      </c>
      <c r="I3907" s="25" t="s">
        <v>194</v>
      </c>
      <c r="J3907" s="25" t="s">
        <v>23</v>
      </c>
      <c r="K3907" s="25" t="s">
        <v>9</v>
      </c>
      <c r="L3907" s="25" t="s">
        <v>24</v>
      </c>
      <c r="N3907" s="25" t="s">
        <v>106</v>
      </c>
    </row>
    <row r="3908">
      <c r="A3908" s="172"/>
      <c r="B3908" s="171" t="s">
        <v>1281</v>
      </c>
      <c r="C3908" s="171" t="s">
        <v>1322</v>
      </c>
      <c r="D3908" s="279" t="s">
        <v>1326</v>
      </c>
      <c r="E3908" s="240">
        <v>43883.0</v>
      </c>
      <c r="F3908" s="21" t="str">
        <f t="shared" si="288"/>
        <v>Feb-2020</v>
      </c>
      <c r="G3908" s="32" t="s">
        <v>20</v>
      </c>
      <c r="H3908" s="25" t="s">
        <v>35</v>
      </c>
      <c r="I3908" s="25" t="s">
        <v>112</v>
      </c>
      <c r="J3908" s="25" t="s">
        <v>86</v>
      </c>
      <c r="K3908" s="25" t="s">
        <v>9</v>
      </c>
      <c r="L3908" s="25" t="s">
        <v>30</v>
      </c>
      <c r="M3908" s="25" t="s">
        <v>30</v>
      </c>
      <c r="N3908" s="25" t="s">
        <v>69</v>
      </c>
    </row>
    <row r="3909">
      <c r="A3909" s="172"/>
      <c r="B3909" s="171" t="s">
        <v>1281</v>
      </c>
      <c r="C3909" s="171" t="s">
        <v>1322</v>
      </c>
      <c r="D3909" s="279" t="s">
        <v>1326</v>
      </c>
      <c r="E3909" s="240">
        <v>43883.0</v>
      </c>
      <c r="F3909" s="21" t="str">
        <f t="shared" si="288"/>
        <v>Feb-2020</v>
      </c>
      <c r="G3909" s="32" t="s">
        <v>25</v>
      </c>
      <c r="H3909" s="25" t="s">
        <v>35</v>
      </c>
      <c r="I3909" s="25" t="s">
        <v>112</v>
      </c>
      <c r="J3909" s="25" t="s">
        <v>86</v>
      </c>
      <c r="K3909" s="25" t="s">
        <v>9</v>
      </c>
      <c r="L3909" s="25" t="s">
        <v>24</v>
      </c>
      <c r="N3909" s="25" t="s">
        <v>98</v>
      </c>
    </row>
    <row r="3910">
      <c r="A3910" s="172"/>
      <c r="B3910" s="171" t="s">
        <v>1281</v>
      </c>
      <c r="C3910" s="171" t="s">
        <v>1322</v>
      </c>
      <c r="D3910" s="279" t="s">
        <v>1326</v>
      </c>
      <c r="E3910" s="240">
        <v>43883.0</v>
      </c>
      <c r="F3910" s="21" t="str">
        <f t="shared" si="288"/>
        <v>Feb-2020</v>
      </c>
      <c r="G3910" s="32" t="s">
        <v>32</v>
      </c>
      <c r="H3910" s="25" t="s">
        <v>35</v>
      </c>
      <c r="I3910" s="25" t="s">
        <v>112</v>
      </c>
      <c r="J3910" s="25" t="s">
        <v>86</v>
      </c>
      <c r="K3910" s="25" t="s">
        <v>9</v>
      </c>
      <c r="L3910" s="25" t="s">
        <v>30</v>
      </c>
      <c r="N3910" s="25" t="s">
        <v>29</v>
      </c>
    </row>
    <row r="3911">
      <c r="A3911" s="172"/>
      <c r="B3911" s="171" t="s">
        <v>1281</v>
      </c>
      <c r="C3911" s="171" t="s">
        <v>1322</v>
      </c>
      <c r="D3911" s="279" t="s">
        <v>1326</v>
      </c>
      <c r="E3911" s="240">
        <v>43883.0</v>
      </c>
      <c r="F3911" s="21" t="str">
        <f t="shared" si="288"/>
        <v>Feb-2020</v>
      </c>
      <c r="G3911" s="32" t="s">
        <v>20</v>
      </c>
      <c r="H3911" s="25" t="s">
        <v>35</v>
      </c>
      <c r="I3911" s="25" t="s">
        <v>190</v>
      </c>
      <c r="J3911" s="25" t="s">
        <v>9</v>
      </c>
      <c r="K3911" s="25" t="s">
        <v>27</v>
      </c>
      <c r="L3911" s="25" t="s">
        <v>24</v>
      </c>
      <c r="M3911" s="25" t="s">
        <v>24</v>
      </c>
      <c r="N3911" s="25" t="s">
        <v>37</v>
      </c>
    </row>
    <row r="3912">
      <c r="A3912" s="172"/>
      <c r="B3912" s="171" t="s">
        <v>1281</v>
      </c>
      <c r="C3912" s="171" t="s">
        <v>1322</v>
      </c>
      <c r="D3912" s="279" t="s">
        <v>1326</v>
      </c>
      <c r="E3912" s="240">
        <v>43883.0</v>
      </c>
      <c r="F3912" s="21" t="str">
        <f t="shared" si="288"/>
        <v>Feb-2020</v>
      </c>
      <c r="G3912" s="32" t="s">
        <v>25</v>
      </c>
      <c r="H3912" s="25" t="s">
        <v>35</v>
      </c>
      <c r="I3912" s="25" t="s">
        <v>190</v>
      </c>
      <c r="J3912" s="25" t="s">
        <v>9</v>
      </c>
      <c r="K3912" s="25" t="s">
        <v>27</v>
      </c>
      <c r="L3912" s="25" t="s">
        <v>24</v>
      </c>
      <c r="N3912" s="25" t="s">
        <v>99</v>
      </c>
    </row>
    <row r="3913">
      <c r="A3913" s="172"/>
      <c r="B3913" s="171" t="s">
        <v>1281</v>
      </c>
      <c r="C3913" s="171" t="s">
        <v>1322</v>
      </c>
      <c r="D3913" s="279" t="s">
        <v>1326</v>
      </c>
      <c r="E3913" s="240">
        <v>43883.0</v>
      </c>
      <c r="F3913" s="21" t="str">
        <f t="shared" si="288"/>
        <v>Feb-2020</v>
      </c>
      <c r="G3913" s="32" t="s">
        <v>20</v>
      </c>
      <c r="H3913" s="25" t="s">
        <v>35</v>
      </c>
      <c r="I3913" s="25" t="s">
        <v>1330</v>
      </c>
      <c r="J3913" s="25" t="s">
        <v>27</v>
      </c>
      <c r="K3913" s="25" t="s">
        <v>9</v>
      </c>
      <c r="L3913" s="25" t="s">
        <v>30</v>
      </c>
      <c r="M3913" s="25" t="s">
        <v>30</v>
      </c>
      <c r="N3913" s="25" t="s">
        <v>69</v>
      </c>
    </row>
    <row r="3914">
      <c r="A3914" s="172"/>
      <c r="B3914" s="171" t="s">
        <v>1281</v>
      </c>
      <c r="C3914" s="171" t="s">
        <v>1322</v>
      </c>
      <c r="D3914" s="279" t="s">
        <v>1326</v>
      </c>
      <c r="E3914" s="240">
        <v>43883.0</v>
      </c>
      <c r="F3914" s="21" t="str">
        <f t="shared" si="288"/>
        <v>Feb-2020</v>
      </c>
      <c r="G3914" s="32" t="s">
        <v>25</v>
      </c>
      <c r="H3914" s="25" t="s">
        <v>35</v>
      </c>
      <c r="I3914" s="25" t="s">
        <v>1330</v>
      </c>
      <c r="J3914" s="25" t="s">
        <v>27</v>
      </c>
      <c r="K3914" s="25" t="s">
        <v>9</v>
      </c>
      <c r="L3914" s="25" t="s">
        <v>30</v>
      </c>
      <c r="N3914" s="25" t="s">
        <v>99</v>
      </c>
    </row>
    <row r="3915">
      <c r="A3915" s="172"/>
      <c r="B3915" s="171" t="s">
        <v>1281</v>
      </c>
      <c r="C3915" s="171" t="s">
        <v>1322</v>
      </c>
      <c r="D3915" s="279" t="s">
        <v>1326</v>
      </c>
      <c r="E3915" s="240">
        <v>43883.0</v>
      </c>
      <c r="F3915" s="21" t="str">
        <f t="shared" si="288"/>
        <v>Feb-2020</v>
      </c>
      <c r="G3915" s="32" t="s">
        <v>146</v>
      </c>
      <c r="H3915" s="25" t="s">
        <v>35</v>
      </c>
      <c r="I3915" s="25" t="s">
        <v>1314</v>
      </c>
      <c r="J3915" s="25" t="s">
        <v>27</v>
      </c>
      <c r="K3915" s="25" t="s">
        <v>9</v>
      </c>
      <c r="L3915" s="25" t="s">
        <v>24</v>
      </c>
      <c r="M3915" s="25" t="s">
        <v>30</v>
      </c>
      <c r="N3915" s="25" t="s">
        <v>98</v>
      </c>
    </row>
    <row r="3916">
      <c r="A3916" s="172"/>
      <c r="B3916" s="171" t="s">
        <v>1281</v>
      </c>
      <c r="C3916" s="171" t="s">
        <v>1322</v>
      </c>
      <c r="D3916" s="279" t="s">
        <v>1326</v>
      </c>
      <c r="E3916" s="240">
        <v>43883.0</v>
      </c>
      <c r="F3916" s="21" t="str">
        <f t="shared" si="288"/>
        <v>Feb-2020</v>
      </c>
      <c r="G3916" s="22" t="s">
        <v>149</v>
      </c>
      <c r="H3916" s="25" t="s">
        <v>35</v>
      </c>
      <c r="I3916" s="25" t="s">
        <v>1314</v>
      </c>
      <c r="J3916" s="25" t="s">
        <v>27</v>
      </c>
      <c r="K3916" s="25" t="s">
        <v>9</v>
      </c>
      <c r="L3916" s="25" t="s">
        <v>30</v>
      </c>
      <c r="N3916" s="25" t="s">
        <v>106</v>
      </c>
    </row>
    <row r="3917">
      <c r="A3917" s="172"/>
      <c r="B3917" s="171" t="s">
        <v>1281</v>
      </c>
      <c r="C3917" s="171" t="s">
        <v>1322</v>
      </c>
      <c r="D3917" s="279" t="s">
        <v>1326</v>
      </c>
      <c r="E3917" s="240">
        <v>43883.0</v>
      </c>
      <c r="F3917" s="21" t="str">
        <f t="shared" si="288"/>
        <v>Feb-2020</v>
      </c>
      <c r="G3917" s="32" t="s">
        <v>222</v>
      </c>
      <c r="H3917" s="25" t="s">
        <v>35</v>
      </c>
      <c r="I3917" s="25" t="s">
        <v>1314</v>
      </c>
      <c r="J3917" s="25" t="s">
        <v>27</v>
      </c>
      <c r="K3917" s="25" t="s">
        <v>9</v>
      </c>
      <c r="L3917" s="25" t="s">
        <v>30</v>
      </c>
      <c r="N3917" s="25" t="s">
        <v>69</v>
      </c>
    </row>
    <row r="3918">
      <c r="A3918" s="172"/>
      <c r="B3918" s="171" t="s">
        <v>1281</v>
      </c>
      <c r="C3918" s="171" t="s">
        <v>1322</v>
      </c>
      <c r="D3918" s="279" t="s">
        <v>1326</v>
      </c>
      <c r="E3918" s="240">
        <v>43883.0</v>
      </c>
      <c r="F3918" s="21" t="str">
        <f t="shared" si="288"/>
        <v>Feb-2020</v>
      </c>
      <c r="G3918" s="32" t="s">
        <v>467</v>
      </c>
      <c r="H3918" s="25" t="s">
        <v>35</v>
      </c>
      <c r="I3918" s="25" t="s">
        <v>1314</v>
      </c>
      <c r="J3918" s="25" t="s">
        <v>27</v>
      </c>
      <c r="K3918" s="25" t="s">
        <v>9</v>
      </c>
      <c r="L3918" s="25" t="s">
        <v>30</v>
      </c>
      <c r="N3918" s="25" t="s">
        <v>69</v>
      </c>
    </row>
    <row r="3919">
      <c r="A3919" s="172"/>
      <c r="B3919" s="171" t="s">
        <v>1281</v>
      </c>
      <c r="C3919" s="171" t="s">
        <v>1322</v>
      </c>
      <c r="D3919" s="279" t="s">
        <v>1326</v>
      </c>
      <c r="E3919" s="240">
        <v>43883.0</v>
      </c>
      <c r="F3919" s="21" t="str">
        <f t="shared" si="288"/>
        <v>Feb-2020</v>
      </c>
      <c r="G3919" s="32" t="s">
        <v>146</v>
      </c>
      <c r="H3919" s="25" t="s">
        <v>35</v>
      </c>
      <c r="I3919" s="25" t="s">
        <v>142</v>
      </c>
      <c r="J3919" s="25" t="s">
        <v>44</v>
      </c>
      <c r="K3919" s="25" t="s">
        <v>9</v>
      </c>
      <c r="L3919" s="25" t="s">
        <v>30</v>
      </c>
      <c r="M3919" s="25" t="s">
        <v>24</v>
      </c>
      <c r="N3919" s="25" t="s">
        <v>69</v>
      </c>
    </row>
    <row r="3920">
      <c r="A3920" s="172"/>
      <c r="B3920" s="171" t="s">
        <v>1281</v>
      </c>
      <c r="C3920" s="171" t="s">
        <v>1322</v>
      </c>
      <c r="D3920" s="279" t="s">
        <v>1326</v>
      </c>
      <c r="E3920" s="240">
        <v>43883.0</v>
      </c>
      <c r="F3920" s="21" t="str">
        <f t="shared" si="288"/>
        <v>Feb-2020</v>
      </c>
      <c r="G3920" s="22" t="s">
        <v>149</v>
      </c>
      <c r="H3920" s="25" t="s">
        <v>35</v>
      </c>
      <c r="I3920" s="25" t="s">
        <v>142</v>
      </c>
      <c r="J3920" s="25" t="s">
        <v>44</v>
      </c>
      <c r="K3920" s="25" t="s">
        <v>9</v>
      </c>
      <c r="L3920" s="25" t="s">
        <v>24</v>
      </c>
      <c r="N3920" s="25" t="s">
        <v>29</v>
      </c>
    </row>
    <row r="3921">
      <c r="A3921" s="172"/>
      <c r="B3921" s="171" t="s">
        <v>1281</v>
      </c>
      <c r="C3921" s="171" t="s">
        <v>1322</v>
      </c>
      <c r="D3921" s="279" t="s">
        <v>1326</v>
      </c>
      <c r="E3921" s="240">
        <v>43883.0</v>
      </c>
      <c r="F3921" s="21" t="str">
        <f t="shared" si="288"/>
        <v>Feb-2020</v>
      </c>
      <c r="G3921" s="32" t="s">
        <v>222</v>
      </c>
      <c r="H3921" s="25" t="s">
        <v>35</v>
      </c>
      <c r="I3921" s="25" t="s">
        <v>142</v>
      </c>
      <c r="J3921" s="25" t="s">
        <v>44</v>
      </c>
      <c r="K3921" s="25" t="s">
        <v>9</v>
      </c>
      <c r="L3921" s="25" t="s">
        <v>30</v>
      </c>
      <c r="N3921" s="25" t="s">
        <v>37</v>
      </c>
    </row>
    <row r="3922">
      <c r="A3922" s="172"/>
      <c r="B3922" s="171" t="s">
        <v>1281</v>
      </c>
      <c r="C3922" s="171" t="s">
        <v>1322</v>
      </c>
      <c r="D3922" s="279" t="s">
        <v>1326</v>
      </c>
      <c r="E3922" s="240">
        <v>43883.0</v>
      </c>
      <c r="F3922" s="21" t="str">
        <f t="shared" si="288"/>
        <v>Feb-2020</v>
      </c>
      <c r="G3922" s="32" t="s">
        <v>467</v>
      </c>
      <c r="H3922" s="25" t="s">
        <v>35</v>
      </c>
      <c r="I3922" s="25" t="s">
        <v>142</v>
      </c>
      <c r="J3922" s="25" t="s">
        <v>44</v>
      </c>
      <c r="K3922" s="25" t="s">
        <v>9</v>
      </c>
      <c r="L3922" s="25" t="s">
        <v>24</v>
      </c>
      <c r="N3922" s="25" t="s">
        <v>98</v>
      </c>
    </row>
    <row r="3923">
      <c r="A3923" s="172"/>
      <c r="B3923" s="171" t="s">
        <v>1281</v>
      </c>
      <c r="C3923" s="171" t="s">
        <v>1322</v>
      </c>
      <c r="D3923" s="279" t="s">
        <v>1326</v>
      </c>
      <c r="E3923" s="240">
        <v>43883.0</v>
      </c>
      <c r="F3923" s="21" t="str">
        <f t="shared" si="288"/>
        <v>Feb-2020</v>
      </c>
      <c r="G3923" s="32" t="s">
        <v>480</v>
      </c>
      <c r="H3923" s="25" t="s">
        <v>35</v>
      </c>
      <c r="I3923" s="25" t="s">
        <v>142</v>
      </c>
      <c r="J3923" s="25" t="s">
        <v>44</v>
      </c>
      <c r="K3923" s="25" t="s">
        <v>9</v>
      </c>
      <c r="L3923" s="25" t="s">
        <v>24</v>
      </c>
      <c r="N3923" s="25" t="s">
        <v>106</v>
      </c>
    </row>
    <row r="3924">
      <c r="A3924" s="94"/>
      <c r="F3924" s="21"/>
    </row>
    <row r="3925">
      <c r="A3925" s="279" t="s">
        <v>1331</v>
      </c>
      <c r="B3925" s="171" t="s">
        <v>1292</v>
      </c>
      <c r="C3925" s="171" t="s">
        <v>427</v>
      </c>
      <c r="D3925" s="279" t="s">
        <v>1331</v>
      </c>
      <c r="E3925" s="240">
        <v>43886.0</v>
      </c>
      <c r="F3925" s="21" t="str">
        <f t="shared" ref="F3925:F3941" si="289">TEXT(E3917:E3925, "mmm") &amp; "-" &amp; TEXT(E3917:E3925, "yyyy") </f>
        <v>Feb-2020</v>
      </c>
      <c r="G3925" s="32" t="s">
        <v>20</v>
      </c>
      <c r="H3925" s="25" t="s">
        <v>35</v>
      </c>
      <c r="I3925" s="25" t="s">
        <v>563</v>
      </c>
      <c r="J3925" s="25" t="s">
        <v>44</v>
      </c>
      <c r="K3925" s="25" t="s">
        <v>9</v>
      </c>
      <c r="L3925" s="25" t="s">
        <v>30</v>
      </c>
      <c r="M3925" s="25" t="s">
        <v>30</v>
      </c>
      <c r="N3925" s="25" t="s">
        <v>98</v>
      </c>
    </row>
    <row r="3926">
      <c r="A3926" s="171" t="s">
        <v>1292</v>
      </c>
      <c r="B3926" s="171" t="s">
        <v>1292</v>
      </c>
      <c r="C3926" s="171" t="s">
        <v>427</v>
      </c>
      <c r="D3926" s="279" t="s">
        <v>1331</v>
      </c>
      <c r="E3926" s="240">
        <v>43886.0</v>
      </c>
      <c r="F3926" s="21" t="str">
        <f t="shared" si="289"/>
        <v>Feb-2020</v>
      </c>
      <c r="G3926" s="32" t="s">
        <v>25</v>
      </c>
      <c r="H3926" s="25" t="s">
        <v>35</v>
      </c>
      <c r="I3926" s="25" t="s">
        <v>563</v>
      </c>
      <c r="J3926" s="25" t="s">
        <v>44</v>
      </c>
      <c r="K3926" s="25" t="s">
        <v>9</v>
      </c>
      <c r="L3926" s="25" t="s">
        <v>30</v>
      </c>
      <c r="N3926" s="25" t="s">
        <v>106</v>
      </c>
    </row>
    <row r="3927">
      <c r="A3927" s="240">
        <v>43886.0</v>
      </c>
      <c r="B3927" s="171" t="s">
        <v>1292</v>
      </c>
      <c r="C3927" s="171" t="s">
        <v>427</v>
      </c>
      <c r="D3927" s="279" t="s">
        <v>1331</v>
      </c>
      <c r="E3927" s="240">
        <v>43886.0</v>
      </c>
      <c r="F3927" s="21" t="str">
        <f t="shared" si="289"/>
        <v>Feb-2020</v>
      </c>
      <c r="G3927" s="32" t="s">
        <v>20</v>
      </c>
      <c r="H3927" s="25" t="s">
        <v>35</v>
      </c>
      <c r="I3927" s="25" t="s">
        <v>497</v>
      </c>
      <c r="J3927" s="25" t="s">
        <v>27</v>
      </c>
      <c r="K3927" s="25" t="s">
        <v>27</v>
      </c>
      <c r="L3927" s="25" t="s">
        <v>24</v>
      </c>
      <c r="M3927" s="25" t="s">
        <v>24</v>
      </c>
      <c r="N3927" s="25" t="s">
        <v>69</v>
      </c>
    </row>
    <row r="3928">
      <c r="A3928" s="301" t="s">
        <v>1332</v>
      </c>
      <c r="B3928" s="171" t="s">
        <v>1292</v>
      </c>
      <c r="C3928" s="171" t="s">
        <v>427</v>
      </c>
      <c r="D3928" s="279" t="s">
        <v>1331</v>
      </c>
      <c r="E3928" s="240">
        <v>43886.0</v>
      </c>
      <c r="F3928" s="21" t="str">
        <f t="shared" si="289"/>
        <v>Feb-2020</v>
      </c>
      <c r="G3928" s="32" t="s">
        <v>25</v>
      </c>
      <c r="H3928" s="25" t="s">
        <v>35</v>
      </c>
      <c r="I3928" s="25" t="s">
        <v>497</v>
      </c>
      <c r="J3928" s="25" t="s">
        <v>27</v>
      </c>
      <c r="K3928" s="25" t="s">
        <v>9</v>
      </c>
      <c r="L3928" s="25" t="s">
        <v>30</v>
      </c>
      <c r="N3928" s="25" t="s">
        <v>106</v>
      </c>
    </row>
    <row r="3929">
      <c r="A3929" s="171" t="s">
        <v>427</v>
      </c>
      <c r="B3929" s="171" t="s">
        <v>1292</v>
      </c>
      <c r="C3929" s="171" t="s">
        <v>427</v>
      </c>
      <c r="D3929" s="279" t="s">
        <v>1331</v>
      </c>
      <c r="E3929" s="240">
        <v>43886.0</v>
      </c>
      <c r="F3929" s="21" t="str">
        <f t="shared" si="289"/>
        <v>Feb-2020</v>
      </c>
      <c r="G3929" s="32" t="s">
        <v>32</v>
      </c>
      <c r="H3929" s="25" t="s">
        <v>35</v>
      </c>
      <c r="I3929" s="25" t="s">
        <v>497</v>
      </c>
      <c r="J3929" s="25" t="s">
        <v>27</v>
      </c>
      <c r="K3929" s="25" t="s">
        <v>9</v>
      </c>
      <c r="L3929" s="25" t="s">
        <v>24</v>
      </c>
      <c r="N3929" s="25" t="s">
        <v>98</v>
      </c>
    </row>
    <row r="3930">
      <c r="A3930" s="172"/>
      <c r="B3930" s="171" t="s">
        <v>1292</v>
      </c>
      <c r="C3930" s="171" t="s">
        <v>427</v>
      </c>
      <c r="D3930" s="279" t="s">
        <v>1331</v>
      </c>
      <c r="E3930" s="240">
        <v>43886.0</v>
      </c>
      <c r="F3930" s="21" t="str">
        <f t="shared" si="289"/>
        <v>Feb-2020</v>
      </c>
      <c r="G3930" s="32" t="s">
        <v>20</v>
      </c>
      <c r="H3930" s="25" t="s">
        <v>35</v>
      </c>
      <c r="I3930" s="25" t="s">
        <v>415</v>
      </c>
      <c r="J3930" s="25" t="s">
        <v>86</v>
      </c>
      <c r="K3930" s="25" t="s">
        <v>9</v>
      </c>
      <c r="L3930" s="25" t="s">
        <v>30</v>
      </c>
      <c r="M3930" s="25" t="s">
        <v>30</v>
      </c>
      <c r="N3930" s="25" t="s">
        <v>99</v>
      </c>
    </row>
    <row r="3931">
      <c r="A3931" s="172"/>
      <c r="B3931" s="171" t="s">
        <v>1292</v>
      </c>
      <c r="C3931" s="171" t="s">
        <v>427</v>
      </c>
      <c r="D3931" s="279" t="s">
        <v>1331</v>
      </c>
      <c r="E3931" s="240">
        <v>43886.0</v>
      </c>
      <c r="F3931" s="21" t="str">
        <f t="shared" si="289"/>
        <v>Feb-2020</v>
      </c>
      <c r="G3931" s="32" t="s">
        <v>25</v>
      </c>
      <c r="H3931" s="25" t="s">
        <v>35</v>
      </c>
      <c r="I3931" s="25" t="s">
        <v>415</v>
      </c>
      <c r="J3931" s="25" t="s">
        <v>86</v>
      </c>
      <c r="K3931" s="25" t="s">
        <v>9</v>
      </c>
      <c r="L3931" s="25" t="s">
        <v>30</v>
      </c>
      <c r="N3931" s="25" t="s">
        <v>69</v>
      </c>
    </row>
    <row r="3932">
      <c r="A3932" s="172"/>
      <c r="B3932" s="171" t="s">
        <v>1292</v>
      </c>
      <c r="C3932" s="171" t="s">
        <v>427</v>
      </c>
      <c r="D3932" s="279" t="s">
        <v>1331</v>
      </c>
      <c r="E3932" s="240">
        <v>43886.0</v>
      </c>
      <c r="F3932" s="21" t="str">
        <f t="shared" si="289"/>
        <v>Feb-2020</v>
      </c>
      <c r="G3932" s="32" t="s">
        <v>146</v>
      </c>
      <c r="H3932" s="25" t="s">
        <v>35</v>
      </c>
      <c r="I3932" s="25" t="s">
        <v>933</v>
      </c>
      <c r="J3932" s="25" t="s">
        <v>71</v>
      </c>
      <c r="K3932" s="25" t="s">
        <v>9</v>
      </c>
      <c r="L3932" s="25" t="s">
        <v>30</v>
      </c>
      <c r="M3932" s="25" t="s">
        <v>30</v>
      </c>
      <c r="N3932" s="25" t="s">
        <v>98</v>
      </c>
    </row>
    <row r="3933">
      <c r="A3933" s="172"/>
      <c r="B3933" s="171" t="s">
        <v>1292</v>
      </c>
      <c r="C3933" s="171" t="s">
        <v>427</v>
      </c>
      <c r="D3933" s="279" t="s">
        <v>1331</v>
      </c>
      <c r="E3933" s="240">
        <v>43886.0</v>
      </c>
      <c r="F3933" s="21" t="str">
        <f t="shared" si="289"/>
        <v>Feb-2020</v>
      </c>
      <c r="G3933" s="22" t="s">
        <v>149</v>
      </c>
      <c r="H3933" s="25" t="s">
        <v>35</v>
      </c>
      <c r="I3933" s="25" t="s">
        <v>933</v>
      </c>
      <c r="J3933" s="25" t="s">
        <v>71</v>
      </c>
      <c r="K3933" s="25" t="s">
        <v>9</v>
      </c>
      <c r="L3933" s="25" t="s">
        <v>24</v>
      </c>
      <c r="N3933" s="25" t="s">
        <v>29</v>
      </c>
    </row>
    <row r="3934">
      <c r="A3934" s="172"/>
      <c r="B3934" s="171" t="s">
        <v>1292</v>
      </c>
      <c r="C3934" s="171" t="s">
        <v>427</v>
      </c>
      <c r="D3934" s="279" t="s">
        <v>1331</v>
      </c>
      <c r="E3934" s="240">
        <v>43886.0</v>
      </c>
      <c r="F3934" s="21" t="str">
        <f t="shared" si="289"/>
        <v>Feb-2020</v>
      </c>
      <c r="G3934" s="32" t="s">
        <v>222</v>
      </c>
      <c r="H3934" s="25" t="s">
        <v>35</v>
      </c>
      <c r="I3934" s="25" t="s">
        <v>933</v>
      </c>
      <c r="J3934" s="25" t="s">
        <v>23</v>
      </c>
      <c r="K3934" s="25" t="s">
        <v>9</v>
      </c>
      <c r="L3934" s="25" t="s">
        <v>30</v>
      </c>
      <c r="N3934" s="25" t="s">
        <v>69</v>
      </c>
    </row>
    <row r="3935">
      <c r="A3935" s="172"/>
      <c r="B3935" s="171" t="s">
        <v>1292</v>
      </c>
      <c r="C3935" s="171" t="s">
        <v>427</v>
      </c>
      <c r="D3935" s="279" t="s">
        <v>1331</v>
      </c>
      <c r="E3935" s="240">
        <v>43886.0</v>
      </c>
      <c r="F3935" s="21" t="str">
        <f t="shared" si="289"/>
        <v>Feb-2020</v>
      </c>
      <c r="G3935" s="32" t="s">
        <v>467</v>
      </c>
      <c r="H3935" s="25" t="s">
        <v>35</v>
      </c>
      <c r="I3935" s="25" t="s">
        <v>933</v>
      </c>
      <c r="J3935" s="25" t="s">
        <v>71</v>
      </c>
      <c r="K3935" s="25" t="s">
        <v>9</v>
      </c>
      <c r="L3935" s="25" t="s">
        <v>24</v>
      </c>
      <c r="N3935" s="25" t="s">
        <v>37</v>
      </c>
    </row>
    <row r="3936">
      <c r="A3936" s="172"/>
      <c r="B3936" s="171" t="s">
        <v>1292</v>
      </c>
      <c r="C3936" s="171" t="s">
        <v>427</v>
      </c>
      <c r="D3936" s="279" t="s">
        <v>1331</v>
      </c>
      <c r="E3936" s="240">
        <v>43886.0</v>
      </c>
      <c r="F3936" s="21" t="str">
        <f t="shared" si="289"/>
        <v>Feb-2020</v>
      </c>
      <c r="G3936" s="32" t="s">
        <v>480</v>
      </c>
      <c r="H3936" s="25" t="s">
        <v>35</v>
      </c>
      <c r="I3936" s="25" t="s">
        <v>933</v>
      </c>
      <c r="J3936" s="25" t="s">
        <v>71</v>
      </c>
      <c r="K3936" s="25" t="s">
        <v>9</v>
      </c>
      <c r="L3936" s="25" t="s">
        <v>30</v>
      </c>
      <c r="N3936" s="25" t="s">
        <v>106</v>
      </c>
    </row>
    <row r="3937">
      <c r="A3937" s="172"/>
      <c r="B3937" s="171" t="s">
        <v>1292</v>
      </c>
      <c r="C3937" s="171" t="s">
        <v>427</v>
      </c>
      <c r="D3937" s="279" t="s">
        <v>1331</v>
      </c>
      <c r="E3937" s="240">
        <v>43886.0</v>
      </c>
      <c r="F3937" s="21" t="str">
        <f t="shared" si="289"/>
        <v>Feb-2020</v>
      </c>
      <c r="G3937" s="32" t="s">
        <v>146</v>
      </c>
      <c r="H3937" s="25" t="s">
        <v>35</v>
      </c>
      <c r="I3937" s="25" t="s">
        <v>871</v>
      </c>
      <c r="J3937" s="25" t="s">
        <v>138</v>
      </c>
      <c r="K3937" s="25" t="s">
        <v>9</v>
      </c>
      <c r="L3937" s="25" t="s">
        <v>24</v>
      </c>
      <c r="M3937" s="25" t="s">
        <v>24</v>
      </c>
      <c r="N3937" s="25" t="s">
        <v>99</v>
      </c>
    </row>
    <row r="3938">
      <c r="A3938" s="172"/>
      <c r="B3938" s="171" t="s">
        <v>1292</v>
      </c>
      <c r="C3938" s="171" t="s">
        <v>427</v>
      </c>
      <c r="D3938" s="279" t="s">
        <v>1331</v>
      </c>
      <c r="E3938" s="240">
        <v>43886.0</v>
      </c>
      <c r="F3938" s="21" t="str">
        <f t="shared" si="289"/>
        <v>Feb-2020</v>
      </c>
      <c r="G3938" s="22" t="s">
        <v>149</v>
      </c>
      <c r="H3938" s="25" t="s">
        <v>35</v>
      </c>
      <c r="I3938" s="25" t="s">
        <v>871</v>
      </c>
      <c r="J3938" s="25" t="s">
        <v>27</v>
      </c>
      <c r="K3938" s="25" t="s">
        <v>9</v>
      </c>
      <c r="L3938" s="25" t="s">
        <v>30</v>
      </c>
      <c r="N3938" s="25" t="s">
        <v>69</v>
      </c>
    </row>
    <row r="3939">
      <c r="A3939" s="172"/>
      <c r="B3939" s="171" t="s">
        <v>1292</v>
      </c>
      <c r="C3939" s="171" t="s">
        <v>427</v>
      </c>
      <c r="D3939" s="279" t="s">
        <v>1331</v>
      </c>
      <c r="E3939" s="240">
        <v>43886.0</v>
      </c>
      <c r="F3939" s="21" t="str">
        <f t="shared" si="289"/>
        <v>Feb-2020</v>
      </c>
      <c r="G3939" s="32" t="s">
        <v>222</v>
      </c>
      <c r="H3939" s="25" t="s">
        <v>35</v>
      </c>
      <c r="I3939" s="25" t="s">
        <v>871</v>
      </c>
      <c r="J3939" s="25" t="s">
        <v>138</v>
      </c>
      <c r="K3939" s="25" t="s">
        <v>9</v>
      </c>
      <c r="L3939" s="25" t="s">
        <v>24</v>
      </c>
      <c r="N3939" s="25" t="s">
        <v>29</v>
      </c>
    </row>
    <row r="3940">
      <c r="A3940" s="172"/>
      <c r="B3940" s="171" t="s">
        <v>1292</v>
      </c>
      <c r="C3940" s="171" t="s">
        <v>427</v>
      </c>
      <c r="D3940" s="279" t="s">
        <v>1331</v>
      </c>
      <c r="E3940" s="240">
        <v>43886.0</v>
      </c>
      <c r="F3940" s="21" t="str">
        <f t="shared" si="289"/>
        <v>Feb-2020</v>
      </c>
      <c r="G3940" s="32" t="s">
        <v>467</v>
      </c>
      <c r="H3940" s="25" t="s">
        <v>35</v>
      </c>
      <c r="I3940" s="25" t="s">
        <v>871</v>
      </c>
      <c r="J3940" s="25" t="s">
        <v>27</v>
      </c>
      <c r="K3940" s="25" t="s">
        <v>9</v>
      </c>
      <c r="L3940" s="25" t="s">
        <v>30</v>
      </c>
      <c r="N3940" s="25" t="s">
        <v>98</v>
      </c>
    </row>
    <row r="3941">
      <c r="A3941" s="172"/>
      <c r="B3941" s="171" t="s">
        <v>1292</v>
      </c>
      <c r="C3941" s="171" t="s">
        <v>427</v>
      </c>
      <c r="D3941" s="279" t="s">
        <v>1331</v>
      </c>
      <c r="E3941" s="240">
        <v>43886.0</v>
      </c>
      <c r="F3941" s="21" t="str">
        <f t="shared" si="289"/>
        <v>Feb-2020</v>
      </c>
      <c r="G3941" s="32" t="s">
        <v>480</v>
      </c>
      <c r="H3941" s="25" t="s">
        <v>35</v>
      </c>
      <c r="I3941" s="25" t="s">
        <v>871</v>
      </c>
      <c r="J3941" s="25" t="s">
        <v>138</v>
      </c>
      <c r="K3941" s="25" t="s">
        <v>9</v>
      </c>
      <c r="L3941" s="25" t="s">
        <v>24</v>
      </c>
      <c r="N3941" s="25" t="s">
        <v>106</v>
      </c>
    </row>
    <row r="3942">
      <c r="A3942" s="94"/>
      <c r="F3942" s="21"/>
    </row>
    <row r="3943">
      <c r="A3943" s="279" t="s">
        <v>1333</v>
      </c>
      <c r="B3943" s="171" t="s">
        <v>1250</v>
      </c>
      <c r="C3943" s="171" t="s">
        <v>84</v>
      </c>
      <c r="D3943" s="279" t="s">
        <v>1333</v>
      </c>
      <c r="E3943" s="240">
        <v>43890.0</v>
      </c>
      <c r="F3943" s="21" t="str">
        <f t="shared" ref="F3943:F3977" si="290">TEXT(E3935:E3943, "mmm") &amp; "-" &amp; TEXT(E3935:E3943, "yyyy") </f>
        <v>Feb-2020</v>
      </c>
      <c r="G3943" s="32" t="s">
        <v>20</v>
      </c>
      <c r="H3943" s="25" t="s">
        <v>287</v>
      </c>
      <c r="I3943" s="25" t="s">
        <v>1282</v>
      </c>
      <c r="J3943" s="25" t="s">
        <v>44</v>
      </c>
      <c r="K3943" s="25" t="s">
        <v>9</v>
      </c>
      <c r="L3943" s="25" t="s">
        <v>30</v>
      </c>
      <c r="M3943" s="25" t="s">
        <v>24</v>
      </c>
      <c r="N3943" s="25" t="s">
        <v>69</v>
      </c>
    </row>
    <row r="3944">
      <c r="A3944" s="171" t="s">
        <v>1250</v>
      </c>
      <c r="B3944" s="171" t="s">
        <v>1250</v>
      </c>
      <c r="C3944" s="171" t="s">
        <v>84</v>
      </c>
      <c r="D3944" s="279" t="s">
        <v>1333</v>
      </c>
      <c r="E3944" s="240">
        <v>43890.0</v>
      </c>
      <c r="F3944" s="21" t="str">
        <f t="shared" si="290"/>
        <v>Feb-2020</v>
      </c>
      <c r="G3944" s="32" t="s">
        <v>25</v>
      </c>
      <c r="H3944" s="25" t="s">
        <v>287</v>
      </c>
      <c r="I3944" s="25" t="s">
        <v>1282</v>
      </c>
      <c r="J3944" s="25" t="s">
        <v>44</v>
      </c>
      <c r="K3944" s="25" t="s">
        <v>9</v>
      </c>
      <c r="L3944" s="25" t="s">
        <v>24</v>
      </c>
      <c r="N3944" s="25" t="s">
        <v>98</v>
      </c>
    </row>
    <row r="3945">
      <c r="A3945" s="240">
        <v>43890.0</v>
      </c>
      <c r="B3945" s="171" t="s">
        <v>1250</v>
      </c>
      <c r="C3945" s="171" t="s">
        <v>84</v>
      </c>
      <c r="D3945" s="279" t="s">
        <v>1333</v>
      </c>
      <c r="E3945" s="240">
        <v>43890.0</v>
      </c>
      <c r="F3945" s="21" t="str">
        <f t="shared" si="290"/>
        <v>Feb-2020</v>
      </c>
      <c r="G3945" s="32" t="s">
        <v>32</v>
      </c>
      <c r="H3945" s="25" t="s">
        <v>287</v>
      </c>
      <c r="I3945" s="25" t="s">
        <v>1282</v>
      </c>
      <c r="J3945" s="25" t="s">
        <v>44</v>
      </c>
      <c r="K3945" s="25" t="s">
        <v>9</v>
      </c>
      <c r="L3945" s="25" t="s">
        <v>24</v>
      </c>
      <c r="N3945" s="25" t="s">
        <v>29</v>
      </c>
    </row>
    <row r="3946">
      <c r="A3946" s="301" t="s">
        <v>1334</v>
      </c>
      <c r="B3946" s="171" t="s">
        <v>1250</v>
      </c>
      <c r="C3946" s="171" t="s">
        <v>84</v>
      </c>
      <c r="D3946" s="279" t="s">
        <v>1333</v>
      </c>
      <c r="E3946" s="240">
        <v>43890.0</v>
      </c>
      <c r="F3946" s="21" t="str">
        <f t="shared" si="290"/>
        <v>Feb-2020</v>
      </c>
      <c r="G3946" s="32" t="s">
        <v>20</v>
      </c>
      <c r="H3946" s="25" t="s">
        <v>287</v>
      </c>
      <c r="I3946" s="25" t="s">
        <v>1335</v>
      </c>
      <c r="J3946" s="25" t="s">
        <v>27</v>
      </c>
      <c r="K3946" s="25" t="s">
        <v>9</v>
      </c>
      <c r="L3946" s="25" t="s">
        <v>30</v>
      </c>
      <c r="M3946" s="25" t="s">
        <v>30</v>
      </c>
      <c r="N3946" s="25" t="s">
        <v>37</v>
      </c>
    </row>
    <row r="3947">
      <c r="A3947" s="171" t="s">
        <v>1336</v>
      </c>
      <c r="B3947" s="171" t="s">
        <v>1250</v>
      </c>
      <c r="C3947" s="171" t="s">
        <v>84</v>
      </c>
      <c r="D3947" s="279" t="s">
        <v>1333</v>
      </c>
      <c r="E3947" s="240">
        <v>43890.0</v>
      </c>
      <c r="F3947" s="21" t="str">
        <f t="shared" si="290"/>
        <v>Feb-2020</v>
      </c>
      <c r="G3947" s="32" t="s">
        <v>25</v>
      </c>
      <c r="H3947" s="25" t="s">
        <v>287</v>
      </c>
      <c r="I3947" s="25" t="s">
        <v>1335</v>
      </c>
      <c r="J3947" s="25" t="s">
        <v>27</v>
      </c>
      <c r="K3947" s="25" t="s">
        <v>9</v>
      </c>
      <c r="L3947" s="25" t="s">
        <v>30</v>
      </c>
      <c r="N3947" s="25" t="s">
        <v>29</v>
      </c>
    </row>
    <row r="3948">
      <c r="A3948" s="337" t="s">
        <v>1337</v>
      </c>
      <c r="B3948" s="171" t="s">
        <v>1250</v>
      </c>
      <c r="C3948" s="171" t="s">
        <v>84</v>
      </c>
      <c r="D3948" s="279" t="s">
        <v>1333</v>
      </c>
      <c r="E3948" s="240">
        <v>43890.0</v>
      </c>
      <c r="F3948" s="21" t="str">
        <f t="shared" si="290"/>
        <v>Feb-2020</v>
      </c>
      <c r="G3948" s="32" t="s">
        <v>20</v>
      </c>
      <c r="H3948" s="25" t="s">
        <v>287</v>
      </c>
      <c r="I3948" s="25" t="s">
        <v>1338</v>
      </c>
      <c r="J3948" s="25" t="s">
        <v>44</v>
      </c>
      <c r="K3948" s="25" t="s">
        <v>9</v>
      </c>
      <c r="L3948" s="25" t="s">
        <v>30</v>
      </c>
      <c r="M3948" s="25" t="s">
        <v>30</v>
      </c>
      <c r="N3948" s="25" t="s">
        <v>69</v>
      </c>
    </row>
    <row r="3949">
      <c r="A3949" s="171" t="s">
        <v>84</v>
      </c>
      <c r="B3949" s="171" t="s">
        <v>1250</v>
      </c>
      <c r="C3949" s="171" t="s">
        <v>84</v>
      </c>
      <c r="D3949" s="279" t="s">
        <v>1333</v>
      </c>
      <c r="E3949" s="240">
        <v>43890.0</v>
      </c>
      <c r="F3949" s="21" t="str">
        <f t="shared" si="290"/>
        <v>Feb-2020</v>
      </c>
      <c r="G3949" s="32" t="s">
        <v>25</v>
      </c>
      <c r="H3949" s="25" t="s">
        <v>287</v>
      </c>
      <c r="I3949" s="25" t="s">
        <v>1338</v>
      </c>
      <c r="J3949" s="25" t="s">
        <v>44</v>
      </c>
      <c r="K3949" s="25" t="s">
        <v>9</v>
      </c>
      <c r="L3949" s="25" t="s">
        <v>30</v>
      </c>
      <c r="N3949" s="25" t="s">
        <v>98</v>
      </c>
    </row>
    <row r="3950">
      <c r="A3950" s="172"/>
      <c r="B3950" s="171" t="s">
        <v>1250</v>
      </c>
      <c r="C3950" s="171" t="s">
        <v>84</v>
      </c>
      <c r="D3950" s="279" t="s">
        <v>1333</v>
      </c>
      <c r="E3950" s="240">
        <v>43890.0</v>
      </c>
      <c r="F3950" s="21" t="str">
        <f t="shared" si="290"/>
        <v>Feb-2020</v>
      </c>
      <c r="G3950" s="32" t="s">
        <v>20</v>
      </c>
      <c r="H3950" s="25" t="s">
        <v>287</v>
      </c>
      <c r="I3950" s="25" t="s">
        <v>394</v>
      </c>
      <c r="J3950" s="25" t="s">
        <v>27</v>
      </c>
      <c r="K3950" s="25" t="s">
        <v>9</v>
      </c>
      <c r="L3950" s="25" t="s">
        <v>24</v>
      </c>
      <c r="M3950" s="25" t="s">
        <v>24</v>
      </c>
      <c r="N3950" s="25" t="s">
        <v>69</v>
      </c>
    </row>
    <row r="3951">
      <c r="A3951" s="172"/>
      <c r="B3951" s="171" t="s">
        <v>1250</v>
      </c>
      <c r="C3951" s="171" t="s">
        <v>84</v>
      </c>
      <c r="D3951" s="279" t="s">
        <v>1333</v>
      </c>
      <c r="E3951" s="240">
        <v>43890.0</v>
      </c>
      <c r="F3951" s="21" t="str">
        <f t="shared" si="290"/>
        <v>Feb-2020</v>
      </c>
      <c r="G3951" s="32" t="s">
        <v>25</v>
      </c>
      <c r="H3951" s="25" t="s">
        <v>287</v>
      </c>
      <c r="I3951" s="25" t="s">
        <v>394</v>
      </c>
      <c r="J3951" s="25" t="s">
        <v>27</v>
      </c>
      <c r="K3951" s="25" t="s">
        <v>9</v>
      </c>
      <c r="L3951" s="25" t="s">
        <v>24</v>
      </c>
      <c r="N3951" s="25" t="s">
        <v>106</v>
      </c>
    </row>
    <row r="3952">
      <c r="A3952" s="172"/>
      <c r="B3952" s="171" t="s">
        <v>1250</v>
      </c>
      <c r="C3952" s="171" t="s">
        <v>84</v>
      </c>
      <c r="D3952" s="279" t="s">
        <v>1333</v>
      </c>
      <c r="E3952" s="240">
        <v>43890.0</v>
      </c>
      <c r="F3952" s="21" t="str">
        <f t="shared" si="290"/>
        <v>Feb-2020</v>
      </c>
      <c r="G3952" s="32" t="s">
        <v>20</v>
      </c>
      <c r="H3952" s="25" t="s">
        <v>35</v>
      </c>
      <c r="I3952" s="25" t="s">
        <v>1072</v>
      </c>
      <c r="J3952" s="25" t="s">
        <v>27</v>
      </c>
      <c r="K3952" s="25" t="s">
        <v>9</v>
      </c>
      <c r="L3952" s="25" t="s">
        <v>30</v>
      </c>
      <c r="M3952" s="25" t="s">
        <v>30</v>
      </c>
      <c r="N3952" s="25" t="s">
        <v>98</v>
      </c>
    </row>
    <row r="3953">
      <c r="A3953" s="172"/>
      <c r="B3953" s="171" t="s">
        <v>1250</v>
      </c>
      <c r="C3953" s="171" t="s">
        <v>84</v>
      </c>
      <c r="D3953" s="279" t="s">
        <v>1333</v>
      </c>
      <c r="E3953" s="240">
        <v>43890.0</v>
      </c>
      <c r="F3953" s="21" t="str">
        <f t="shared" si="290"/>
        <v>Feb-2020</v>
      </c>
      <c r="G3953" s="32" t="s">
        <v>25</v>
      </c>
      <c r="H3953" s="25" t="s">
        <v>35</v>
      </c>
      <c r="I3953" s="25" t="s">
        <v>1072</v>
      </c>
      <c r="J3953" s="25" t="s">
        <v>27</v>
      </c>
      <c r="K3953" s="25" t="s">
        <v>9</v>
      </c>
      <c r="L3953" s="25" t="s">
        <v>30</v>
      </c>
      <c r="N3953" s="25" t="s">
        <v>69</v>
      </c>
    </row>
    <row r="3954">
      <c r="A3954" s="172"/>
      <c r="B3954" s="171" t="s">
        <v>1250</v>
      </c>
      <c r="C3954" s="171" t="s">
        <v>84</v>
      </c>
      <c r="D3954" s="279" t="s">
        <v>1333</v>
      </c>
      <c r="E3954" s="240">
        <v>43890.0</v>
      </c>
      <c r="F3954" s="21" t="str">
        <f t="shared" si="290"/>
        <v>Feb-2020</v>
      </c>
      <c r="G3954" s="32" t="s">
        <v>20</v>
      </c>
      <c r="H3954" s="25" t="s">
        <v>35</v>
      </c>
      <c r="I3954" s="25" t="s">
        <v>1330</v>
      </c>
      <c r="J3954" s="25" t="s">
        <v>27</v>
      </c>
      <c r="K3954" s="25" t="s">
        <v>9</v>
      </c>
      <c r="L3954" s="25" t="s">
        <v>30</v>
      </c>
      <c r="M3954" s="25" t="s">
        <v>24</v>
      </c>
      <c r="N3954" s="25" t="s">
        <v>69</v>
      </c>
    </row>
    <row r="3955">
      <c r="A3955" s="172"/>
      <c r="B3955" s="171" t="s">
        <v>1250</v>
      </c>
      <c r="C3955" s="171" t="s">
        <v>84</v>
      </c>
      <c r="D3955" s="279" t="s">
        <v>1333</v>
      </c>
      <c r="E3955" s="240">
        <v>43890.0</v>
      </c>
      <c r="F3955" s="21" t="str">
        <f t="shared" si="290"/>
        <v>Feb-2020</v>
      </c>
      <c r="G3955" s="32" t="s">
        <v>25</v>
      </c>
      <c r="H3955" s="25" t="s">
        <v>35</v>
      </c>
      <c r="I3955" s="25" t="s">
        <v>1330</v>
      </c>
      <c r="J3955" s="25" t="s">
        <v>27</v>
      </c>
      <c r="K3955" s="25" t="s">
        <v>9</v>
      </c>
      <c r="L3955" s="25" t="s">
        <v>24</v>
      </c>
      <c r="N3955" s="25" t="s">
        <v>99</v>
      </c>
    </row>
    <row r="3956">
      <c r="A3956" s="172"/>
      <c r="B3956" s="171" t="s">
        <v>1250</v>
      </c>
      <c r="C3956" s="171" t="s">
        <v>84</v>
      </c>
      <c r="D3956" s="279" t="s">
        <v>1333</v>
      </c>
      <c r="E3956" s="240">
        <v>43890.0</v>
      </c>
      <c r="F3956" s="21" t="str">
        <f t="shared" si="290"/>
        <v>Feb-2020</v>
      </c>
      <c r="G3956" s="32" t="s">
        <v>32</v>
      </c>
      <c r="H3956" s="25" t="s">
        <v>35</v>
      </c>
      <c r="I3956" s="25" t="s">
        <v>1330</v>
      </c>
      <c r="J3956" s="25" t="s">
        <v>27</v>
      </c>
      <c r="K3956" s="25" t="s">
        <v>9</v>
      </c>
      <c r="L3956" s="25" t="s">
        <v>24</v>
      </c>
      <c r="N3956" s="25" t="s">
        <v>98</v>
      </c>
    </row>
    <row r="3957">
      <c r="A3957" s="172"/>
      <c r="B3957" s="171" t="s">
        <v>1250</v>
      </c>
      <c r="C3957" s="171" t="s">
        <v>84</v>
      </c>
      <c r="D3957" s="279" t="s">
        <v>1333</v>
      </c>
      <c r="E3957" s="240">
        <v>43890.0</v>
      </c>
      <c r="F3957" s="21" t="str">
        <f t="shared" si="290"/>
        <v>Feb-2020</v>
      </c>
      <c r="G3957" s="32" t="s">
        <v>20</v>
      </c>
      <c r="H3957" s="25" t="s">
        <v>35</v>
      </c>
      <c r="I3957" s="25" t="s">
        <v>1339</v>
      </c>
      <c r="J3957" s="25" t="s">
        <v>44</v>
      </c>
      <c r="K3957" s="25" t="s">
        <v>9</v>
      </c>
      <c r="L3957" s="25" t="s">
        <v>24</v>
      </c>
      <c r="M3957" s="25" t="s">
        <v>30</v>
      </c>
      <c r="N3957" s="25" t="s">
        <v>99</v>
      </c>
    </row>
    <row r="3958">
      <c r="A3958" s="172"/>
      <c r="B3958" s="171" t="s">
        <v>1250</v>
      </c>
      <c r="C3958" s="171" t="s">
        <v>84</v>
      </c>
      <c r="D3958" s="279" t="s">
        <v>1333</v>
      </c>
      <c r="E3958" s="240">
        <v>43890.0</v>
      </c>
      <c r="F3958" s="21" t="str">
        <f t="shared" si="290"/>
        <v>Feb-2020</v>
      </c>
      <c r="G3958" s="32" t="s">
        <v>25</v>
      </c>
      <c r="H3958" s="25" t="s">
        <v>35</v>
      </c>
      <c r="I3958" s="25" t="s">
        <v>1339</v>
      </c>
      <c r="J3958" s="25" t="s">
        <v>44</v>
      </c>
      <c r="K3958" s="25" t="s">
        <v>9</v>
      </c>
      <c r="L3958" s="25" t="s">
        <v>30</v>
      </c>
      <c r="N3958" s="25" t="s">
        <v>69</v>
      </c>
    </row>
    <row r="3959">
      <c r="A3959" s="172"/>
      <c r="B3959" s="171" t="s">
        <v>1250</v>
      </c>
      <c r="C3959" s="171" t="s">
        <v>84</v>
      </c>
      <c r="D3959" s="279" t="s">
        <v>1333</v>
      </c>
      <c r="E3959" s="240">
        <v>43890.0</v>
      </c>
      <c r="F3959" s="21" t="str">
        <f t="shared" si="290"/>
        <v>Feb-2020</v>
      </c>
      <c r="G3959" s="32" t="s">
        <v>32</v>
      </c>
      <c r="H3959" s="25" t="s">
        <v>35</v>
      </c>
      <c r="I3959" s="25" t="s">
        <v>1339</v>
      </c>
      <c r="J3959" s="25" t="s">
        <v>44</v>
      </c>
      <c r="K3959" s="25" t="s">
        <v>9</v>
      </c>
      <c r="L3959" s="25" t="s">
        <v>30</v>
      </c>
      <c r="N3959" s="25" t="s">
        <v>29</v>
      </c>
    </row>
    <row r="3960">
      <c r="A3960" s="172"/>
      <c r="B3960" s="171" t="s">
        <v>1250</v>
      </c>
      <c r="C3960" s="171" t="s">
        <v>84</v>
      </c>
      <c r="D3960" s="279" t="s">
        <v>1333</v>
      </c>
      <c r="E3960" s="240">
        <v>43890.0</v>
      </c>
      <c r="F3960" s="21" t="str">
        <f t="shared" si="290"/>
        <v>Feb-2020</v>
      </c>
      <c r="G3960" s="32" t="s">
        <v>20</v>
      </c>
      <c r="H3960" s="25" t="s">
        <v>35</v>
      </c>
      <c r="I3960" s="25" t="s">
        <v>1340</v>
      </c>
      <c r="J3960" s="25" t="s">
        <v>9</v>
      </c>
      <c r="K3960" s="25" t="s">
        <v>27</v>
      </c>
      <c r="L3960" s="25" t="s">
        <v>24</v>
      </c>
      <c r="M3960" s="25" t="s">
        <v>24</v>
      </c>
      <c r="N3960" s="25" t="s">
        <v>99</v>
      </c>
    </row>
    <row r="3961">
      <c r="A3961" s="172"/>
      <c r="B3961" s="171" t="s">
        <v>1250</v>
      </c>
      <c r="C3961" s="171" t="s">
        <v>84</v>
      </c>
      <c r="D3961" s="279" t="s">
        <v>1333</v>
      </c>
      <c r="E3961" s="240">
        <v>43890.0</v>
      </c>
      <c r="F3961" s="21" t="str">
        <f t="shared" si="290"/>
        <v>Feb-2020</v>
      </c>
      <c r="G3961" s="32" t="s">
        <v>25</v>
      </c>
      <c r="H3961" s="25" t="s">
        <v>35</v>
      </c>
      <c r="I3961" s="25" t="s">
        <v>1340</v>
      </c>
      <c r="J3961" s="25" t="s">
        <v>9</v>
      </c>
      <c r="K3961" s="25" t="s">
        <v>27</v>
      </c>
      <c r="L3961" s="25" t="s">
        <v>24</v>
      </c>
      <c r="N3961" s="25" t="s">
        <v>69</v>
      </c>
    </row>
    <row r="3962">
      <c r="A3962" s="172"/>
      <c r="B3962" s="171" t="s">
        <v>1250</v>
      </c>
      <c r="C3962" s="171" t="s">
        <v>84</v>
      </c>
      <c r="D3962" s="279" t="s">
        <v>1333</v>
      </c>
      <c r="E3962" s="240">
        <v>43890.0</v>
      </c>
      <c r="F3962" s="21" t="str">
        <f t="shared" si="290"/>
        <v>Feb-2020</v>
      </c>
      <c r="G3962" s="32" t="s">
        <v>20</v>
      </c>
      <c r="H3962" s="25" t="s">
        <v>277</v>
      </c>
      <c r="I3962" s="25" t="s">
        <v>1335</v>
      </c>
      <c r="J3962" s="25" t="s">
        <v>27</v>
      </c>
      <c r="K3962" s="25" t="s">
        <v>27</v>
      </c>
      <c r="L3962" s="25" t="s">
        <v>30</v>
      </c>
      <c r="M3962" s="25" t="s">
        <v>30</v>
      </c>
      <c r="N3962" s="25" t="s">
        <v>69</v>
      </c>
    </row>
    <row r="3963">
      <c r="A3963" s="172"/>
      <c r="B3963" s="171" t="s">
        <v>1250</v>
      </c>
      <c r="C3963" s="171" t="s">
        <v>84</v>
      </c>
      <c r="D3963" s="279" t="s">
        <v>1333</v>
      </c>
      <c r="E3963" s="240">
        <v>43890.0</v>
      </c>
      <c r="F3963" s="21" t="str">
        <f t="shared" si="290"/>
        <v>Feb-2020</v>
      </c>
      <c r="G3963" s="32" t="s">
        <v>25</v>
      </c>
      <c r="H3963" s="25" t="s">
        <v>277</v>
      </c>
      <c r="I3963" s="25" t="s">
        <v>1335</v>
      </c>
      <c r="J3963" s="25" t="s">
        <v>27</v>
      </c>
      <c r="K3963" s="25" t="s">
        <v>27</v>
      </c>
      <c r="L3963" s="25" t="s">
        <v>30</v>
      </c>
      <c r="N3963" s="25" t="s">
        <v>37</v>
      </c>
    </row>
    <row r="3964">
      <c r="A3964" s="172"/>
      <c r="B3964" s="171" t="s">
        <v>1250</v>
      </c>
      <c r="C3964" s="171" t="s">
        <v>84</v>
      </c>
      <c r="D3964" s="279" t="s">
        <v>1333</v>
      </c>
      <c r="E3964" s="240">
        <v>43890.0</v>
      </c>
      <c r="F3964" s="21" t="str">
        <f t="shared" si="290"/>
        <v>Feb-2020</v>
      </c>
      <c r="G3964" s="32" t="s">
        <v>20</v>
      </c>
      <c r="H3964" s="25" t="s">
        <v>277</v>
      </c>
      <c r="I3964" s="25" t="s">
        <v>906</v>
      </c>
      <c r="J3964" s="25" t="s">
        <v>27</v>
      </c>
      <c r="K3964" s="25" t="s">
        <v>23</v>
      </c>
      <c r="L3964" s="25" t="s">
        <v>24</v>
      </c>
      <c r="M3964" s="25" t="s">
        <v>30</v>
      </c>
      <c r="N3964" s="25" t="s">
        <v>69</v>
      </c>
    </row>
    <row r="3965">
      <c r="A3965" s="172"/>
      <c r="B3965" s="171" t="s">
        <v>1250</v>
      </c>
      <c r="C3965" s="171" t="s">
        <v>84</v>
      </c>
      <c r="D3965" s="279" t="s">
        <v>1333</v>
      </c>
      <c r="E3965" s="240">
        <v>43890.0</v>
      </c>
      <c r="F3965" s="21" t="str">
        <f t="shared" si="290"/>
        <v>Feb-2020</v>
      </c>
      <c r="G3965" s="32" t="s">
        <v>25</v>
      </c>
      <c r="H3965" s="25" t="s">
        <v>277</v>
      </c>
      <c r="I3965" s="25" t="s">
        <v>906</v>
      </c>
      <c r="J3965" s="25" t="s">
        <v>27</v>
      </c>
      <c r="K3965" s="25" t="s">
        <v>27</v>
      </c>
      <c r="L3965" s="25" t="s">
        <v>30</v>
      </c>
      <c r="N3965" s="25" t="s">
        <v>69</v>
      </c>
    </row>
    <row r="3966">
      <c r="A3966" s="172"/>
      <c r="B3966" s="171" t="s">
        <v>1250</v>
      </c>
      <c r="C3966" s="171" t="s">
        <v>84</v>
      </c>
      <c r="D3966" s="279" t="s">
        <v>1333</v>
      </c>
      <c r="E3966" s="240">
        <v>43890.0</v>
      </c>
      <c r="F3966" s="21" t="str">
        <f t="shared" si="290"/>
        <v>Feb-2020</v>
      </c>
      <c r="G3966" s="32" t="s">
        <v>32</v>
      </c>
      <c r="H3966" s="25" t="s">
        <v>277</v>
      </c>
      <c r="I3966" s="25" t="s">
        <v>906</v>
      </c>
      <c r="J3966" s="25" t="s">
        <v>27</v>
      </c>
      <c r="K3966" s="25" t="s">
        <v>27</v>
      </c>
      <c r="L3966" s="25" t="s">
        <v>30</v>
      </c>
      <c r="N3966" s="25" t="s">
        <v>98</v>
      </c>
    </row>
    <row r="3967">
      <c r="A3967" s="172"/>
      <c r="B3967" s="171" t="s">
        <v>1250</v>
      </c>
      <c r="C3967" s="171" t="s">
        <v>84</v>
      </c>
      <c r="D3967" s="279" t="s">
        <v>1333</v>
      </c>
      <c r="E3967" s="240">
        <v>43890.0</v>
      </c>
      <c r="F3967" s="21" t="str">
        <f t="shared" si="290"/>
        <v>Feb-2020</v>
      </c>
      <c r="G3967" s="32" t="s">
        <v>20</v>
      </c>
      <c r="H3967" s="25" t="s">
        <v>277</v>
      </c>
      <c r="I3967" s="25" t="s">
        <v>1244</v>
      </c>
      <c r="J3967" s="25" t="s">
        <v>23</v>
      </c>
      <c r="K3967" s="25" t="s">
        <v>27</v>
      </c>
      <c r="L3967" s="25" t="s">
        <v>30</v>
      </c>
      <c r="M3967" s="25" t="s">
        <v>24</v>
      </c>
      <c r="N3967" s="25" t="s">
        <v>69</v>
      </c>
    </row>
    <row r="3968">
      <c r="A3968" s="172"/>
      <c r="B3968" s="171" t="s">
        <v>1250</v>
      </c>
      <c r="C3968" s="171" t="s">
        <v>84</v>
      </c>
      <c r="D3968" s="279" t="s">
        <v>1333</v>
      </c>
      <c r="E3968" s="240">
        <v>43890.0</v>
      </c>
      <c r="F3968" s="21" t="str">
        <f t="shared" si="290"/>
        <v>Feb-2020</v>
      </c>
      <c r="G3968" s="32" t="s">
        <v>25</v>
      </c>
      <c r="H3968" s="25" t="s">
        <v>277</v>
      </c>
      <c r="I3968" s="25" t="s">
        <v>1244</v>
      </c>
      <c r="J3968" s="25" t="s">
        <v>23</v>
      </c>
      <c r="K3968" s="25" t="s">
        <v>27</v>
      </c>
      <c r="L3968" s="25" t="s">
        <v>24</v>
      </c>
      <c r="N3968" s="25" t="s">
        <v>37</v>
      </c>
    </row>
    <row r="3969">
      <c r="A3969" s="172"/>
      <c r="B3969" s="171" t="s">
        <v>1250</v>
      </c>
      <c r="C3969" s="171" t="s">
        <v>84</v>
      </c>
      <c r="D3969" s="279" t="s">
        <v>1333</v>
      </c>
      <c r="E3969" s="240">
        <v>43890.0</v>
      </c>
      <c r="F3969" s="21" t="str">
        <f t="shared" si="290"/>
        <v>Feb-2020</v>
      </c>
      <c r="G3969" s="32" t="s">
        <v>32</v>
      </c>
      <c r="H3969" s="25" t="s">
        <v>277</v>
      </c>
      <c r="I3969" s="25" t="s">
        <v>1244</v>
      </c>
      <c r="J3969" s="25" t="s">
        <v>23</v>
      </c>
      <c r="K3969" s="25" t="s">
        <v>27</v>
      </c>
      <c r="L3969" s="25" t="s">
        <v>24</v>
      </c>
      <c r="N3969" s="25" t="s">
        <v>106</v>
      </c>
    </row>
    <row r="3970">
      <c r="A3970" s="172"/>
      <c r="B3970" s="171" t="s">
        <v>1250</v>
      </c>
      <c r="C3970" s="171" t="s">
        <v>84</v>
      </c>
      <c r="D3970" s="279" t="s">
        <v>1333</v>
      </c>
      <c r="E3970" s="240">
        <v>43890.0</v>
      </c>
      <c r="F3970" s="21" t="str">
        <f t="shared" si="290"/>
        <v>Feb-2020</v>
      </c>
      <c r="G3970" s="32" t="s">
        <v>20</v>
      </c>
      <c r="H3970" s="25" t="s">
        <v>277</v>
      </c>
      <c r="I3970" s="25" t="s">
        <v>1093</v>
      </c>
      <c r="J3970" s="25" t="s">
        <v>86</v>
      </c>
      <c r="K3970" s="25" t="s">
        <v>27</v>
      </c>
      <c r="L3970" s="25" t="s">
        <v>30</v>
      </c>
      <c r="M3970" s="25" t="s">
        <v>30</v>
      </c>
      <c r="N3970" s="25" t="s">
        <v>69</v>
      </c>
    </row>
    <row r="3971">
      <c r="A3971" s="172"/>
      <c r="B3971" s="171" t="s">
        <v>1250</v>
      </c>
      <c r="C3971" s="171" t="s">
        <v>84</v>
      </c>
      <c r="D3971" s="279" t="s">
        <v>1333</v>
      </c>
      <c r="E3971" s="240">
        <v>43890.0</v>
      </c>
      <c r="F3971" s="21" t="str">
        <f t="shared" si="290"/>
        <v>Feb-2020</v>
      </c>
      <c r="G3971" s="32" t="s">
        <v>25</v>
      </c>
      <c r="H3971" s="25" t="s">
        <v>277</v>
      </c>
      <c r="I3971" s="25" t="s">
        <v>1093</v>
      </c>
      <c r="J3971" s="25" t="s">
        <v>86</v>
      </c>
      <c r="K3971" s="25" t="s">
        <v>27</v>
      </c>
      <c r="L3971" s="25" t="s">
        <v>24</v>
      </c>
      <c r="N3971" s="25" t="s">
        <v>98</v>
      </c>
    </row>
    <row r="3972">
      <c r="A3972" s="172"/>
      <c r="B3972" s="171" t="s">
        <v>1250</v>
      </c>
      <c r="C3972" s="171" t="s">
        <v>84</v>
      </c>
      <c r="D3972" s="279" t="s">
        <v>1333</v>
      </c>
      <c r="E3972" s="240">
        <v>43890.0</v>
      </c>
      <c r="F3972" s="21" t="str">
        <f t="shared" si="290"/>
        <v>Feb-2020</v>
      </c>
      <c r="G3972" s="32" t="s">
        <v>32</v>
      </c>
      <c r="H3972" s="25" t="s">
        <v>277</v>
      </c>
      <c r="I3972" s="25" t="s">
        <v>1093</v>
      </c>
      <c r="J3972" s="25" t="s">
        <v>86</v>
      </c>
      <c r="K3972" s="25" t="s">
        <v>27</v>
      </c>
      <c r="L3972" s="25" t="s">
        <v>30</v>
      </c>
      <c r="N3972" s="25" t="s">
        <v>99</v>
      </c>
    </row>
    <row r="3973">
      <c r="A3973" s="172"/>
      <c r="B3973" s="171" t="s">
        <v>1250</v>
      </c>
      <c r="C3973" s="171" t="s">
        <v>84</v>
      </c>
      <c r="D3973" s="279" t="s">
        <v>1333</v>
      </c>
      <c r="E3973" s="240">
        <v>43890.0</v>
      </c>
      <c r="F3973" s="21" t="str">
        <f t="shared" si="290"/>
        <v>Feb-2020</v>
      </c>
      <c r="G3973" s="32" t="s">
        <v>20</v>
      </c>
      <c r="H3973" s="25" t="s">
        <v>277</v>
      </c>
      <c r="I3973" s="25" t="s">
        <v>1244</v>
      </c>
      <c r="J3973" s="25" t="s">
        <v>23</v>
      </c>
      <c r="K3973" s="25" t="s">
        <v>64</v>
      </c>
      <c r="L3973" s="25" t="s">
        <v>24</v>
      </c>
      <c r="M3973" s="25" t="s">
        <v>30</v>
      </c>
      <c r="N3973" s="25" t="s">
        <v>98</v>
      </c>
    </row>
    <row r="3974">
      <c r="A3974" s="172"/>
      <c r="B3974" s="171" t="s">
        <v>1250</v>
      </c>
      <c r="C3974" s="171" t="s">
        <v>84</v>
      </c>
      <c r="D3974" s="279" t="s">
        <v>1333</v>
      </c>
      <c r="E3974" s="240">
        <v>43890.0</v>
      </c>
      <c r="F3974" s="21" t="str">
        <f t="shared" si="290"/>
        <v>Feb-2020</v>
      </c>
      <c r="G3974" s="32" t="s">
        <v>25</v>
      </c>
      <c r="H3974" s="25" t="s">
        <v>277</v>
      </c>
      <c r="I3974" s="25" t="s">
        <v>1244</v>
      </c>
      <c r="J3974" s="25" t="s">
        <v>23</v>
      </c>
      <c r="K3974" s="25" t="s">
        <v>64</v>
      </c>
      <c r="L3974" s="25" t="s">
        <v>30</v>
      </c>
      <c r="N3974" s="25" t="s">
        <v>99</v>
      </c>
    </row>
    <row r="3975">
      <c r="A3975" s="172"/>
      <c r="B3975" s="171" t="s">
        <v>1250</v>
      </c>
      <c r="C3975" s="171" t="s">
        <v>84</v>
      </c>
      <c r="D3975" s="279" t="s">
        <v>1333</v>
      </c>
      <c r="E3975" s="240">
        <v>43890.0</v>
      </c>
      <c r="F3975" s="21" t="str">
        <f t="shared" si="290"/>
        <v>Feb-2020</v>
      </c>
      <c r="G3975" s="32" t="s">
        <v>32</v>
      </c>
      <c r="H3975" s="25" t="s">
        <v>277</v>
      </c>
      <c r="I3975" s="25" t="s">
        <v>1244</v>
      </c>
      <c r="J3975" s="25" t="s">
        <v>23</v>
      </c>
      <c r="K3975" s="25" t="s">
        <v>64</v>
      </c>
      <c r="L3975" s="25" t="s">
        <v>30</v>
      </c>
      <c r="N3975" s="25" t="s">
        <v>98</v>
      </c>
    </row>
    <row r="3976">
      <c r="A3976" s="172"/>
      <c r="B3976" s="171" t="s">
        <v>1250</v>
      </c>
      <c r="C3976" s="171" t="s">
        <v>84</v>
      </c>
      <c r="D3976" s="279" t="s">
        <v>1333</v>
      </c>
      <c r="E3976" s="240">
        <v>43890.0</v>
      </c>
      <c r="F3976" s="21" t="str">
        <f t="shared" si="290"/>
        <v>Feb-2020</v>
      </c>
      <c r="G3976" s="32" t="s">
        <v>20</v>
      </c>
      <c r="H3976" s="25" t="s">
        <v>277</v>
      </c>
      <c r="I3976" s="25" t="s">
        <v>1244</v>
      </c>
      <c r="J3976" s="25" t="s">
        <v>23</v>
      </c>
      <c r="K3976" s="25" t="s">
        <v>64</v>
      </c>
      <c r="L3976" s="25" t="s">
        <v>24</v>
      </c>
      <c r="M3976" s="25" t="s">
        <v>24</v>
      </c>
      <c r="N3976" s="25" t="s">
        <v>98</v>
      </c>
    </row>
    <row r="3977">
      <c r="A3977" s="172"/>
      <c r="B3977" s="171" t="s">
        <v>1250</v>
      </c>
      <c r="C3977" s="171" t="s">
        <v>84</v>
      </c>
      <c r="D3977" s="279" t="s">
        <v>1333</v>
      </c>
      <c r="E3977" s="240">
        <v>43890.0</v>
      </c>
      <c r="F3977" s="21" t="str">
        <f t="shared" si="290"/>
        <v>Feb-2020</v>
      </c>
      <c r="G3977" s="32" t="s">
        <v>25</v>
      </c>
      <c r="H3977" s="25" t="s">
        <v>277</v>
      </c>
      <c r="I3977" s="25" t="s">
        <v>1244</v>
      </c>
      <c r="J3977" s="25" t="s">
        <v>23</v>
      </c>
      <c r="K3977" s="25" t="s">
        <v>64</v>
      </c>
      <c r="L3977" s="25" t="s">
        <v>24</v>
      </c>
      <c r="N3977" s="25" t="s">
        <v>99</v>
      </c>
    </row>
    <row r="3978">
      <c r="A3978" s="94"/>
      <c r="F3978" s="21"/>
      <c r="G3978" s="32"/>
    </row>
    <row r="3979">
      <c r="A3979" s="94"/>
      <c r="F3979" s="21"/>
    </row>
    <row r="3980">
      <c r="A3980" s="94"/>
      <c r="F3980" s="21"/>
    </row>
    <row r="3981">
      <c r="A3981" s="94"/>
      <c r="F3981" s="21"/>
    </row>
    <row r="3982">
      <c r="A3982" s="94"/>
      <c r="F3982" s="21"/>
    </row>
    <row r="3983">
      <c r="A3983" s="94"/>
      <c r="F3983" s="21"/>
    </row>
    <row r="3984">
      <c r="A3984" s="94"/>
      <c r="F3984" s="21"/>
    </row>
  </sheetData>
  <mergeCells count="2">
    <mergeCell ref="R1805:S1811"/>
    <mergeCell ref="R3272:S3274"/>
  </mergeCells>
  <hyperlinks>
    <hyperlink r:id="rId1" ref="A132"/>
    <hyperlink r:id="rId2" ref="A148"/>
    <hyperlink r:id="rId3" ref="A149"/>
    <hyperlink r:id="rId4" ref="A193"/>
    <hyperlink r:id="rId5" ref="A194"/>
    <hyperlink r:id="rId6" ref="A213"/>
    <hyperlink r:id="rId7" ref="A234"/>
    <hyperlink r:id="rId8" ref="A498"/>
    <hyperlink r:id="rId9" ref="A794"/>
    <hyperlink r:id="rId10" ref="A1060"/>
    <hyperlink r:id="rId11" ref="A1077"/>
    <hyperlink r:id="rId12" ref="A1341"/>
    <hyperlink r:id="rId13" ref="A1387"/>
    <hyperlink r:id="rId14" ref="A1413"/>
    <hyperlink r:id="rId15" ref="A1428"/>
    <hyperlink r:id="rId16" ref="A1429"/>
    <hyperlink r:id="rId17" ref="A1453"/>
    <hyperlink r:id="rId18" ref="A1469"/>
    <hyperlink r:id="rId19" ref="A1479"/>
    <hyperlink r:id="rId20" ref="A1493"/>
    <hyperlink r:id="rId21" ref="A1506"/>
    <hyperlink r:id="rId22" ref="A1519"/>
    <hyperlink r:id="rId23" ref="A1528"/>
    <hyperlink r:id="rId24" ref="A1538"/>
    <hyperlink r:id="rId25" ref="A1553"/>
    <hyperlink r:id="rId26" ref="A1567"/>
    <hyperlink r:id="rId27" ref="A1578"/>
    <hyperlink r:id="rId28" ref="A1581"/>
    <hyperlink r:id="rId29" ref="A1589"/>
    <hyperlink r:id="rId30" ref="A1598"/>
    <hyperlink r:id="rId31" ref="A1607"/>
    <hyperlink r:id="rId32" ref="A1615"/>
    <hyperlink r:id="rId33" ref="A1623"/>
    <hyperlink r:id="rId34" ref="A1627"/>
    <hyperlink r:id="rId35" ref="A1633"/>
    <hyperlink r:id="rId36" ref="A1634"/>
    <hyperlink r:id="rId37" ref="A1658"/>
    <hyperlink r:id="rId38" ref="A1674"/>
    <hyperlink r:id="rId39" ref="A1676"/>
    <hyperlink r:id="rId40" ref="A1702"/>
    <hyperlink r:id="rId41" ref="A1728"/>
    <hyperlink r:id="rId42" ref="A1730"/>
    <hyperlink r:id="rId43" ref="A1746"/>
    <hyperlink r:id="rId44" ref="A1748"/>
    <hyperlink r:id="rId45" ref="A1767"/>
    <hyperlink r:id="rId46" ref="A1769"/>
    <hyperlink r:id="rId47" ref="A1782"/>
    <hyperlink r:id="rId48" ref="A1795"/>
    <hyperlink r:id="rId49" ref="A1809"/>
    <hyperlink r:id="rId50" ref="A1812"/>
    <hyperlink r:id="rId51" ref="A1819"/>
    <hyperlink r:id="rId52" ref="A1821"/>
    <hyperlink r:id="rId53" ref="A1834"/>
    <hyperlink r:id="rId54" ref="A1844"/>
    <hyperlink r:id="rId55" ref="A1860"/>
    <hyperlink r:id="rId56" ref="A1877"/>
    <hyperlink r:id="rId57" ref="A1894"/>
    <hyperlink r:id="rId58" ref="A1896"/>
    <hyperlink r:id="rId59" ref="A1922"/>
    <hyperlink r:id="rId60" ref="A1946"/>
    <hyperlink r:id="rId61" ref="A1956"/>
    <hyperlink r:id="rId62" ref="A1958"/>
    <hyperlink r:id="rId63" ref="A1976"/>
    <hyperlink r:id="rId64" ref="A1979"/>
    <hyperlink r:id="rId65" ref="A1986"/>
    <hyperlink r:id="rId66" ref="A1999"/>
    <hyperlink r:id="rId67" ref="A2011"/>
    <hyperlink r:id="rId68" ref="A2014"/>
    <hyperlink r:id="rId69" ref="A2045"/>
    <hyperlink r:id="rId70" ref="A2056"/>
    <hyperlink r:id="rId71" ref="A2058"/>
    <hyperlink r:id="rId72" ref="A2072"/>
    <hyperlink r:id="rId73" ref="A2081"/>
    <hyperlink r:id="rId74" ref="A2098"/>
    <hyperlink r:id="rId75" ref="A2109"/>
    <hyperlink r:id="rId76" ref="A2124"/>
    <hyperlink r:id="rId77" ref="A2138"/>
    <hyperlink r:id="rId78" ref="A2157"/>
    <hyperlink r:id="rId79" ref="A2159"/>
    <hyperlink r:id="rId80" ref="A2180"/>
    <hyperlink r:id="rId81" ref="A2192"/>
    <hyperlink r:id="rId82" ref="A2195"/>
    <hyperlink r:id="rId83" ref="A2197"/>
    <hyperlink r:id="rId84" ref="A2236"/>
    <hyperlink r:id="rId85" ref="A2284"/>
    <hyperlink r:id="rId86" ref="A2309"/>
    <hyperlink r:id="rId87" ref="A2311"/>
    <hyperlink r:id="rId88" ref="A2334"/>
    <hyperlink r:id="rId89" ref="A2335"/>
    <hyperlink r:id="rId90" ref="A2348"/>
    <hyperlink r:id="rId91" ref="A2374"/>
    <hyperlink r:id="rId92" ref="A2387"/>
    <hyperlink r:id="rId93" ref="A2389"/>
    <hyperlink r:id="rId94" ref="A2397"/>
    <hyperlink r:id="rId95" ref="A2399"/>
    <hyperlink r:id="rId96" ref="A2415"/>
    <hyperlink r:id="rId97" ref="A2417"/>
    <hyperlink r:id="rId98" ref="A2431"/>
    <hyperlink r:id="rId99" ref="A2432"/>
    <hyperlink r:id="rId100" ref="A2440"/>
    <hyperlink r:id="rId101" ref="A2442"/>
    <hyperlink r:id="rId102" ref="A2452"/>
    <hyperlink r:id="rId103" ref="A2465"/>
    <hyperlink r:id="rId104" ref="A2467"/>
    <hyperlink r:id="rId105" ref="A2488"/>
    <hyperlink r:id="rId106" ref="A2490"/>
    <hyperlink r:id="rId107" ref="A2500"/>
    <hyperlink r:id="rId108" ref="A2510"/>
    <hyperlink r:id="rId109" ref="A2512"/>
    <hyperlink r:id="rId110" ref="A2520"/>
    <hyperlink r:id="rId111" ref="A2522"/>
    <hyperlink r:id="rId112" ref="A2540"/>
    <hyperlink r:id="rId113" ref="A2542"/>
    <hyperlink r:id="rId114" ref="A2554"/>
    <hyperlink r:id="rId115" ref="A2556"/>
    <hyperlink r:id="rId116" ref="A2568"/>
    <hyperlink r:id="rId117" ref="A2593"/>
    <hyperlink r:id="rId118" ref="A2596"/>
    <hyperlink r:id="rId119" ref="A2611"/>
    <hyperlink r:id="rId120" ref="A2613"/>
    <hyperlink r:id="rId121" ref="A2634"/>
    <hyperlink r:id="rId122" ref="A2636"/>
    <hyperlink r:id="rId123" ref="A2664"/>
    <hyperlink r:id="rId124" ref="A2690"/>
    <hyperlink r:id="rId125" ref="A2692"/>
    <hyperlink r:id="rId126" ref="A2702"/>
    <hyperlink r:id="rId127" ref="A2721"/>
    <hyperlink r:id="rId128" ref="A2723"/>
    <hyperlink r:id="rId129" ref="A2743"/>
    <hyperlink r:id="rId130" ref="A2745"/>
    <hyperlink r:id="rId131" ref="A2754"/>
    <hyperlink r:id="rId132" ref="A2756"/>
    <hyperlink r:id="rId133" ref="A2764"/>
    <hyperlink r:id="rId134" ref="A2790"/>
    <hyperlink r:id="rId135" ref="A2792"/>
    <hyperlink r:id="rId136" ref="A2809"/>
    <hyperlink r:id="rId137" ref="A2821"/>
    <hyperlink r:id="rId138" ref="A2842"/>
    <hyperlink r:id="rId139" ref="A2844"/>
    <hyperlink r:id="rId140" ref="A2866"/>
    <hyperlink r:id="rId141" ref="A2891"/>
    <hyperlink r:id="rId142" ref="A2905"/>
    <hyperlink r:id="rId143" ref="A2907"/>
    <hyperlink r:id="rId144" ref="A2917"/>
    <hyperlink r:id="rId145" ref="A2939"/>
    <hyperlink r:id="rId146" ref="A2950"/>
    <hyperlink r:id="rId147" ref="A2965"/>
    <hyperlink r:id="rId148" ref="A2978"/>
    <hyperlink r:id="rId149" ref="A2980"/>
    <hyperlink r:id="rId150" ref="A2981"/>
    <hyperlink r:id="rId151" ref="A3001"/>
    <hyperlink r:id="rId152" ref="A3023"/>
    <hyperlink r:id="rId153" ref="A3040"/>
    <hyperlink r:id="rId154" ref="A3054"/>
    <hyperlink r:id="rId155" ref="A3073"/>
    <hyperlink r:id="rId156" ref="A3092"/>
    <hyperlink r:id="rId157" ref="A3108"/>
    <hyperlink r:id="rId158" ref="A3119"/>
    <hyperlink r:id="rId159" ref="A3137"/>
    <hyperlink r:id="rId160" ref="A3148"/>
    <hyperlink r:id="rId161" ref="A3162"/>
    <hyperlink r:id="rId162" ref="A3173"/>
    <hyperlink r:id="rId163" ref="A3175"/>
    <hyperlink r:id="rId164" ref="A3220"/>
    <hyperlink r:id="rId165" ref="A3239"/>
    <hyperlink r:id="rId166" ref="A3240"/>
    <hyperlink r:id="rId167" ref="A3270"/>
    <hyperlink r:id="rId168" ref="A3285"/>
    <hyperlink r:id="rId169" ref="A3307"/>
    <hyperlink r:id="rId170" ref="A3318"/>
    <hyperlink r:id="rId171" ref="A3328"/>
    <hyperlink r:id="rId172" ref="A3330"/>
    <hyperlink r:id="rId173" ref="A3338"/>
    <hyperlink r:id="rId174" ref="A3341"/>
    <hyperlink r:id="rId175" ref="A3349"/>
    <hyperlink r:id="rId176" ref="A3365"/>
    <hyperlink r:id="rId177" ref="A3381"/>
    <hyperlink r:id="rId178" ref="A3384"/>
    <hyperlink r:id="rId179" ref="A3406"/>
    <hyperlink r:id="rId180" ref="A3420"/>
    <hyperlink r:id="rId181" ref="A3428"/>
    <hyperlink r:id="rId182" ref="A3430"/>
    <hyperlink r:id="rId183" ref="A3444"/>
    <hyperlink r:id="rId184" ref="A3458"/>
    <hyperlink r:id="rId185" ref="A3460"/>
    <hyperlink r:id="rId186" ref="A3491"/>
    <hyperlink r:id="rId187" ref="A3504"/>
    <hyperlink r:id="rId188" ref="A3506"/>
    <hyperlink r:id="rId189" ref="A3514"/>
    <hyperlink r:id="rId190" ref="A3539"/>
    <hyperlink r:id="rId191" ref="A3551"/>
    <hyperlink r:id="rId192" ref="A3552"/>
    <hyperlink r:id="rId193" ref="A3570"/>
    <hyperlink r:id="rId194" ref="A3583"/>
    <hyperlink r:id="rId195" ref="A3598"/>
    <hyperlink r:id="rId196" ref="A3600"/>
    <hyperlink r:id="rId197" ref="A3615"/>
    <hyperlink r:id="rId198" ref="A3646"/>
    <hyperlink r:id="rId199" ref="A3658"/>
    <hyperlink r:id="rId200" ref="A3670"/>
    <hyperlink r:id="rId201" ref="A3673"/>
    <hyperlink r:id="rId202" ref="A3688"/>
    <hyperlink r:id="rId203" ref="A3714"/>
    <hyperlink r:id="rId204" ref="A3727"/>
    <hyperlink r:id="rId205" ref="A3729"/>
    <hyperlink r:id="rId206" ref="A3768"/>
    <hyperlink r:id="rId207" ref="A3771"/>
    <hyperlink r:id="rId208" ref="A3814"/>
    <hyperlink r:id="rId209" ref="A3876"/>
    <hyperlink r:id="rId210" ref="A3899"/>
    <hyperlink r:id="rId211" ref="A3901"/>
    <hyperlink r:id="rId212" ref="A3928"/>
    <hyperlink r:id="rId213" ref="A3946"/>
    <hyperlink r:id="rId214" ref="A3948"/>
  </hyperlinks>
  <drawing r:id="rId21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11.86"/>
    <col hidden="1" min="4" max="4" width="14.43"/>
    <col customWidth="1" min="6" max="6" width="14.14"/>
    <col customWidth="1" min="7" max="7" width="21.71"/>
    <col customWidth="1" min="8" max="8" width="16.71"/>
    <col customWidth="1" min="9" max="9" width="6.71"/>
    <col customWidth="1" min="10" max="10" width="9.43"/>
    <col customWidth="1" min="11" max="12" width="11.43"/>
  </cols>
  <sheetData>
    <row r="1">
      <c r="A1" s="24" t="s">
        <v>1341</v>
      </c>
      <c r="B1" s="24" t="s">
        <v>2</v>
      </c>
      <c r="C1" s="95" t="s">
        <v>3</v>
      </c>
      <c r="D1" s="24" t="s">
        <v>4</v>
      </c>
      <c r="E1" s="24" t="s">
        <v>5</v>
      </c>
      <c r="F1" s="24" t="s">
        <v>6</v>
      </c>
      <c r="G1" s="23" t="s">
        <v>7</v>
      </c>
      <c r="H1" s="24" t="s">
        <v>8</v>
      </c>
      <c r="I1" s="24" t="s">
        <v>9</v>
      </c>
      <c r="J1" s="24" t="s">
        <v>10</v>
      </c>
      <c r="K1" s="24" t="s">
        <v>11</v>
      </c>
      <c r="L1" s="24" t="s">
        <v>12</v>
      </c>
    </row>
    <row r="2">
      <c r="A2" s="24">
        <f t="shared" ref="A2:A3293" si="1">COUNTA($B$2:B2)</f>
        <v>1</v>
      </c>
      <c r="B2" s="24" t="s">
        <v>17</v>
      </c>
      <c r="C2" s="95">
        <v>42238.0</v>
      </c>
      <c r="D2" s="24" t="str">
        <f t="shared" ref="D2:D74" si="2">TEXT(C2, "mmm") &amp; "-" &amp; TEXT(C2, "yyyy") </f>
        <v>Aug-2015</v>
      </c>
      <c r="E2" s="24" t="s">
        <v>20</v>
      </c>
      <c r="F2" s="24" t="s">
        <v>21</v>
      </c>
      <c r="G2" s="23" t="s">
        <v>22</v>
      </c>
      <c r="H2" s="24" t="s">
        <v>23</v>
      </c>
      <c r="I2" s="24" t="s">
        <v>9</v>
      </c>
      <c r="J2" s="24" t="s">
        <v>24</v>
      </c>
      <c r="K2" s="24" t="s">
        <v>24</v>
      </c>
    </row>
    <row r="3">
      <c r="A3" s="24">
        <f t="shared" si="1"/>
        <v>2</v>
      </c>
      <c r="B3" s="24" t="s">
        <v>17</v>
      </c>
      <c r="C3" s="95">
        <v>42238.0</v>
      </c>
      <c r="D3" s="24" t="str">
        <f t="shared" si="2"/>
        <v>Aug-2015</v>
      </c>
      <c r="E3" s="24" t="s">
        <v>25</v>
      </c>
      <c r="F3" s="24" t="s">
        <v>21</v>
      </c>
      <c r="G3" s="23" t="s">
        <v>22</v>
      </c>
      <c r="H3" s="24" t="s">
        <v>23</v>
      </c>
      <c r="I3" s="24" t="s">
        <v>9</v>
      </c>
      <c r="J3" s="24" t="s">
        <v>24</v>
      </c>
    </row>
    <row r="4">
      <c r="A4" s="24">
        <f t="shared" si="1"/>
        <v>3</v>
      </c>
      <c r="B4" s="24" t="s">
        <v>17</v>
      </c>
      <c r="C4" s="95">
        <v>42238.0</v>
      </c>
      <c r="D4" s="24" t="str">
        <f t="shared" si="2"/>
        <v>Aug-2015</v>
      </c>
      <c r="E4" s="24" t="s">
        <v>20</v>
      </c>
      <c r="F4" s="24" t="s">
        <v>21</v>
      </c>
      <c r="G4" s="23"/>
      <c r="H4" s="24" t="s">
        <v>27</v>
      </c>
      <c r="I4" s="24" t="s">
        <v>9</v>
      </c>
      <c r="J4" s="24" t="s">
        <v>24</v>
      </c>
      <c r="K4" s="24" t="s">
        <v>28</v>
      </c>
    </row>
    <row r="5">
      <c r="A5" s="24">
        <f t="shared" si="1"/>
        <v>4</v>
      </c>
      <c r="B5" s="24" t="s">
        <v>17</v>
      </c>
      <c r="C5" s="95">
        <v>42238.0</v>
      </c>
      <c r="D5" s="24" t="str">
        <f t="shared" si="2"/>
        <v>Aug-2015</v>
      </c>
      <c r="E5" s="24" t="s">
        <v>25</v>
      </c>
      <c r="F5" s="24" t="s">
        <v>21</v>
      </c>
      <c r="G5" s="23"/>
      <c r="H5" s="24" t="s">
        <v>9</v>
      </c>
      <c r="I5" s="24" t="s">
        <v>9</v>
      </c>
      <c r="J5" s="24" t="s">
        <v>24</v>
      </c>
      <c r="K5" s="24"/>
      <c r="L5" s="24" t="s">
        <v>29</v>
      </c>
    </row>
    <row r="6">
      <c r="A6" s="24">
        <f t="shared" si="1"/>
        <v>5</v>
      </c>
      <c r="B6" s="24" t="s">
        <v>17</v>
      </c>
      <c r="C6" s="95">
        <v>42238.0</v>
      </c>
      <c r="D6" s="24" t="str">
        <f t="shared" si="2"/>
        <v>Aug-2015</v>
      </c>
      <c r="E6" s="24" t="s">
        <v>20</v>
      </c>
      <c r="F6" s="24" t="s">
        <v>21</v>
      </c>
      <c r="G6" s="23"/>
      <c r="H6" s="24" t="s">
        <v>23</v>
      </c>
      <c r="I6" s="24" t="s">
        <v>9</v>
      </c>
      <c r="J6" s="24" t="s">
        <v>24</v>
      </c>
      <c r="K6" s="24" t="s">
        <v>24</v>
      </c>
    </row>
    <row r="7">
      <c r="A7" s="24">
        <f t="shared" si="1"/>
        <v>6</v>
      </c>
      <c r="B7" s="24" t="s">
        <v>17</v>
      </c>
      <c r="C7" s="95">
        <v>42238.0</v>
      </c>
      <c r="D7" s="24" t="str">
        <f t="shared" si="2"/>
        <v>Aug-2015</v>
      </c>
      <c r="E7" s="24" t="s">
        <v>25</v>
      </c>
      <c r="F7" s="24" t="s">
        <v>21</v>
      </c>
      <c r="G7" s="23"/>
      <c r="H7" s="24" t="s">
        <v>23</v>
      </c>
      <c r="I7" s="24" t="s">
        <v>9</v>
      </c>
      <c r="J7" s="24" t="s">
        <v>24</v>
      </c>
    </row>
    <row r="8">
      <c r="A8" s="24">
        <f t="shared" si="1"/>
        <v>7</v>
      </c>
      <c r="B8" s="24" t="s">
        <v>17</v>
      </c>
      <c r="C8" s="95">
        <v>42238.0</v>
      </c>
      <c r="D8" s="24" t="str">
        <f t="shared" si="2"/>
        <v>Aug-2015</v>
      </c>
      <c r="E8" s="24" t="s">
        <v>20</v>
      </c>
      <c r="F8" s="24" t="s">
        <v>21</v>
      </c>
      <c r="G8" s="23"/>
      <c r="H8" s="24" t="s">
        <v>9</v>
      </c>
      <c r="I8" s="24" t="s">
        <v>9</v>
      </c>
      <c r="J8" s="24" t="s">
        <v>30</v>
      </c>
      <c r="K8" s="24" t="s">
        <v>30</v>
      </c>
    </row>
    <row r="9">
      <c r="A9" s="24">
        <f t="shared" si="1"/>
        <v>8</v>
      </c>
      <c r="B9" s="24" t="s">
        <v>17</v>
      </c>
      <c r="C9" s="95">
        <v>42238.0</v>
      </c>
      <c r="D9" s="24" t="str">
        <f t="shared" si="2"/>
        <v>Aug-2015</v>
      </c>
      <c r="E9" s="24" t="s">
        <v>25</v>
      </c>
      <c r="F9" s="24" t="s">
        <v>21</v>
      </c>
      <c r="G9" s="23"/>
      <c r="H9" s="24" t="s">
        <v>9</v>
      </c>
      <c r="I9" s="24" t="s">
        <v>9</v>
      </c>
      <c r="J9" s="24" t="s">
        <v>30</v>
      </c>
    </row>
    <row r="10">
      <c r="A10" s="24">
        <f t="shared" si="1"/>
        <v>9</v>
      </c>
      <c r="B10" s="24" t="s">
        <v>17</v>
      </c>
      <c r="C10" s="95">
        <v>42238.0</v>
      </c>
      <c r="D10" s="24" t="str">
        <f t="shared" si="2"/>
        <v>Aug-2015</v>
      </c>
      <c r="E10" s="24" t="s">
        <v>20</v>
      </c>
      <c r="F10" s="24" t="s">
        <v>31</v>
      </c>
      <c r="G10" s="23"/>
      <c r="H10" s="24" t="s">
        <v>9</v>
      </c>
      <c r="I10" s="24" t="s">
        <v>9</v>
      </c>
      <c r="J10" s="24" t="s">
        <v>30</v>
      </c>
      <c r="K10" s="24" t="s">
        <v>30</v>
      </c>
    </row>
    <row r="11">
      <c r="A11" s="24">
        <f t="shared" si="1"/>
        <v>10</v>
      </c>
      <c r="B11" s="24" t="s">
        <v>17</v>
      </c>
      <c r="C11" s="95">
        <v>42238.0</v>
      </c>
      <c r="D11" s="24" t="str">
        <f t="shared" si="2"/>
        <v>Aug-2015</v>
      </c>
      <c r="E11" s="24" t="s">
        <v>25</v>
      </c>
      <c r="F11" s="24" t="s">
        <v>21</v>
      </c>
      <c r="G11" s="23"/>
      <c r="H11" s="24" t="s">
        <v>9</v>
      </c>
      <c r="I11" s="24" t="s">
        <v>9</v>
      </c>
      <c r="J11" s="24" t="s">
        <v>24</v>
      </c>
    </row>
    <row r="12">
      <c r="A12" s="24">
        <f t="shared" si="1"/>
        <v>11</v>
      </c>
      <c r="B12" s="24" t="s">
        <v>17</v>
      </c>
      <c r="C12" s="95">
        <v>42238.0</v>
      </c>
      <c r="D12" s="24" t="str">
        <f t="shared" si="2"/>
        <v>Aug-2015</v>
      </c>
      <c r="E12" s="24" t="s">
        <v>32</v>
      </c>
      <c r="F12" s="24" t="s">
        <v>21</v>
      </c>
      <c r="G12" s="23"/>
      <c r="H12" s="24" t="s">
        <v>9</v>
      </c>
      <c r="I12" s="24" t="s">
        <v>9</v>
      </c>
      <c r="J12" s="24" t="s">
        <v>30</v>
      </c>
    </row>
    <row r="13">
      <c r="A13" s="24">
        <f t="shared" si="1"/>
        <v>12</v>
      </c>
      <c r="B13" s="24" t="s">
        <v>33</v>
      </c>
      <c r="C13" s="95">
        <v>42308.0</v>
      </c>
      <c r="D13" s="24" t="str">
        <f t="shared" si="2"/>
        <v>Oct-2015</v>
      </c>
      <c r="E13" s="24" t="s">
        <v>20</v>
      </c>
      <c r="F13" s="24" t="s">
        <v>35</v>
      </c>
      <c r="G13" s="23" t="s">
        <v>36</v>
      </c>
      <c r="H13" s="24" t="s">
        <v>23</v>
      </c>
      <c r="I13" s="24" t="s">
        <v>9</v>
      </c>
      <c r="J13" s="24" t="s">
        <v>24</v>
      </c>
      <c r="K13" s="24" t="s">
        <v>24</v>
      </c>
    </row>
    <row r="14">
      <c r="A14" s="24">
        <f t="shared" si="1"/>
        <v>13</v>
      </c>
      <c r="B14" s="24" t="s">
        <v>33</v>
      </c>
      <c r="C14" s="95">
        <v>42308.0</v>
      </c>
      <c r="D14" s="24" t="str">
        <f t="shared" si="2"/>
        <v>Oct-2015</v>
      </c>
      <c r="E14" s="24" t="s">
        <v>25</v>
      </c>
      <c r="F14" s="24" t="s">
        <v>35</v>
      </c>
      <c r="G14" s="23" t="s">
        <v>36</v>
      </c>
      <c r="H14" s="24" t="s">
        <v>23</v>
      </c>
      <c r="I14" s="24" t="s">
        <v>9</v>
      </c>
      <c r="J14" s="24" t="s">
        <v>24</v>
      </c>
      <c r="K14" s="24"/>
      <c r="L14" s="24" t="s">
        <v>37</v>
      </c>
    </row>
    <row r="15">
      <c r="A15" s="24">
        <f t="shared" si="1"/>
        <v>14</v>
      </c>
      <c r="B15" s="24" t="s">
        <v>33</v>
      </c>
      <c r="C15" s="95">
        <v>42308.0</v>
      </c>
      <c r="D15" s="24" t="str">
        <f t="shared" si="2"/>
        <v>Oct-2015</v>
      </c>
      <c r="E15" s="24" t="s">
        <v>20</v>
      </c>
      <c r="F15" s="24" t="s">
        <v>35</v>
      </c>
      <c r="G15" s="23" t="s">
        <v>39</v>
      </c>
      <c r="H15" s="24" t="s">
        <v>40</v>
      </c>
      <c r="I15" s="24" t="s">
        <v>9</v>
      </c>
      <c r="J15" s="24" t="s">
        <v>24</v>
      </c>
      <c r="K15" s="24" t="s">
        <v>24</v>
      </c>
    </row>
    <row r="16">
      <c r="A16" s="24">
        <f t="shared" si="1"/>
        <v>15</v>
      </c>
      <c r="B16" s="24" t="s">
        <v>33</v>
      </c>
      <c r="C16" s="95">
        <v>42308.0</v>
      </c>
      <c r="D16" s="24" t="str">
        <f t="shared" si="2"/>
        <v>Oct-2015</v>
      </c>
      <c r="E16" s="24" t="s">
        <v>25</v>
      </c>
      <c r="F16" s="24" t="s">
        <v>35</v>
      </c>
      <c r="G16" s="23" t="s">
        <v>39</v>
      </c>
      <c r="H16" s="24" t="s">
        <v>40</v>
      </c>
      <c r="I16" s="24" t="s">
        <v>9</v>
      </c>
      <c r="J16" s="24" t="s">
        <v>30</v>
      </c>
    </row>
    <row r="17">
      <c r="A17" s="24">
        <f t="shared" si="1"/>
        <v>16</v>
      </c>
      <c r="B17" s="24" t="s">
        <v>33</v>
      </c>
      <c r="C17" s="95">
        <v>42308.0</v>
      </c>
      <c r="D17" s="24" t="str">
        <f t="shared" si="2"/>
        <v>Oct-2015</v>
      </c>
      <c r="E17" s="24" t="s">
        <v>32</v>
      </c>
      <c r="F17" s="24" t="s">
        <v>35</v>
      </c>
      <c r="G17" s="23" t="s">
        <v>39</v>
      </c>
      <c r="H17" s="24" t="s">
        <v>40</v>
      </c>
      <c r="I17" s="24" t="s">
        <v>9</v>
      </c>
      <c r="J17" s="24" t="s">
        <v>24</v>
      </c>
    </row>
    <row r="18">
      <c r="A18" s="24">
        <f t="shared" si="1"/>
        <v>17</v>
      </c>
      <c r="B18" s="24" t="s">
        <v>41</v>
      </c>
      <c r="C18" s="95">
        <v>42357.0</v>
      </c>
      <c r="D18" s="24" t="str">
        <f t="shared" si="2"/>
        <v>Dec-2015</v>
      </c>
      <c r="E18" s="24" t="s">
        <v>20</v>
      </c>
      <c r="F18" s="24" t="s">
        <v>21</v>
      </c>
      <c r="G18" s="23" t="s">
        <v>43</v>
      </c>
      <c r="H18" s="24" t="s">
        <v>44</v>
      </c>
      <c r="I18" s="24" t="s">
        <v>9</v>
      </c>
      <c r="J18" s="24" t="s">
        <v>30</v>
      </c>
      <c r="K18" s="24" t="s">
        <v>30</v>
      </c>
    </row>
    <row r="19">
      <c r="A19" s="24">
        <f t="shared" si="1"/>
        <v>18</v>
      </c>
      <c r="B19" s="24" t="s">
        <v>41</v>
      </c>
      <c r="C19" s="95">
        <v>42357.0</v>
      </c>
      <c r="D19" s="24" t="str">
        <f t="shared" si="2"/>
        <v>Dec-2015</v>
      </c>
      <c r="E19" s="24" t="s">
        <v>25</v>
      </c>
      <c r="F19" s="24" t="s">
        <v>21</v>
      </c>
      <c r="G19" s="23" t="s">
        <v>43</v>
      </c>
      <c r="H19" s="24" t="s">
        <v>44</v>
      </c>
      <c r="I19" s="24" t="s">
        <v>9</v>
      </c>
      <c r="J19" s="24" t="s">
        <v>30</v>
      </c>
    </row>
    <row r="20">
      <c r="A20" s="24">
        <f t="shared" si="1"/>
        <v>19</v>
      </c>
      <c r="B20" s="24" t="s">
        <v>41</v>
      </c>
      <c r="C20" s="95">
        <v>42357.0</v>
      </c>
      <c r="D20" s="24" t="str">
        <f t="shared" si="2"/>
        <v>Dec-2015</v>
      </c>
      <c r="E20" s="24" t="s">
        <v>20</v>
      </c>
      <c r="F20" s="24" t="s">
        <v>21</v>
      </c>
      <c r="G20" s="23" t="s">
        <v>46</v>
      </c>
      <c r="H20" s="24" t="s">
        <v>27</v>
      </c>
      <c r="I20" s="24" t="s">
        <v>9</v>
      </c>
      <c r="J20" s="24" t="s">
        <v>24</v>
      </c>
      <c r="K20" s="24" t="s">
        <v>24</v>
      </c>
    </row>
    <row r="21">
      <c r="A21" s="24">
        <f t="shared" si="1"/>
        <v>20</v>
      </c>
      <c r="B21" s="24" t="s">
        <v>41</v>
      </c>
      <c r="C21" s="95">
        <v>42357.0</v>
      </c>
      <c r="D21" s="24" t="str">
        <f t="shared" si="2"/>
        <v>Dec-2015</v>
      </c>
      <c r="E21" s="24" t="s">
        <v>25</v>
      </c>
      <c r="F21" s="24" t="s">
        <v>21</v>
      </c>
      <c r="G21" s="23" t="s">
        <v>46</v>
      </c>
      <c r="H21" s="24" t="s">
        <v>27</v>
      </c>
      <c r="I21" s="24" t="s">
        <v>9</v>
      </c>
      <c r="J21" s="24" t="s">
        <v>24</v>
      </c>
    </row>
    <row r="22">
      <c r="A22" s="24">
        <f t="shared" si="1"/>
        <v>21</v>
      </c>
      <c r="B22" s="24" t="s">
        <v>41</v>
      </c>
      <c r="C22" s="95">
        <v>42357.0</v>
      </c>
      <c r="D22" s="24" t="str">
        <f t="shared" si="2"/>
        <v>Dec-2015</v>
      </c>
      <c r="E22" s="24" t="s">
        <v>20</v>
      </c>
      <c r="F22" s="24" t="s">
        <v>21</v>
      </c>
      <c r="G22" s="23" t="s">
        <v>47</v>
      </c>
      <c r="H22" s="24" t="s">
        <v>48</v>
      </c>
      <c r="I22" s="24" t="s">
        <v>9</v>
      </c>
      <c r="J22" s="24" t="s">
        <v>24</v>
      </c>
      <c r="K22" s="24" t="s">
        <v>24</v>
      </c>
    </row>
    <row r="23">
      <c r="A23" s="24">
        <f t="shared" si="1"/>
        <v>22</v>
      </c>
      <c r="B23" s="24" t="s">
        <v>41</v>
      </c>
      <c r="C23" s="95">
        <v>42357.0</v>
      </c>
      <c r="D23" s="24" t="str">
        <f t="shared" si="2"/>
        <v>Dec-2015</v>
      </c>
      <c r="E23" s="24" t="s">
        <v>25</v>
      </c>
      <c r="F23" s="24" t="s">
        <v>21</v>
      </c>
      <c r="G23" s="23" t="s">
        <v>47</v>
      </c>
      <c r="H23" s="24" t="s">
        <v>48</v>
      </c>
      <c r="I23" s="24" t="s">
        <v>9</v>
      </c>
      <c r="J23" s="24" t="s">
        <v>24</v>
      </c>
    </row>
    <row r="24">
      <c r="A24" s="24">
        <f t="shared" si="1"/>
        <v>23</v>
      </c>
      <c r="B24" s="24" t="s">
        <v>41</v>
      </c>
      <c r="C24" s="95">
        <v>42357.0</v>
      </c>
      <c r="D24" s="24" t="str">
        <f t="shared" si="2"/>
        <v>Dec-2015</v>
      </c>
      <c r="E24" s="24" t="s">
        <v>20</v>
      </c>
      <c r="F24" s="24" t="s">
        <v>49</v>
      </c>
      <c r="G24" s="23" t="s">
        <v>43</v>
      </c>
      <c r="H24" s="24" t="s">
        <v>44</v>
      </c>
      <c r="I24" s="24" t="s">
        <v>9</v>
      </c>
      <c r="J24" s="24" t="s">
        <v>30</v>
      </c>
      <c r="K24" s="24" t="s">
        <v>30</v>
      </c>
      <c r="L24" s="24"/>
    </row>
    <row r="25">
      <c r="A25" s="24">
        <f t="shared" si="1"/>
        <v>24</v>
      </c>
      <c r="B25" s="24" t="s">
        <v>41</v>
      </c>
      <c r="C25" s="95">
        <v>42357.0</v>
      </c>
      <c r="D25" s="24" t="str">
        <f t="shared" si="2"/>
        <v>Dec-2015</v>
      </c>
      <c r="E25" s="24" t="s">
        <v>25</v>
      </c>
      <c r="F25" s="24" t="s">
        <v>49</v>
      </c>
      <c r="G25" s="23" t="s">
        <v>43</v>
      </c>
      <c r="H25" s="24" t="s">
        <v>44</v>
      </c>
      <c r="I25" s="24" t="s">
        <v>9</v>
      </c>
      <c r="J25" s="24" t="s">
        <v>30</v>
      </c>
      <c r="K25" s="24"/>
      <c r="L25" s="24"/>
    </row>
    <row r="26">
      <c r="A26" s="24">
        <f t="shared" si="1"/>
        <v>25</v>
      </c>
      <c r="B26" s="24" t="s">
        <v>41</v>
      </c>
      <c r="C26" s="95">
        <v>42357.0</v>
      </c>
      <c r="D26" s="24" t="str">
        <f t="shared" si="2"/>
        <v>Dec-2015</v>
      </c>
      <c r="E26" s="24" t="s">
        <v>20</v>
      </c>
      <c r="F26" s="24" t="s">
        <v>49</v>
      </c>
      <c r="G26" s="23" t="s">
        <v>50</v>
      </c>
      <c r="H26" s="24" t="s">
        <v>44</v>
      </c>
      <c r="I26" s="24" t="s">
        <v>9</v>
      </c>
      <c r="J26" s="24" t="s">
        <v>24</v>
      </c>
      <c r="K26" s="24" t="s">
        <v>24</v>
      </c>
    </row>
    <row r="27">
      <c r="A27" s="24">
        <f t="shared" si="1"/>
        <v>26</v>
      </c>
      <c r="B27" s="24" t="s">
        <v>41</v>
      </c>
      <c r="C27" s="95">
        <v>42357.0</v>
      </c>
      <c r="D27" s="24" t="str">
        <f t="shared" si="2"/>
        <v>Dec-2015</v>
      </c>
      <c r="E27" s="24" t="s">
        <v>25</v>
      </c>
      <c r="F27" s="24" t="s">
        <v>49</v>
      </c>
      <c r="G27" s="23" t="s">
        <v>50</v>
      </c>
      <c r="H27" s="24" t="s">
        <v>44</v>
      </c>
      <c r="I27" s="24" t="s">
        <v>9</v>
      </c>
      <c r="J27" s="24" t="s">
        <v>30</v>
      </c>
    </row>
    <row r="28">
      <c r="A28" s="24">
        <f t="shared" si="1"/>
        <v>27</v>
      </c>
      <c r="B28" s="24" t="s">
        <v>41</v>
      </c>
      <c r="C28" s="95">
        <v>42357.0</v>
      </c>
      <c r="D28" s="24" t="str">
        <f t="shared" si="2"/>
        <v>Dec-2015</v>
      </c>
      <c r="E28" s="24" t="s">
        <v>32</v>
      </c>
      <c r="F28" s="24" t="s">
        <v>49</v>
      </c>
      <c r="G28" s="23" t="s">
        <v>50</v>
      </c>
      <c r="H28" s="24" t="s">
        <v>44</v>
      </c>
      <c r="I28" s="24" t="s">
        <v>9</v>
      </c>
      <c r="J28" s="24" t="s">
        <v>24</v>
      </c>
      <c r="K28" s="24"/>
      <c r="L28" s="24"/>
    </row>
    <row r="29">
      <c r="A29" s="24">
        <f t="shared" si="1"/>
        <v>28</v>
      </c>
      <c r="B29" s="24" t="s">
        <v>41</v>
      </c>
      <c r="C29" s="95">
        <v>42357.0</v>
      </c>
      <c r="D29" s="24" t="str">
        <f t="shared" si="2"/>
        <v>Dec-2015</v>
      </c>
      <c r="E29" s="24" t="s">
        <v>51</v>
      </c>
      <c r="F29" s="24" t="s">
        <v>49</v>
      </c>
      <c r="G29" s="23" t="s">
        <v>52</v>
      </c>
      <c r="J29" s="24" t="s">
        <v>51</v>
      </c>
    </row>
    <row r="30">
      <c r="A30" s="24">
        <f t="shared" si="1"/>
        <v>29</v>
      </c>
      <c r="B30" s="24" t="s">
        <v>41</v>
      </c>
      <c r="C30" s="95">
        <v>42357.0</v>
      </c>
      <c r="D30" s="24" t="str">
        <f t="shared" si="2"/>
        <v>Dec-2015</v>
      </c>
      <c r="E30" s="24" t="s">
        <v>20</v>
      </c>
      <c r="F30" s="24" t="s">
        <v>49</v>
      </c>
      <c r="G30" s="23" t="s">
        <v>53</v>
      </c>
      <c r="H30" s="24" t="s">
        <v>9</v>
      </c>
      <c r="I30" s="24" t="s">
        <v>9</v>
      </c>
      <c r="J30" s="24" t="s">
        <v>24</v>
      </c>
      <c r="K30" s="24" t="s">
        <v>24</v>
      </c>
    </row>
    <row r="31">
      <c r="A31" s="24">
        <f t="shared" si="1"/>
        <v>30</v>
      </c>
      <c r="B31" s="24" t="s">
        <v>41</v>
      </c>
      <c r="C31" s="95">
        <v>42357.0</v>
      </c>
      <c r="D31" s="24" t="str">
        <f t="shared" si="2"/>
        <v>Dec-2015</v>
      </c>
      <c r="E31" s="24" t="s">
        <v>25</v>
      </c>
      <c r="F31" s="24" t="s">
        <v>49</v>
      </c>
      <c r="G31" s="23" t="s">
        <v>53</v>
      </c>
      <c r="H31" s="24" t="s">
        <v>9</v>
      </c>
      <c r="I31" s="24" t="s">
        <v>9</v>
      </c>
      <c r="J31" s="24" t="s">
        <v>30</v>
      </c>
    </row>
    <row r="32">
      <c r="A32" s="24">
        <f t="shared" si="1"/>
        <v>31</v>
      </c>
      <c r="B32" s="24" t="s">
        <v>41</v>
      </c>
      <c r="C32" s="95">
        <v>42357.0</v>
      </c>
      <c r="D32" s="24" t="str">
        <f t="shared" si="2"/>
        <v>Dec-2015</v>
      </c>
      <c r="E32" s="24" t="s">
        <v>32</v>
      </c>
      <c r="F32" s="24" t="s">
        <v>49</v>
      </c>
      <c r="G32" s="23" t="s">
        <v>53</v>
      </c>
      <c r="H32" s="24" t="s">
        <v>9</v>
      </c>
      <c r="I32" s="24" t="s">
        <v>9</v>
      </c>
      <c r="J32" s="24" t="s">
        <v>24</v>
      </c>
    </row>
    <row r="33">
      <c r="A33" s="24">
        <f t="shared" si="1"/>
        <v>32</v>
      </c>
      <c r="B33" s="24" t="s">
        <v>54</v>
      </c>
      <c r="C33" s="95">
        <v>42378.0</v>
      </c>
      <c r="D33" s="24" t="str">
        <f t="shared" si="2"/>
        <v>Jan-2016</v>
      </c>
      <c r="E33" s="24" t="s">
        <v>20</v>
      </c>
      <c r="F33" s="24" t="s">
        <v>35</v>
      </c>
      <c r="G33" s="23" t="s">
        <v>55</v>
      </c>
      <c r="H33" s="24" t="s">
        <v>48</v>
      </c>
      <c r="I33" s="24" t="s">
        <v>9</v>
      </c>
      <c r="J33" s="24" t="s">
        <v>24</v>
      </c>
      <c r="K33" s="24" t="s">
        <v>24</v>
      </c>
    </row>
    <row r="34">
      <c r="A34" s="24">
        <f t="shared" si="1"/>
        <v>33</v>
      </c>
      <c r="B34" s="24" t="s">
        <v>54</v>
      </c>
      <c r="C34" s="95">
        <v>42378.0</v>
      </c>
      <c r="D34" s="24" t="str">
        <f t="shared" si="2"/>
        <v>Jan-2016</v>
      </c>
      <c r="E34" s="24" t="s">
        <v>25</v>
      </c>
      <c r="F34" s="24" t="s">
        <v>35</v>
      </c>
      <c r="G34" s="23" t="s">
        <v>55</v>
      </c>
      <c r="H34" s="24" t="s">
        <v>48</v>
      </c>
      <c r="I34" s="24" t="s">
        <v>9</v>
      </c>
      <c r="J34" s="24" t="s">
        <v>24</v>
      </c>
    </row>
    <row r="35">
      <c r="A35" s="24">
        <f t="shared" si="1"/>
        <v>34</v>
      </c>
      <c r="B35" s="24" t="s">
        <v>54</v>
      </c>
      <c r="C35" s="95">
        <v>42378.0</v>
      </c>
      <c r="D35" s="24" t="str">
        <f t="shared" si="2"/>
        <v>Jan-2016</v>
      </c>
      <c r="E35" s="24" t="s">
        <v>51</v>
      </c>
      <c r="F35" s="24" t="s">
        <v>35</v>
      </c>
      <c r="G35" s="23" t="s">
        <v>57</v>
      </c>
      <c r="J35" s="24" t="s">
        <v>51</v>
      </c>
    </row>
    <row r="36">
      <c r="A36" s="24">
        <f t="shared" si="1"/>
        <v>35</v>
      </c>
      <c r="B36" s="24" t="s">
        <v>54</v>
      </c>
      <c r="C36" s="95">
        <v>42378.0</v>
      </c>
      <c r="D36" s="24" t="str">
        <f t="shared" si="2"/>
        <v>Jan-2016</v>
      </c>
      <c r="E36" s="24" t="s">
        <v>20</v>
      </c>
      <c r="F36" s="24" t="s">
        <v>35</v>
      </c>
      <c r="G36" s="23" t="s">
        <v>58</v>
      </c>
      <c r="H36" s="24" t="s">
        <v>44</v>
      </c>
      <c r="I36" s="24" t="s">
        <v>9</v>
      </c>
      <c r="J36" s="24" t="s">
        <v>24</v>
      </c>
      <c r="K36" s="24" t="s">
        <v>24</v>
      </c>
    </row>
    <row r="37">
      <c r="A37" s="24">
        <f t="shared" si="1"/>
        <v>36</v>
      </c>
      <c r="B37" s="24" t="s">
        <v>54</v>
      </c>
      <c r="C37" s="95">
        <v>42378.0</v>
      </c>
      <c r="D37" s="24" t="str">
        <f t="shared" si="2"/>
        <v>Jan-2016</v>
      </c>
      <c r="E37" s="24" t="s">
        <v>25</v>
      </c>
      <c r="F37" s="24" t="s">
        <v>35</v>
      </c>
      <c r="G37" s="23" t="s">
        <v>58</v>
      </c>
      <c r="H37" s="24" t="s">
        <v>44</v>
      </c>
      <c r="I37" s="24" t="s">
        <v>9</v>
      </c>
      <c r="J37" s="24" t="s">
        <v>24</v>
      </c>
    </row>
    <row r="38">
      <c r="A38" s="24">
        <f t="shared" si="1"/>
        <v>37</v>
      </c>
      <c r="B38" s="24" t="s">
        <v>59</v>
      </c>
      <c r="C38" s="95">
        <v>42413.0</v>
      </c>
      <c r="D38" s="24" t="str">
        <f t="shared" si="2"/>
        <v>Feb-2016</v>
      </c>
      <c r="E38" s="24" t="s">
        <v>20</v>
      </c>
      <c r="F38" s="24" t="s">
        <v>21</v>
      </c>
      <c r="G38" s="23" t="s">
        <v>60</v>
      </c>
      <c r="H38" s="24" t="s">
        <v>48</v>
      </c>
      <c r="I38" s="24" t="s">
        <v>9</v>
      </c>
      <c r="J38" s="24" t="s">
        <v>24</v>
      </c>
      <c r="K38" s="24" t="s">
        <v>24</v>
      </c>
    </row>
    <row r="39">
      <c r="A39" s="24">
        <f t="shared" si="1"/>
        <v>38</v>
      </c>
      <c r="B39" s="24" t="s">
        <v>59</v>
      </c>
      <c r="C39" s="95">
        <v>42413.0</v>
      </c>
      <c r="D39" s="24" t="str">
        <f t="shared" si="2"/>
        <v>Feb-2016</v>
      </c>
      <c r="E39" s="24" t="s">
        <v>25</v>
      </c>
      <c r="F39" s="24" t="s">
        <v>21</v>
      </c>
      <c r="G39" s="23" t="s">
        <v>60</v>
      </c>
      <c r="H39" s="24" t="s">
        <v>48</v>
      </c>
      <c r="I39" s="24" t="s">
        <v>9</v>
      </c>
      <c r="J39" s="24" t="s">
        <v>24</v>
      </c>
    </row>
    <row r="40">
      <c r="A40" s="24">
        <f t="shared" si="1"/>
        <v>39</v>
      </c>
      <c r="B40" s="24" t="s">
        <v>59</v>
      </c>
      <c r="C40" s="95">
        <v>42413.0</v>
      </c>
      <c r="D40" s="24" t="str">
        <f t="shared" si="2"/>
        <v>Feb-2016</v>
      </c>
      <c r="E40" s="24" t="s">
        <v>20</v>
      </c>
      <c r="F40" s="24" t="s">
        <v>21</v>
      </c>
      <c r="G40" s="23" t="s">
        <v>62</v>
      </c>
      <c r="H40" s="24" t="s">
        <v>44</v>
      </c>
      <c r="I40" s="24" t="s">
        <v>9</v>
      </c>
      <c r="J40" s="24" t="s">
        <v>30</v>
      </c>
      <c r="K40" s="24" t="s">
        <v>30</v>
      </c>
    </row>
    <row r="41">
      <c r="A41" s="24">
        <f t="shared" si="1"/>
        <v>40</v>
      </c>
      <c r="B41" s="24" t="s">
        <v>59</v>
      </c>
      <c r="C41" s="95">
        <v>42413.0</v>
      </c>
      <c r="D41" s="24" t="str">
        <f t="shared" si="2"/>
        <v>Feb-2016</v>
      </c>
      <c r="E41" s="24" t="s">
        <v>25</v>
      </c>
      <c r="F41" s="24" t="s">
        <v>21</v>
      </c>
      <c r="G41" s="23" t="s">
        <v>62</v>
      </c>
      <c r="H41" s="24" t="s">
        <v>44</v>
      </c>
      <c r="I41" s="24" t="s">
        <v>9</v>
      </c>
      <c r="J41" s="24" t="s">
        <v>30</v>
      </c>
    </row>
    <row r="42">
      <c r="A42" s="24">
        <f t="shared" si="1"/>
        <v>41</v>
      </c>
      <c r="B42" s="24" t="s">
        <v>59</v>
      </c>
      <c r="C42" s="95">
        <v>42413.0</v>
      </c>
      <c r="D42" s="24" t="str">
        <f t="shared" si="2"/>
        <v>Feb-2016</v>
      </c>
      <c r="E42" s="24" t="s">
        <v>20</v>
      </c>
      <c r="F42" s="24" t="s">
        <v>21</v>
      </c>
      <c r="G42" s="23" t="s">
        <v>63</v>
      </c>
      <c r="H42" s="24" t="s">
        <v>64</v>
      </c>
      <c r="I42" s="24" t="s">
        <v>9</v>
      </c>
      <c r="J42" s="24" t="s">
        <v>24</v>
      </c>
      <c r="K42" s="24" t="s">
        <v>30</v>
      </c>
    </row>
    <row r="43">
      <c r="A43" s="24">
        <f t="shared" si="1"/>
        <v>42</v>
      </c>
      <c r="B43" s="24" t="s">
        <v>59</v>
      </c>
      <c r="C43" s="95">
        <v>42413.0</v>
      </c>
      <c r="D43" s="24" t="str">
        <f t="shared" si="2"/>
        <v>Feb-2016</v>
      </c>
      <c r="E43" s="24" t="s">
        <v>25</v>
      </c>
      <c r="F43" s="24" t="s">
        <v>21</v>
      </c>
      <c r="G43" s="23" t="s">
        <v>63</v>
      </c>
      <c r="H43" s="24" t="s">
        <v>64</v>
      </c>
      <c r="I43" s="24" t="s">
        <v>9</v>
      </c>
      <c r="J43" s="24" t="s">
        <v>30</v>
      </c>
    </row>
    <row r="44">
      <c r="A44" s="24">
        <f t="shared" si="1"/>
        <v>43</v>
      </c>
      <c r="B44" s="24" t="s">
        <v>59</v>
      </c>
      <c r="C44" s="95">
        <v>42413.0</v>
      </c>
      <c r="D44" s="24" t="str">
        <f t="shared" si="2"/>
        <v>Feb-2016</v>
      </c>
      <c r="E44" s="24" t="s">
        <v>32</v>
      </c>
      <c r="F44" s="24" t="s">
        <v>21</v>
      </c>
      <c r="G44" s="23" t="s">
        <v>63</v>
      </c>
      <c r="H44" s="24" t="s">
        <v>64</v>
      </c>
      <c r="I44" s="24" t="s">
        <v>9</v>
      </c>
      <c r="J44" s="24" t="s">
        <v>30</v>
      </c>
    </row>
    <row r="45">
      <c r="A45" s="24">
        <f t="shared" si="1"/>
        <v>44</v>
      </c>
      <c r="B45" s="24" t="s">
        <v>59</v>
      </c>
      <c r="C45" s="95">
        <v>42413.0</v>
      </c>
      <c r="D45" s="24" t="str">
        <f t="shared" si="2"/>
        <v>Feb-2016</v>
      </c>
      <c r="E45" s="24" t="s">
        <v>51</v>
      </c>
      <c r="F45" s="24" t="s">
        <v>21</v>
      </c>
      <c r="G45" s="23" t="s">
        <v>66</v>
      </c>
      <c r="J45" s="24" t="s">
        <v>51</v>
      </c>
    </row>
    <row r="46">
      <c r="A46" s="24">
        <f t="shared" si="1"/>
        <v>45</v>
      </c>
      <c r="B46" s="24" t="s">
        <v>59</v>
      </c>
      <c r="C46" s="95">
        <v>42413.0</v>
      </c>
      <c r="D46" s="24" t="str">
        <f t="shared" si="2"/>
        <v>Feb-2016</v>
      </c>
      <c r="E46" s="24" t="s">
        <v>20</v>
      </c>
      <c r="F46" s="24" t="s">
        <v>67</v>
      </c>
      <c r="G46" s="23" t="s">
        <v>68</v>
      </c>
      <c r="H46" s="24" t="s">
        <v>27</v>
      </c>
      <c r="I46" s="24" t="s">
        <v>9</v>
      </c>
      <c r="J46" s="24" t="s">
        <v>24</v>
      </c>
      <c r="K46" s="24" t="s">
        <v>24</v>
      </c>
      <c r="L46" s="24" t="s">
        <v>29</v>
      </c>
    </row>
    <row r="47">
      <c r="A47" s="24">
        <f t="shared" si="1"/>
        <v>46</v>
      </c>
      <c r="B47" s="24" t="s">
        <v>59</v>
      </c>
      <c r="C47" s="95">
        <v>42413.0</v>
      </c>
      <c r="D47" s="24" t="str">
        <f t="shared" si="2"/>
        <v>Feb-2016</v>
      </c>
      <c r="E47" s="24" t="s">
        <v>25</v>
      </c>
      <c r="F47" s="24" t="s">
        <v>67</v>
      </c>
      <c r="G47" s="23" t="s">
        <v>68</v>
      </c>
      <c r="H47" s="24" t="s">
        <v>27</v>
      </c>
      <c r="I47" s="24" t="s">
        <v>9</v>
      </c>
      <c r="J47" s="24" t="s">
        <v>24</v>
      </c>
      <c r="K47" s="24"/>
      <c r="L47" s="24" t="s">
        <v>69</v>
      </c>
    </row>
    <row r="48">
      <c r="A48" s="24">
        <f t="shared" si="1"/>
        <v>47</v>
      </c>
      <c r="B48" s="24" t="s">
        <v>59</v>
      </c>
      <c r="C48" s="95">
        <v>42413.0</v>
      </c>
      <c r="D48" s="24" t="str">
        <f t="shared" si="2"/>
        <v>Feb-2016</v>
      </c>
      <c r="E48" s="24" t="s">
        <v>20</v>
      </c>
      <c r="F48" s="24" t="s">
        <v>67</v>
      </c>
      <c r="G48" s="23" t="s">
        <v>70</v>
      </c>
      <c r="H48" s="24" t="s">
        <v>71</v>
      </c>
      <c r="I48" s="24" t="s">
        <v>9</v>
      </c>
      <c r="J48" s="24" t="s">
        <v>24</v>
      </c>
      <c r="K48" s="24" t="s">
        <v>24</v>
      </c>
    </row>
    <row r="49">
      <c r="A49" s="24">
        <f t="shared" si="1"/>
        <v>48</v>
      </c>
      <c r="B49" s="24" t="s">
        <v>59</v>
      </c>
      <c r="C49" s="95">
        <v>42413.0</v>
      </c>
      <c r="D49" s="24" t="str">
        <f t="shared" si="2"/>
        <v>Feb-2016</v>
      </c>
      <c r="E49" s="24" t="s">
        <v>25</v>
      </c>
      <c r="F49" s="24" t="s">
        <v>67</v>
      </c>
      <c r="G49" s="23" t="s">
        <v>70</v>
      </c>
      <c r="H49" s="24" t="s">
        <v>71</v>
      </c>
      <c r="I49" s="24" t="s">
        <v>9</v>
      </c>
      <c r="J49" s="24" t="s">
        <v>24</v>
      </c>
    </row>
    <row r="50">
      <c r="A50" s="24">
        <f t="shared" si="1"/>
        <v>49</v>
      </c>
      <c r="B50" s="24" t="s">
        <v>72</v>
      </c>
      <c r="C50" s="95">
        <v>42432.0</v>
      </c>
      <c r="D50" s="24" t="str">
        <f t="shared" si="2"/>
        <v>Mar-2016</v>
      </c>
      <c r="E50" s="24" t="s">
        <v>20</v>
      </c>
      <c r="F50" s="24" t="s">
        <v>35</v>
      </c>
      <c r="G50" s="23" t="s">
        <v>75</v>
      </c>
      <c r="H50" s="24" t="s">
        <v>27</v>
      </c>
      <c r="I50" s="24" t="s">
        <v>9</v>
      </c>
      <c r="J50" s="24" t="s">
        <v>24</v>
      </c>
      <c r="K50" s="24" t="s">
        <v>30</v>
      </c>
    </row>
    <row r="51">
      <c r="A51" s="24">
        <f t="shared" si="1"/>
        <v>50</v>
      </c>
      <c r="B51" s="24" t="s">
        <v>72</v>
      </c>
      <c r="C51" s="95">
        <v>42432.0</v>
      </c>
      <c r="D51" s="24" t="str">
        <f t="shared" si="2"/>
        <v>Mar-2016</v>
      </c>
      <c r="E51" s="24" t="s">
        <v>25</v>
      </c>
      <c r="F51" s="24" t="s">
        <v>35</v>
      </c>
      <c r="G51" s="23" t="s">
        <v>75</v>
      </c>
      <c r="H51" s="24" t="s">
        <v>27</v>
      </c>
      <c r="I51" s="24" t="s">
        <v>9</v>
      </c>
      <c r="J51" s="24" t="s">
        <v>30</v>
      </c>
    </row>
    <row r="52">
      <c r="A52" s="24">
        <f t="shared" si="1"/>
        <v>51</v>
      </c>
      <c r="B52" s="24" t="s">
        <v>72</v>
      </c>
      <c r="C52" s="95">
        <v>42432.0</v>
      </c>
      <c r="D52" s="24" t="str">
        <f t="shared" si="2"/>
        <v>Mar-2016</v>
      </c>
      <c r="E52" s="24" t="s">
        <v>77</v>
      </c>
      <c r="F52" s="24" t="s">
        <v>35</v>
      </c>
      <c r="G52" s="23" t="s">
        <v>75</v>
      </c>
      <c r="H52" s="24" t="s">
        <v>27</v>
      </c>
      <c r="I52" s="24" t="s">
        <v>9</v>
      </c>
      <c r="J52" s="24" t="s">
        <v>30</v>
      </c>
    </row>
    <row r="53">
      <c r="A53" s="24">
        <f t="shared" si="1"/>
        <v>52</v>
      </c>
      <c r="B53" s="24" t="s">
        <v>72</v>
      </c>
      <c r="C53" s="95">
        <v>42432.0</v>
      </c>
      <c r="D53" s="24" t="str">
        <f t="shared" si="2"/>
        <v>Mar-2016</v>
      </c>
      <c r="E53" s="24" t="s">
        <v>20</v>
      </c>
      <c r="F53" s="24" t="s">
        <v>35</v>
      </c>
      <c r="G53" s="23" t="s">
        <v>78</v>
      </c>
      <c r="H53" s="24" t="s">
        <v>27</v>
      </c>
      <c r="I53" s="24" t="s">
        <v>9</v>
      </c>
      <c r="J53" s="24" t="s">
        <v>24</v>
      </c>
      <c r="K53" s="24" t="s">
        <v>24</v>
      </c>
    </row>
    <row r="54">
      <c r="A54" s="24">
        <f t="shared" si="1"/>
        <v>53</v>
      </c>
      <c r="B54" s="24" t="s">
        <v>72</v>
      </c>
      <c r="C54" s="95">
        <v>42432.0</v>
      </c>
      <c r="D54" s="24" t="str">
        <f t="shared" si="2"/>
        <v>Mar-2016</v>
      </c>
      <c r="E54" s="24" t="s">
        <v>25</v>
      </c>
      <c r="F54" s="24" t="s">
        <v>35</v>
      </c>
      <c r="G54" s="23" t="s">
        <v>78</v>
      </c>
      <c r="H54" s="24" t="s">
        <v>27</v>
      </c>
      <c r="I54" s="24" t="s">
        <v>9</v>
      </c>
      <c r="J54" s="24" t="s">
        <v>24</v>
      </c>
    </row>
    <row r="55">
      <c r="A55" s="24">
        <f t="shared" si="1"/>
        <v>54</v>
      </c>
      <c r="B55" s="24" t="s">
        <v>72</v>
      </c>
      <c r="C55" s="95">
        <v>42432.0</v>
      </c>
      <c r="D55" s="24" t="str">
        <f t="shared" si="2"/>
        <v>Mar-2016</v>
      </c>
      <c r="E55" s="24" t="s">
        <v>20</v>
      </c>
      <c r="F55" s="24" t="s">
        <v>35</v>
      </c>
      <c r="G55" s="23" t="s">
        <v>79</v>
      </c>
      <c r="H55" s="24" t="s">
        <v>64</v>
      </c>
      <c r="I55" s="24" t="s">
        <v>9</v>
      </c>
      <c r="J55" s="24" t="s">
        <v>24</v>
      </c>
      <c r="K55" s="24" t="s">
        <v>24</v>
      </c>
    </row>
    <row r="56">
      <c r="A56" s="24">
        <f t="shared" si="1"/>
        <v>55</v>
      </c>
      <c r="B56" s="24" t="s">
        <v>72</v>
      </c>
      <c r="C56" s="95">
        <v>42432.0</v>
      </c>
      <c r="D56" s="24" t="str">
        <f t="shared" si="2"/>
        <v>Mar-2016</v>
      </c>
      <c r="E56" s="24" t="s">
        <v>25</v>
      </c>
      <c r="F56" s="24" t="s">
        <v>35</v>
      </c>
      <c r="G56" s="23" t="s">
        <v>79</v>
      </c>
      <c r="H56" s="24" t="s">
        <v>64</v>
      </c>
      <c r="I56" s="24" t="s">
        <v>9</v>
      </c>
      <c r="J56" s="24" t="s">
        <v>30</v>
      </c>
      <c r="K56" s="24"/>
      <c r="L56" s="24" t="s">
        <v>29</v>
      </c>
    </row>
    <row r="57">
      <c r="A57" s="24">
        <f t="shared" si="1"/>
        <v>56</v>
      </c>
      <c r="B57" s="24" t="s">
        <v>72</v>
      </c>
      <c r="C57" s="95">
        <v>42432.0</v>
      </c>
      <c r="D57" s="24" t="str">
        <f t="shared" si="2"/>
        <v>Mar-2016</v>
      </c>
      <c r="E57" s="24" t="s">
        <v>32</v>
      </c>
      <c r="F57" s="24" t="s">
        <v>35</v>
      </c>
      <c r="G57" s="23" t="s">
        <v>79</v>
      </c>
      <c r="H57" s="24" t="s">
        <v>64</v>
      </c>
      <c r="I57" s="24" t="s">
        <v>9</v>
      </c>
      <c r="J57" s="24" t="s">
        <v>24</v>
      </c>
      <c r="K57" s="24"/>
      <c r="L57" s="24" t="s">
        <v>37</v>
      </c>
    </row>
    <row r="58">
      <c r="A58" s="24">
        <f t="shared" si="1"/>
        <v>57</v>
      </c>
      <c r="B58" s="24" t="s">
        <v>80</v>
      </c>
      <c r="C58" s="95">
        <v>42453.0</v>
      </c>
      <c r="D58" s="24" t="str">
        <f t="shared" si="2"/>
        <v>Mar-2016</v>
      </c>
      <c r="E58" s="24" t="s">
        <v>20</v>
      </c>
      <c r="F58" s="24" t="s">
        <v>35</v>
      </c>
      <c r="G58" s="23" t="s">
        <v>81</v>
      </c>
      <c r="H58" s="24" t="s">
        <v>27</v>
      </c>
      <c r="I58" s="24" t="s">
        <v>9</v>
      </c>
      <c r="J58" s="24" t="s">
        <v>30</v>
      </c>
      <c r="K58" s="24" t="s">
        <v>24</v>
      </c>
      <c r="L58" s="24"/>
    </row>
    <row r="59">
      <c r="A59" s="24">
        <f t="shared" si="1"/>
        <v>58</v>
      </c>
      <c r="B59" s="24" t="s">
        <v>80</v>
      </c>
      <c r="C59" s="95">
        <v>42453.0</v>
      </c>
      <c r="D59" s="24" t="str">
        <f t="shared" si="2"/>
        <v>Mar-2016</v>
      </c>
      <c r="E59" s="24" t="s">
        <v>25</v>
      </c>
      <c r="F59" s="24" t="s">
        <v>35</v>
      </c>
      <c r="G59" s="23" t="s">
        <v>81</v>
      </c>
      <c r="H59" s="24" t="s">
        <v>9</v>
      </c>
      <c r="I59" s="24" t="s">
        <v>9</v>
      </c>
      <c r="J59" s="24" t="s">
        <v>24</v>
      </c>
      <c r="K59" s="24"/>
      <c r="L59" s="24"/>
    </row>
    <row r="60">
      <c r="A60" s="24">
        <f t="shared" si="1"/>
        <v>59</v>
      </c>
      <c r="B60" s="24" t="s">
        <v>80</v>
      </c>
      <c r="C60" s="95">
        <v>42453.0</v>
      </c>
      <c r="D60" s="24" t="str">
        <f t="shared" si="2"/>
        <v>Mar-2016</v>
      </c>
      <c r="E60" s="24" t="s">
        <v>32</v>
      </c>
      <c r="F60" s="24" t="s">
        <v>35</v>
      </c>
      <c r="G60" s="23" t="s">
        <v>81</v>
      </c>
      <c r="H60" s="24" t="s">
        <v>9</v>
      </c>
      <c r="I60" s="24" t="s">
        <v>9</v>
      </c>
      <c r="J60" s="24" t="s">
        <v>24</v>
      </c>
    </row>
    <row r="61">
      <c r="A61" s="24">
        <f t="shared" si="1"/>
        <v>60</v>
      </c>
      <c r="B61" s="24" t="s">
        <v>80</v>
      </c>
      <c r="C61" s="95">
        <v>42453.0</v>
      </c>
      <c r="D61" s="24" t="str">
        <f t="shared" si="2"/>
        <v>Mar-2016</v>
      </c>
      <c r="E61" s="24" t="s">
        <v>20</v>
      </c>
      <c r="F61" s="24" t="s">
        <v>35</v>
      </c>
      <c r="G61" s="23" t="s">
        <v>82</v>
      </c>
      <c r="H61" s="24" t="s">
        <v>64</v>
      </c>
      <c r="I61" s="24" t="s">
        <v>9</v>
      </c>
      <c r="J61" s="24" t="s">
        <v>30</v>
      </c>
      <c r="K61" s="24" t="s">
        <v>30</v>
      </c>
    </row>
    <row r="62">
      <c r="A62" s="24">
        <f t="shared" si="1"/>
        <v>61</v>
      </c>
      <c r="B62" s="24" t="s">
        <v>80</v>
      </c>
      <c r="C62" s="95">
        <v>42453.0</v>
      </c>
      <c r="D62" s="24" t="str">
        <f t="shared" si="2"/>
        <v>Mar-2016</v>
      </c>
      <c r="E62" s="24" t="s">
        <v>25</v>
      </c>
      <c r="F62" s="24" t="s">
        <v>35</v>
      </c>
      <c r="G62" s="23" t="s">
        <v>82</v>
      </c>
      <c r="H62" s="24" t="s">
        <v>64</v>
      </c>
      <c r="I62" s="24" t="s">
        <v>9</v>
      </c>
      <c r="J62" s="24" t="s">
        <v>30</v>
      </c>
      <c r="K62" s="24"/>
      <c r="L62" s="24"/>
    </row>
    <row r="63">
      <c r="A63" s="24">
        <f t="shared" si="1"/>
        <v>62</v>
      </c>
      <c r="B63" s="24" t="s">
        <v>80</v>
      </c>
      <c r="C63" s="95">
        <v>42453.0</v>
      </c>
      <c r="D63" s="24" t="str">
        <f t="shared" si="2"/>
        <v>Mar-2016</v>
      </c>
      <c r="E63" s="24" t="s">
        <v>20</v>
      </c>
      <c r="F63" s="24" t="s">
        <v>35</v>
      </c>
      <c r="G63" s="23" t="s">
        <v>79</v>
      </c>
      <c r="H63" s="24" t="s">
        <v>64</v>
      </c>
      <c r="I63" s="24" t="s">
        <v>9</v>
      </c>
      <c r="J63" s="24" t="s">
        <v>24</v>
      </c>
      <c r="K63" s="24" t="s">
        <v>24</v>
      </c>
    </row>
    <row r="64">
      <c r="A64" s="24">
        <f t="shared" si="1"/>
        <v>63</v>
      </c>
      <c r="B64" s="24" t="s">
        <v>80</v>
      </c>
      <c r="C64" s="95">
        <v>42453.0</v>
      </c>
      <c r="D64" s="24" t="str">
        <f t="shared" si="2"/>
        <v>Mar-2016</v>
      </c>
      <c r="E64" s="24" t="s">
        <v>25</v>
      </c>
      <c r="F64" s="24" t="s">
        <v>35</v>
      </c>
      <c r="G64" s="23" t="s">
        <v>79</v>
      </c>
      <c r="H64" s="24" t="s">
        <v>64</v>
      </c>
      <c r="I64" s="24" t="s">
        <v>9</v>
      </c>
      <c r="J64" s="24" t="s">
        <v>24</v>
      </c>
    </row>
    <row r="65">
      <c r="A65" s="24">
        <f t="shared" si="1"/>
        <v>64</v>
      </c>
      <c r="B65" s="24" t="s">
        <v>83</v>
      </c>
      <c r="C65" s="95">
        <v>42455.0</v>
      </c>
      <c r="D65" s="24" t="str">
        <f t="shared" si="2"/>
        <v>Mar-2016</v>
      </c>
      <c r="E65" s="24" t="s">
        <v>20</v>
      </c>
      <c r="F65" s="24" t="s">
        <v>21</v>
      </c>
      <c r="G65" s="23" t="s">
        <v>85</v>
      </c>
      <c r="H65" s="24" t="s">
        <v>86</v>
      </c>
      <c r="I65" s="24" t="s">
        <v>9</v>
      </c>
      <c r="J65" s="24" t="s">
        <v>24</v>
      </c>
      <c r="K65" s="24" t="s">
        <v>24</v>
      </c>
    </row>
    <row r="66">
      <c r="A66" s="24">
        <f t="shared" si="1"/>
        <v>65</v>
      </c>
      <c r="B66" s="24" t="s">
        <v>83</v>
      </c>
      <c r="C66" s="95">
        <v>42455.0</v>
      </c>
      <c r="D66" s="24" t="str">
        <f t="shared" si="2"/>
        <v>Mar-2016</v>
      </c>
      <c r="E66" s="24" t="s">
        <v>25</v>
      </c>
      <c r="F66" s="24" t="s">
        <v>21</v>
      </c>
      <c r="G66" s="23" t="s">
        <v>85</v>
      </c>
      <c r="H66" s="24" t="s">
        <v>86</v>
      </c>
      <c r="I66" s="24" t="s">
        <v>9</v>
      </c>
      <c r="J66" s="24" t="s">
        <v>24</v>
      </c>
    </row>
    <row r="67">
      <c r="A67" s="24">
        <f t="shared" si="1"/>
        <v>66</v>
      </c>
      <c r="B67" s="24" t="s">
        <v>83</v>
      </c>
      <c r="C67" s="95">
        <v>42455.0</v>
      </c>
      <c r="D67" s="24" t="str">
        <f t="shared" si="2"/>
        <v>Mar-2016</v>
      </c>
      <c r="E67" s="24" t="s">
        <v>20</v>
      </c>
      <c r="F67" s="24" t="s">
        <v>21</v>
      </c>
      <c r="G67" s="23" t="s">
        <v>87</v>
      </c>
      <c r="H67" s="24" t="s">
        <v>86</v>
      </c>
      <c r="I67" s="24" t="s">
        <v>9</v>
      </c>
      <c r="J67" s="24" t="s">
        <v>24</v>
      </c>
      <c r="K67" s="24" t="s">
        <v>24</v>
      </c>
    </row>
    <row r="68">
      <c r="A68" s="24">
        <f t="shared" si="1"/>
        <v>67</v>
      </c>
      <c r="B68" s="24" t="s">
        <v>83</v>
      </c>
      <c r="C68" s="95">
        <v>42455.0</v>
      </c>
      <c r="D68" s="24" t="str">
        <f t="shared" si="2"/>
        <v>Mar-2016</v>
      </c>
      <c r="E68" s="24" t="s">
        <v>25</v>
      </c>
      <c r="F68" s="24" t="s">
        <v>21</v>
      </c>
      <c r="G68" s="23" t="s">
        <v>87</v>
      </c>
      <c r="H68" s="24" t="s">
        <v>86</v>
      </c>
      <c r="I68" s="24" t="s">
        <v>9</v>
      </c>
      <c r="J68" s="24" t="s">
        <v>24</v>
      </c>
    </row>
    <row r="69">
      <c r="A69" s="24">
        <f t="shared" si="1"/>
        <v>68</v>
      </c>
      <c r="B69" s="24" t="s">
        <v>83</v>
      </c>
      <c r="C69" s="95">
        <v>42455.0</v>
      </c>
      <c r="D69" s="24" t="str">
        <f t="shared" si="2"/>
        <v>Mar-2016</v>
      </c>
      <c r="E69" s="24" t="s">
        <v>20</v>
      </c>
      <c r="F69" s="24" t="s">
        <v>21</v>
      </c>
      <c r="G69" s="23" t="s">
        <v>88</v>
      </c>
      <c r="H69" s="24" t="s">
        <v>86</v>
      </c>
      <c r="I69" s="24" t="s">
        <v>9</v>
      </c>
      <c r="J69" s="24" t="s">
        <v>24</v>
      </c>
      <c r="K69" s="24" t="s">
        <v>24</v>
      </c>
    </row>
    <row r="70">
      <c r="A70" s="24">
        <f t="shared" si="1"/>
        <v>69</v>
      </c>
      <c r="B70" s="24" t="s">
        <v>83</v>
      </c>
      <c r="C70" s="95">
        <v>42455.0</v>
      </c>
      <c r="D70" s="24" t="str">
        <f t="shared" si="2"/>
        <v>Mar-2016</v>
      </c>
      <c r="E70" s="24" t="s">
        <v>25</v>
      </c>
      <c r="F70" s="24" t="s">
        <v>21</v>
      </c>
      <c r="G70" s="23" t="s">
        <v>88</v>
      </c>
      <c r="H70" s="24" t="s">
        <v>86</v>
      </c>
      <c r="I70" s="24" t="s">
        <v>9</v>
      </c>
      <c r="J70" s="24" t="s">
        <v>24</v>
      </c>
    </row>
    <row r="71">
      <c r="A71" s="24">
        <f t="shared" si="1"/>
        <v>70</v>
      </c>
      <c r="B71" s="24" t="s">
        <v>83</v>
      </c>
      <c r="C71" s="95">
        <v>42455.0</v>
      </c>
      <c r="D71" s="24" t="str">
        <f t="shared" si="2"/>
        <v>Mar-2016</v>
      </c>
      <c r="E71" s="24" t="s">
        <v>20</v>
      </c>
      <c r="F71" s="24" t="s">
        <v>21</v>
      </c>
      <c r="G71" s="23" t="s">
        <v>90</v>
      </c>
      <c r="H71" s="24" t="s">
        <v>9</v>
      </c>
      <c r="I71" s="24" t="s">
        <v>9</v>
      </c>
      <c r="J71" s="24" t="s">
        <v>30</v>
      </c>
      <c r="K71" s="24" t="s">
        <v>30</v>
      </c>
    </row>
    <row r="72">
      <c r="A72" s="24">
        <f t="shared" si="1"/>
        <v>71</v>
      </c>
      <c r="B72" s="24" t="s">
        <v>83</v>
      </c>
      <c r="C72" s="95">
        <v>42455.0</v>
      </c>
      <c r="D72" s="24" t="str">
        <f t="shared" si="2"/>
        <v>Mar-2016</v>
      </c>
      <c r="E72" s="24" t="s">
        <v>25</v>
      </c>
      <c r="F72" s="24" t="s">
        <v>21</v>
      </c>
      <c r="G72" s="23" t="s">
        <v>90</v>
      </c>
      <c r="H72" s="24" t="s">
        <v>9</v>
      </c>
      <c r="I72" s="24" t="s">
        <v>9</v>
      </c>
      <c r="J72" s="24" t="s">
        <v>30</v>
      </c>
    </row>
    <row r="73">
      <c r="A73" s="24">
        <f t="shared" si="1"/>
        <v>72</v>
      </c>
      <c r="B73" s="24" t="s">
        <v>83</v>
      </c>
      <c r="C73" s="95">
        <v>42455.0</v>
      </c>
      <c r="D73" s="24" t="str">
        <f t="shared" si="2"/>
        <v>Mar-2016</v>
      </c>
      <c r="E73" s="24" t="s">
        <v>20</v>
      </c>
      <c r="F73" s="24" t="s">
        <v>21</v>
      </c>
      <c r="G73" s="23" t="s">
        <v>91</v>
      </c>
      <c r="H73" s="24" t="s">
        <v>44</v>
      </c>
      <c r="I73" s="24" t="s">
        <v>9</v>
      </c>
      <c r="J73" s="24" t="s">
        <v>30</v>
      </c>
      <c r="K73" s="24" t="s">
        <v>30</v>
      </c>
    </row>
    <row r="74">
      <c r="A74" s="24">
        <f t="shared" si="1"/>
        <v>73</v>
      </c>
      <c r="B74" s="24" t="s">
        <v>83</v>
      </c>
      <c r="C74" s="95">
        <v>42455.0</v>
      </c>
      <c r="D74" s="24" t="str">
        <f t="shared" si="2"/>
        <v>Mar-2016</v>
      </c>
      <c r="E74" s="24" t="s">
        <v>25</v>
      </c>
      <c r="F74" s="24" t="s">
        <v>21</v>
      </c>
      <c r="G74" s="23" t="s">
        <v>91</v>
      </c>
      <c r="H74" s="24" t="s">
        <v>44</v>
      </c>
      <c r="I74" s="24" t="s">
        <v>9</v>
      </c>
      <c r="J74" s="24" t="s">
        <v>30</v>
      </c>
    </row>
    <row r="75">
      <c r="A75" s="24">
        <f t="shared" si="1"/>
        <v>74</v>
      </c>
      <c r="B75" s="24" t="s">
        <v>83</v>
      </c>
      <c r="C75" s="95">
        <v>42455.0</v>
      </c>
      <c r="D75" s="24"/>
      <c r="E75" s="24" t="s">
        <v>51</v>
      </c>
      <c r="F75" s="24" t="s">
        <v>21</v>
      </c>
      <c r="G75" s="23" t="s">
        <v>62</v>
      </c>
      <c r="J75" s="24" t="s">
        <v>51</v>
      </c>
    </row>
    <row r="76">
      <c r="A76" s="24">
        <f t="shared" si="1"/>
        <v>75</v>
      </c>
      <c r="B76" s="24" t="s">
        <v>83</v>
      </c>
      <c r="C76" s="95">
        <v>42455.0</v>
      </c>
      <c r="D76" s="24" t="str">
        <f t="shared" ref="D76:D942" si="3">TEXT(C76, "mmm") &amp; "-" &amp; TEXT(C76, "yyyy") </f>
        <v>Mar-2016</v>
      </c>
      <c r="E76" s="24" t="s">
        <v>20</v>
      </c>
      <c r="F76" s="24" t="s">
        <v>67</v>
      </c>
      <c r="G76" s="23" t="s">
        <v>92</v>
      </c>
      <c r="H76" s="24" t="s">
        <v>27</v>
      </c>
      <c r="I76" s="24" t="s">
        <v>9</v>
      </c>
      <c r="J76" s="24" t="s">
        <v>24</v>
      </c>
      <c r="K76" s="24" t="s">
        <v>24</v>
      </c>
      <c r="L76" s="24" t="s">
        <v>37</v>
      </c>
    </row>
    <row r="77">
      <c r="A77" s="24">
        <f t="shared" si="1"/>
        <v>76</v>
      </c>
      <c r="B77" s="24" t="s">
        <v>83</v>
      </c>
      <c r="C77" s="95">
        <v>42455.0</v>
      </c>
      <c r="D77" s="24" t="str">
        <f t="shared" si="3"/>
        <v>Mar-2016</v>
      </c>
      <c r="E77" s="24" t="s">
        <v>25</v>
      </c>
      <c r="F77" s="24" t="s">
        <v>67</v>
      </c>
      <c r="G77" s="23" t="s">
        <v>92</v>
      </c>
      <c r="H77" s="24" t="s">
        <v>27</v>
      </c>
      <c r="I77" s="24" t="s">
        <v>9</v>
      </c>
      <c r="J77" s="24" t="s">
        <v>24</v>
      </c>
      <c r="K77" s="24"/>
      <c r="L77" s="24" t="s">
        <v>29</v>
      </c>
    </row>
    <row r="78">
      <c r="A78" s="24">
        <f t="shared" si="1"/>
        <v>77</v>
      </c>
      <c r="B78" s="24" t="s">
        <v>83</v>
      </c>
      <c r="C78" s="95">
        <v>42455.0</v>
      </c>
      <c r="D78" s="24" t="str">
        <f t="shared" si="3"/>
        <v>Mar-2016</v>
      </c>
      <c r="E78" s="24" t="s">
        <v>20</v>
      </c>
      <c r="F78" s="24" t="s">
        <v>67</v>
      </c>
      <c r="G78" s="23" t="s">
        <v>93</v>
      </c>
      <c r="H78" s="24" t="s">
        <v>27</v>
      </c>
      <c r="I78" s="24" t="s">
        <v>9</v>
      </c>
      <c r="J78" s="24" t="s">
        <v>30</v>
      </c>
      <c r="K78" s="24" t="s">
        <v>30</v>
      </c>
    </row>
    <row r="79">
      <c r="A79" s="24">
        <f t="shared" si="1"/>
        <v>78</v>
      </c>
      <c r="B79" s="24" t="s">
        <v>83</v>
      </c>
      <c r="C79" s="95">
        <v>42455.0</v>
      </c>
      <c r="D79" s="24" t="str">
        <f t="shared" si="3"/>
        <v>Mar-2016</v>
      </c>
      <c r="E79" s="24" t="s">
        <v>25</v>
      </c>
      <c r="F79" s="24" t="s">
        <v>67</v>
      </c>
      <c r="G79" s="23" t="s">
        <v>93</v>
      </c>
      <c r="H79" s="24" t="s">
        <v>27</v>
      </c>
      <c r="I79" s="24" t="s">
        <v>9</v>
      </c>
      <c r="J79" s="24" t="s">
        <v>30</v>
      </c>
    </row>
    <row r="80">
      <c r="A80" s="24">
        <f t="shared" si="1"/>
        <v>79</v>
      </c>
      <c r="B80" s="24" t="s">
        <v>83</v>
      </c>
      <c r="C80" s="95">
        <v>42455.0</v>
      </c>
      <c r="D80" s="24" t="str">
        <f t="shared" si="3"/>
        <v>Mar-2016</v>
      </c>
      <c r="E80" s="24" t="s">
        <v>20</v>
      </c>
      <c r="F80" s="24" t="s">
        <v>67</v>
      </c>
      <c r="G80" s="23" t="s">
        <v>94</v>
      </c>
      <c r="H80" s="24" t="s">
        <v>23</v>
      </c>
      <c r="I80" s="24" t="s">
        <v>9</v>
      </c>
      <c r="J80" s="24" t="s">
        <v>24</v>
      </c>
      <c r="K80" s="24" t="s">
        <v>24</v>
      </c>
      <c r="L80" s="24"/>
    </row>
    <row r="81">
      <c r="A81" s="24">
        <f t="shared" si="1"/>
        <v>80</v>
      </c>
      <c r="B81" s="24" t="s">
        <v>83</v>
      </c>
      <c r="C81" s="95">
        <v>42455.0</v>
      </c>
      <c r="D81" s="24" t="str">
        <f t="shared" si="3"/>
        <v>Mar-2016</v>
      </c>
      <c r="E81" s="24" t="s">
        <v>25</v>
      </c>
      <c r="F81" s="24" t="s">
        <v>67</v>
      </c>
      <c r="G81" s="23" t="s">
        <v>94</v>
      </c>
      <c r="H81" s="24" t="s">
        <v>23</v>
      </c>
      <c r="I81" s="24" t="s">
        <v>9</v>
      </c>
      <c r="J81" s="24" t="s">
        <v>24</v>
      </c>
    </row>
    <row r="82">
      <c r="A82" s="24">
        <f t="shared" si="1"/>
        <v>81</v>
      </c>
      <c r="B82" s="24" t="s">
        <v>95</v>
      </c>
      <c r="C82" s="95">
        <v>42460.0</v>
      </c>
      <c r="D82" s="24" t="str">
        <f t="shared" si="3"/>
        <v>Mar-2016</v>
      </c>
      <c r="E82" s="24" t="s">
        <v>20</v>
      </c>
      <c r="F82" s="24" t="s">
        <v>35</v>
      </c>
      <c r="G82" s="23" t="s">
        <v>96</v>
      </c>
      <c r="H82" s="24" t="s">
        <v>97</v>
      </c>
      <c r="I82" s="24" t="s">
        <v>9</v>
      </c>
      <c r="J82" s="24" t="s">
        <v>30</v>
      </c>
      <c r="K82" s="24" t="s">
        <v>30</v>
      </c>
      <c r="L82" s="24" t="s">
        <v>98</v>
      </c>
    </row>
    <row r="83">
      <c r="A83" s="24">
        <f t="shared" si="1"/>
        <v>82</v>
      </c>
      <c r="B83" s="24" t="s">
        <v>95</v>
      </c>
      <c r="C83" s="95">
        <v>42460.0</v>
      </c>
      <c r="D83" s="24" t="str">
        <f t="shared" si="3"/>
        <v>Mar-2016</v>
      </c>
      <c r="E83" s="24" t="s">
        <v>25</v>
      </c>
      <c r="F83" s="24" t="s">
        <v>35</v>
      </c>
      <c r="G83" s="23" t="s">
        <v>96</v>
      </c>
      <c r="H83" s="24" t="s">
        <v>97</v>
      </c>
      <c r="I83" s="24" t="s">
        <v>9</v>
      </c>
      <c r="J83" s="24" t="s">
        <v>30</v>
      </c>
      <c r="K83" s="24"/>
      <c r="L83" s="24" t="s">
        <v>99</v>
      </c>
    </row>
    <row r="84">
      <c r="A84" s="24">
        <f t="shared" si="1"/>
        <v>83</v>
      </c>
      <c r="B84" s="24" t="s">
        <v>95</v>
      </c>
      <c r="C84" s="95">
        <v>42460.0</v>
      </c>
      <c r="D84" s="24" t="str">
        <f t="shared" si="3"/>
        <v>Mar-2016</v>
      </c>
      <c r="E84" s="24" t="s">
        <v>20</v>
      </c>
      <c r="F84" s="24" t="s">
        <v>35</v>
      </c>
      <c r="G84" s="23" t="s">
        <v>47</v>
      </c>
      <c r="H84" s="24" t="s">
        <v>48</v>
      </c>
      <c r="I84" s="24" t="s">
        <v>9</v>
      </c>
      <c r="J84" s="24" t="s">
        <v>24</v>
      </c>
      <c r="K84" s="24" t="s">
        <v>24</v>
      </c>
      <c r="L84" s="24" t="s">
        <v>98</v>
      </c>
    </row>
    <row r="85">
      <c r="A85" s="24">
        <f t="shared" si="1"/>
        <v>84</v>
      </c>
      <c r="B85" s="24" t="s">
        <v>95</v>
      </c>
      <c r="C85" s="95">
        <v>42460.0</v>
      </c>
      <c r="D85" s="24" t="str">
        <f t="shared" si="3"/>
        <v>Mar-2016</v>
      </c>
      <c r="E85" s="24" t="s">
        <v>25</v>
      </c>
      <c r="F85" s="24" t="s">
        <v>35</v>
      </c>
      <c r="G85" s="23" t="s">
        <v>47</v>
      </c>
      <c r="H85" s="24" t="s">
        <v>48</v>
      </c>
      <c r="I85" s="24" t="s">
        <v>9</v>
      </c>
      <c r="J85" s="24" t="s">
        <v>24</v>
      </c>
      <c r="K85" s="24"/>
      <c r="L85" s="24" t="s">
        <v>69</v>
      </c>
    </row>
    <row r="86">
      <c r="A86" s="24">
        <f t="shared" si="1"/>
        <v>85</v>
      </c>
      <c r="B86" s="24" t="s">
        <v>95</v>
      </c>
      <c r="C86" s="95">
        <v>42460.0</v>
      </c>
      <c r="D86" s="24" t="str">
        <f t="shared" si="3"/>
        <v>Mar-2016</v>
      </c>
      <c r="E86" s="24" t="s">
        <v>20</v>
      </c>
      <c r="F86" s="24" t="s">
        <v>35</v>
      </c>
      <c r="G86" s="23" t="s">
        <v>100</v>
      </c>
      <c r="H86" s="24" t="s">
        <v>9</v>
      </c>
      <c r="I86" s="24" t="s">
        <v>9</v>
      </c>
      <c r="J86" s="24" t="s">
        <v>30</v>
      </c>
      <c r="K86" s="24" t="s">
        <v>30</v>
      </c>
      <c r="L86" s="24" t="s">
        <v>98</v>
      </c>
    </row>
    <row r="87">
      <c r="A87" s="24">
        <f t="shared" si="1"/>
        <v>86</v>
      </c>
      <c r="B87" s="24" t="s">
        <v>95</v>
      </c>
      <c r="C87" s="95">
        <v>42460.0</v>
      </c>
      <c r="D87" s="24" t="str">
        <f t="shared" si="3"/>
        <v>Mar-2016</v>
      </c>
      <c r="E87" s="24" t="s">
        <v>25</v>
      </c>
      <c r="F87" s="24" t="s">
        <v>35</v>
      </c>
      <c r="G87" s="23" t="s">
        <v>100</v>
      </c>
      <c r="H87" s="24" t="s">
        <v>9</v>
      </c>
      <c r="I87" s="24" t="s">
        <v>9</v>
      </c>
      <c r="J87" s="24" t="s">
        <v>30</v>
      </c>
      <c r="K87" s="24"/>
      <c r="L87" s="24" t="s">
        <v>69</v>
      </c>
    </row>
    <row r="88">
      <c r="A88" s="24">
        <f t="shared" si="1"/>
        <v>87</v>
      </c>
      <c r="B88" s="24" t="s">
        <v>95</v>
      </c>
      <c r="C88" s="95">
        <v>42460.0</v>
      </c>
      <c r="D88" s="24" t="str">
        <f t="shared" si="3"/>
        <v>Mar-2016</v>
      </c>
      <c r="E88" s="24" t="s">
        <v>20</v>
      </c>
      <c r="F88" s="24" t="s">
        <v>35</v>
      </c>
      <c r="G88" s="23" t="s">
        <v>101</v>
      </c>
      <c r="H88" s="24" t="s">
        <v>102</v>
      </c>
      <c r="I88" s="24" t="s">
        <v>9</v>
      </c>
      <c r="J88" s="24" t="s">
        <v>24</v>
      </c>
      <c r="K88" s="24" t="s">
        <v>30</v>
      </c>
      <c r="L88" s="24" t="s">
        <v>98</v>
      </c>
    </row>
    <row r="89">
      <c r="A89" s="24">
        <f t="shared" si="1"/>
        <v>88</v>
      </c>
      <c r="B89" s="24" t="s">
        <v>95</v>
      </c>
      <c r="C89" s="95">
        <v>42460.0</v>
      </c>
      <c r="D89" s="24" t="str">
        <f t="shared" si="3"/>
        <v>Mar-2016</v>
      </c>
      <c r="E89" s="24" t="s">
        <v>25</v>
      </c>
      <c r="F89" s="24" t="s">
        <v>35</v>
      </c>
      <c r="G89" s="23" t="s">
        <v>101</v>
      </c>
      <c r="H89" s="24" t="s">
        <v>102</v>
      </c>
      <c r="I89" s="24" t="s">
        <v>9</v>
      </c>
      <c r="J89" s="24" t="s">
        <v>30</v>
      </c>
      <c r="K89" s="24"/>
      <c r="L89" s="24" t="s">
        <v>69</v>
      </c>
    </row>
    <row r="90">
      <c r="A90" s="24">
        <f t="shared" si="1"/>
        <v>89</v>
      </c>
      <c r="B90" s="24" t="s">
        <v>95</v>
      </c>
      <c r="C90" s="95">
        <v>42460.0</v>
      </c>
      <c r="D90" s="24" t="str">
        <f t="shared" si="3"/>
        <v>Mar-2016</v>
      </c>
      <c r="E90" s="24" t="s">
        <v>32</v>
      </c>
      <c r="F90" s="24" t="s">
        <v>35</v>
      </c>
      <c r="G90" s="23" t="s">
        <v>101</v>
      </c>
      <c r="H90" s="24" t="s">
        <v>102</v>
      </c>
      <c r="I90" s="24" t="s">
        <v>9</v>
      </c>
      <c r="J90" s="24" t="s">
        <v>30</v>
      </c>
      <c r="K90" s="24"/>
      <c r="L90" s="24" t="s">
        <v>37</v>
      </c>
    </row>
    <row r="91">
      <c r="A91" s="24">
        <f t="shared" si="1"/>
        <v>90</v>
      </c>
      <c r="B91" s="24" t="s">
        <v>95</v>
      </c>
      <c r="C91" s="95">
        <v>42460.0</v>
      </c>
      <c r="D91" s="24" t="str">
        <f t="shared" si="3"/>
        <v>Mar-2016</v>
      </c>
      <c r="E91" s="24" t="s">
        <v>20</v>
      </c>
      <c r="F91" s="24" t="s">
        <v>35</v>
      </c>
      <c r="G91" s="23" t="s">
        <v>103</v>
      </c>
      <c r="H91" s="24" t="s">
        <v>71</v>
      </c>
      <c r="I91" s="24" t="s">
        <v>9</v>
      </c>
      <c r="J91" s="24" t="s">
        <v>24</v>
      </c>
      <c r="K91" s="24" t="s">
        <v>24</v>
      </c>
      <c r="L91" s="24" t="s">
        <v>98</v>
      </c>
    </row>
    <row r="92">
      <c r="A92" s="24">
        <f t="shared" si="1"/>
        <v>91</v>
      </c>
      <c r="B92" s="24" t="s">
        <v>95</v>
      </c>
      <c r="C92" s="95">
        <v>42460.0</v>
      </c>
      <c r="D92" s="24" t="str">
        <f t="shared" si="3"/>
        <v>Mar-2016</v>
      </c>
      <c r="E92" s="24" t="s">
        <v>25</v>
      </c>
      <c r="F92" s="24" t="s">
        <v>35</v>
      </c>
      <c r="G92" s="23" t="s">
        <v>103</v>
      </c>
      <c r="H92" s="24" t="s">
        <v>71</v>
      </c>
      <c r="I92" s="24" t="s">
        <v>9</v>
      </c>
      <c r="J92" s="24" t="s">
        <v>24</v>
      </c>
      <c r="K92" s="24"/>
      <c r="L92" s="24" t="s">
        <v>69</v>
      </c>
    </row>
    <row r="93">
      <c r="A93" s="24">
        <f t="shared" si="1"/>
        <v>92</v>
      </c>
      <c r="B93" s="24" t="s">
        <v>104</v>
      </c>
      <c r="C93" s="95">
        <v>42481.0</v>
      </c>
      <c r="D93" s="24" t="str">
        <f t="shared" si="3"/>
        <v>Apr-2016</v>
      </c>
      <c r="E93" s="24" t="s">
        <v>20</v>
      </c>
      <c r="F93" s="24" t="s">
        <v>35</v>
      </c>
      <c r="G93" s="23" t="s">
        <v>105</v>
      </c>
      <c r="H93" s="24" t="s">
        <v>44</v>
      </c>
      <c r="I93" s="24" t="s">
        <v>9</v>
      </c>
      <c r="J93" s="24" t="s">
        <v>30</v>
      </c>
      <c r="K93" s="24" t="s">
        <v>30</v>
      </c>
      <c r="L93" s="24" t="s">
        <v>98</v>
      </c>
    </row>
    <row r="94">
      <c r="A94" s="24">
        <f t="shared" si="1"/>
        <v>93</v>
      </c>
      <c r="B94" s="24" t="s">
        <v>104</v>
      </c>
      <c r="C94" s="95">
        <v>42481.0</v>
      </c>
      <c r="D94" s="24" t="str">
        <f t="shared" si="3"/>
        <v>Apr-2016</v>
      </c>
      <c r="E94" s="24" t="s">
        <v>25</v>
      </c>
      <c r="F94" s="24" t="s">
        <v>35</v>
      </c>
      <c r="G94" s="23" t="s">
        <v>105</v>
      </c>
      <c r="H94" s="24" t="s">
        <v>44</v>
      </c>
      <c r="I94" s="24" t="s">
        <v>9</v>
      </c>
      <c r="J94" s="24" t="s">
        <v>30</v>
      </c>
      <c r="K94" s="24"/>
      <c r="L94" s="24" t="s">
        <v>106</v>
      </c>
    </row>
    <row r="95">
      <c r="A95" s="24">
        <f t="shared" si="1"/>
        <v>94</v>
      </c>
      <c r="B95" s="24" t="s">
        <v>104</v>
      </c>
      <c r="C95" s="95">
        <v>42481.0</v>
      </c>
      <c r="D95" s="24" t="str">
        <f t="shared" si="3"/>
        <v>Apr-2016</v>
      </c>
      <c r="E95" s="24" t="s">
        <v>20</v>
      </c>
      <c r="F95" s="24" t="s">
        <v>35</v>
      </c>
      <c r="G95" s="23" t="s">
        <v>47</v>
      </c>
      <c r="H95" s="24" t="s">
        <v>48</v>
      </c>
      <c r="I95" s="24" t="s">
        <v>9</v>
      </c>
      <c r="J95" s="24" t="s">
        <v>24</v>
      </c>
      <c r="K95" s="24" t="s">
        <v>24</v>
      </c>
      <c r="L95" s="24" t="s">
        <v>98</v>
      </c>
    </row>
    <row r="96">
      <c r="A96" s="24">
        <f t="shared" si="1"/>
        <v>95</v>
      </c>
      <c r="B96" s="24" t="s">
        <v>104</v>
      </c>
      <c r="C96" s="95">
        <v>42481.0</v>
      </c>
      <c r="D96" s="24" t="str">
        <f t="shared" si="3"/>
        <v>Apr-2016</v>
      </c>
      <c r="E96" s="24" t="s">
        <v>25</v>
      </c>
      <c r="F96" s="24" t="s">
        <v>35</v>
      </c>
      <c r="G96" s="23" t="s">
        <v>47</v>
      </c>
      <c r="H96" s="24" t="s">
        <v>48</v>
      </c>
      <c r="I96" s="24" t="s">
        <v>9</v>
      </c>
      <c r="J96" s="24" t="s">
        <v>24</v>
      </c>
      <c r="K96" s="24"/>
      <c r="L96" s="24" t="s">
        <v>69</v>
      </c>
    </row>
    <row r="97">
      <c r="A97" s="24">
        <f t="shared" si="1"/>
        <v>96</v>
      </c>
      <c r="B97" s="24" t="s">
        <v>104</v>
      </c>
      <c r="C97" s="95">
        <v>42481.0</v>
      </c>
      <c r="D97" s="24" t="str">
        <f t="shared" si="3"/>
        <v>Apr-2016</v>
      </c>
      <c r="E97" s="24" t="s">
        <v>20</v>
      </c>
      <c r="F97" s="24" t="s">
        <v>35</v>
      </c>
      <c r="G97" s="23" t="s">
        <v>107</v>
      </c>
      <c r="H97" s="24" t="s">
        <v>9</v>
      </c>
      <c r="I97" s="24" t="s">
        <v>9</v>
      </c>
      <c r="J97" s="24" t="s">
        <v>24</v>
      </c>
      <c r="K97" s="24" t="s">
        <v>30</v>
      </c>
      <c r="L97" s="24" t="s">
        <v>98</v>
      </c>
    </row>
    <row r="98">
      <c r="A98" s="24">
        <f t="shared" si="1"/>
        <v>97</v>
      </c>
      <c r="B98" s="24" t="s">
        <v>104</v>
      </c>
      <c r="C98" s="95">
        <v>42481.0</v>
      </c>
      <c r="D98" s="24" t="str">
        <f t="shared" si="3"/>
        <v>Apr-2016</v>
      </c>
      <c r="E98" s="24" t="s">
        <v>25</v>
      </c>
      <c r="F98" s="24" t="s">
        <v>35</v>
      </c>
      <c r="G98" s="23" t="s">
        <v>107</v>
      </c>
      <c r="H98" s="24" t="s">
        <v>9</v>
      </c>
      <c r="I98" s="24" t="s">
        <v>9</v>
      </c>
      <c r="J98" s="24" t="s">
        <v>30</v>
      </c>
      <c r="K98" s="24"/>
      <c r="L98" s="24" t="s">
        <v>106</v>
      </c>
    </row>
    <row r="99">
      <c r="A99" s="24">
        <f t="shared" si="1"/>
        <v>98</v>
      </c>
      <c r="B99" s="24" t="s">
        <v>104</v>
      </c>
      <c r="C99" s="95">
        <v>42481.0</v>
      </c>
      <c r="D99" s="24" t="str">
        <f t="shared" si="3"/>
        <v>Apr-2016</v>
      </c>
      <c r="E99" s="24" t="s">
        <v>32</v>
      </c>
      <c r="F99" s="24" t="s">
        <v>35</v>
      </c>
      <c r="G99" s="23" t="s">
        <v>107</v>
      </c>
      <c r="H99" s="24" t="s">
        <v>9</v>
      </c>
      <c r="I99" s="24" t="s">
        <v>9</v>
      </c>
      <c r="J99" s="24" t="s">
        <v>30</v>
      </c>
      <c r="K99" s="24"/>
      <c r="L99" s="24" t="s">
        <v>69</v>
      </c>
    </row>
    <row r="100">
      <c r="A100" s="24">
        <f t="shared" si="1"/>
        <v>99</v>
      </c>
      <c r="B100" s="24" t="s">
        <v>104</v>
      </c>
      <c r="C100" s="95">
        <v>42481.0</v>
      </c>
      <c r="D100" s="24" t="str">
        <f t="shared" si="3"/>
        <v>Apr-2016</v>
      </c>
      <c r="E100" s="24" t="s">
        <v>20</v>
      </c>
      <c r="F100" s="24" t="s">
        <v>35</v>
      </c>
      <c r="G100" s="23" t="s">
        <v>101</v>
      </c>
      <c r="H100" s="24" t="s">
        <v>102</v>
      </c>
      <c r="I100" s="24" t="s">
        <v>9</v>
      </c>
      <c r="J100" s="24" t="s">
        <v>30</v>
      </c>
      <c r="K100" s="24" t="s">
        <v>24</v>
      </c>
      <c r="L100" s="24" t="s">
        <v>98</v>
      </c>
    </row>
    <row r="101">
      <c r="A101" s="24">
        <f t="shared" si="1"/>
        <v>100</v>
      </c>
      <c r="B101" s="24" t="s">
        <v>104</v>
      </c>
      <c r="C101" s="95">
        <v>42481.0</v>
      </c>
      <c r="D101" s="24" t="str">
        <f t="shared" si="3"/>
        <v>Apr-2016</v>
      </c>
      <c r="E101" s="24" t="s">
        <v>25</v>
      </c>
      <c r="F101" s="24" t="s">
        <v>35</v>
      </c>
      <c r="G101" s="23" t="s">
        <v>101</v>
      </c>
      <c r="H101" s="24" t="s">
        <v>102</v>
      </c>
      <c r="I101" s="24" t="s">
        <v>9</v>
      </c>
      <c r="J101" s="24" t="s">
        <v>24</v>
      </c>
      <c r="K101" s="24"/>
      <c r="L101" s="24" t="s">
        <v>37</v>
      </c>
    </row>
    <row r="102">
      <c r="A102" s="24">
        <f t="shared" si="1"/>
        <v>101</v>
      </c>
      <c r="B102" s="24" t="s">
        <v>104</v>
      </c>
      <c r="C102" s="95">
        <v>42481.0</v>
      </c>
      <c r="D102" s="24" t="str">
        <f t="shared" si="3"/>
        <v>Apr-2016</v>
      </c>
      <c r="E102" s="24" t="s">
        <v>32</v>
      </c>
      <c r="F102" s="24" t="s">
        <v>35</v>
      </c>
      <c r="G102" s="23" t="s">
        <v>101</v>
      </c>
      <c r="H102" s="24" t="s">
        <v>102</v>
      </c>
      <c r="I102" s="24" t="s">
        <v>9</v>
      </c>
      <c r="J102" s="24" t="s">
        <v>24</v>
      </c>
      <c r="K102" s="24"/>
      <c r="L102" s="24" t="s">
        <v>69</v>
      </c>
    </row>
    <row r="103">
      <c r="A103" s="24">
        <f t="shared" si="1"/>
        <v>102</v>
      </c>
      <c r="B103" s="24" t="s">
        <v>108</v>
      </c>
      <c r="C103" s="95">
        <v>42487.0</v>
      </c>
      <c r="D103" s="24" t="str">
        <f t="shared" si="3"/>
        <v>Apr-2016</v>
      </c>
      <c r="E103" s="24" t="s">
        <v>20</v>
      </c>
      <c r="F103" s="24" t="s">
        <v>35</v>
      </c>
      <c r="G103" s="23" t="s">
        <v>109</v>
      </c>
      <c r="H103" s="24" t="s">
        <v>27</v>
      </c>
      <c r="I103" s="24" t="s">
        <v>9</v>
      </c>
      <c r="J103" s="24" t="s">
        <v>24</v>
      </c>
      <c r="K103" s="24" t="s">
        <v>24</v>
      </c>
      <c r="L103" s="24" t="s">
        <v>69</v>
      </c>
    </row>
    <row r="104">
      <c r="A104" s="24">
        <f t="shared" si="1"/>
        <v>103</v>
      </c>
      <c r="B104" s="24" t="s">
        <v>108</v>
      </c>
      <c r="C104" s="95">
        <v>42487.0</v>
      </c>
      <c r="D104" s="24" t="str">
        <f t="shared" si="3"/>
        <v>Apr-2016</v>
      </c>
      <c r="E104" s="24" t="s">
        <v>25</v>
      </c>
      <c r="F104" s="24" t="s">
        <v>35</v>
      </c>
      <c r="G104" s="23" t="s">
        <v>109</v>
      </c>
      <c r="H104" s="24" t="s">
        <v>27</v>
      </c>
      <c r="I104" s="24" t="s">
        <v>9</v>
      </c>
      <c r="J104" s="24" t="s">
        <v>24</v>
      </c>
      <c r="K104" s="24"/>
      <c r="L104" s="24" t="s">
        <v>106</v>
      </c>
    </row>
    <row r="105">
      <c r="A105" s="24">
        <f t="shared" si="1"/>
        <v>104</v>
      </c>
      <c r="B105" s="24" t="s">
        <v>108</v>
      </c>
      <c r="C105" s="95">
        <v>42487.0</v>
      </c>
      <c r="D105" s="24" t="str">
        <f t="shared" si="3"/>
        <v>Apr-2016</v>
      </c>
      <c r="E105" s="24" t="s">
        <v>20</v>
      </c>
      <c r="F105" s="24" t="s">
        <v>35</v>
      </c>
      <c r="G105" s="23" t="s">
        <v>110</v>
      </c>
      <c r="H105" s="24" t="s">
        <v>9</v>
      </c>
      <c r="I105" s="24" t="s">
        <v>9</v>
      </c>
      <c r="J105" s="24" t="s">
        <v>30</v>
      </c>
      <c r="K105" s="24" t="s">
        <v>30</v>
      </c>
      <c r="L105" s="24" t="s">
        <v>29</v>
      </c>
    </row>
    <row r="106">
      <c r="A106" s="24">
        <f t="shared" si="1"/>
        <v>105</v>
      </c>
      <c r="B106" s="24" t="s">
        <v>108</v>
      </c>
      <c r="C106" s="95">
        <v>42487.0</v>
      </c>
      <c r="D106" s="24" t="str">
        <f t="shared" si="3"/>
        <v>Apr-2016</v>
      </c>
      <c r="E106" s="24" t="s">
        <v>25</v>
      </c>
      <c r="F106" s="24" t="s">
        <v>35</v>
      </c>
      <c r="G106" s="23" t="s">
        <v>110</v>
      </c>
      <c r="H106" s="24" t="s">
        <v>102</v>
      </c>
      <c r="I106" s="24" t="s">
        <v>9</v>
      </c>
      <c r="J106" s="24" t="s">
        <v>30</v>
      </c>
      <c r="K106" s="24"/>
      <c r="L106" s="24" t="s">
        <v>98</v>
      </c>
    </row>
    <row r="107">
      <c r="A107" s="24">
        <f t="shared" si="1"/>
        <v>106</v>
      </c>
      <c r="B107" s="24" t="s">
        <v>108</v>
      </c>
      <c r="C107" s="95">
        <v>42487.0</v>
      </c>
      <c r="D107" s="24" t="str">
        <f t="shared" si="3"/>
        <v>Apr-2016</v>
      </c>
      <c r="E107" s="24" t="s">
        <v>20</v>
      </c>
      <c r="F107" s="24" t="s">
        <v>35</v>
      </c>
      <c r="G107" s="23" t="s">
        <v>111</v>
      </c>
      <c r="H107" s="24" t="s">
        <v>27</v>
      </c>
      <c r="I107" s="24" t="s">
        <v>9</v>
      </c>
      <c r="J107" s="24" t="s">
        <v>24</v>
      </c>
      <c r="K107" s="24" t="s">
        <v>30</v>
      </c>
      <c r="L107" s="24" t="s">
        <v>98</v>
      </c>
    </row>
    <row r="108">
      <c r="A108" s="24">
        <f t="shared" si="1"/>
        <v>107</v>
      </c>
      <c r="B108" s="24" t="s">
        <v>108</v>
      </c>
      <c r="C108" s="95">
        <v>42487.0</v>
      </c>
      <c r="D108" s="24" t="str">
        <f t="shared" si="3"/>
        <v>Apr-2016</v>
      </c>
      <c r="E108" s="24" t="s">
        <v>25</v>
      </c>
      <c r="F108" s="24" t="s">
        <v>35</v>
      </c>
      <c r="G108" s="23" t="s">
        <v>111</v>
      </c>
      <c r="H108" s="24" t="s">
        <v>27</v>
      </c>
      <c r="I108" s="24" t="s">
        <v>9</v>
      </c>
      <c r="J108" s="24" t="s">
        <v>30</v>
      </c>
      <c r="K108" s="24"/>
      <c r="L108" s="24" t="s">
        <v>106</v>
      </c>
    </row>
    <row r="109">
      <c r="A109" s="24">
        <f t="shared" si="1"/>
        <v>108</v>
      </c>
      <c r="B109" s="24" t="s">
        <v>108</v>
      </c>
      <c r="C109" s="95">
        <v>42487.0</v>
      </c>
      <c r="D109" s="24" t="str">
        <f t="shared" si="3"/>
        <v>Apr-2016</v>
      </c>
      <c r="E109" s="24" t="s">
        <v>32</v>
      </c>
      <c r="F109" s="24" t="s">
        <v>35</v>
      </c>
      <c r="G109" s="23" t="s">
        <v>111</v>
      </c>
      <c r="H109" s="24" t="s">
        <v>27</v>
      </c>
      <c r="I109" s="24" t="s">
        <v>9</v>
      </c>
      <c r="J109" s="24" t="s">
        <v>30</v>
      </c>
      <c r="K109" s="24"/>
      <c r="L109" s="24" t="s">
        <v>37</v>
      </c>
    </row>
    <row r="110">
      <c r="A110" s="24">
        <f t="shared" si="1"/>
        <v>109</v>
      </c>
      <c r="B110" s="24" t="s">
        <v>108</v>
      </c>
      <c r="C110" s="95">
        <v>42487.0</v>
      </c>
      <c r="D110" s="24" t="str">
        <f t="shared" si="3"/>
        <v>Apr-2016</v>
      </c>
      <c r="E110" s="24" t="s">
        <v>20</v>
      </c>
      <c r="F110" s="24" t="s">
        <v>35</v>
      </c>
      <c r="G110" s="23" t="s">
        <v>112</v>
      </c>
      <c r="H110" s="24" t="s">
        <v>86</v>
      </c>
      <c r="I110" s="24" t="s">
        <v>9</v>
      </c>
      <c r="J110" s="24" t="s">
        <v>24</v>
      </c>
      <c r="K110" s="24" t="s">
        <v>24</v>
      </c>
      <c r="L110" s="24" t="s">
        <v>29</v>
      </c>
    </row>
    <row r="111">
      <c r="A111" s="24">
        <f t="shared" si="1"/>
        <v>110</v>
      </c>
      <c r="B111" s="24" t="s">
        <v>108</v>
      </c>
      <c r="C111" s="95">
        <v>42487.0</v>
      </c>
      <c r="D111" s="24" t="str">
        <f t="shared" si="3"/>
        <v>Apr-2016</v>
      </c>
      <c r="E111" s="24" t="s">
        <v>25</v>
      </c>
      <c r="F111" s="24" t="s">
        <v>35</v>
      </c>
      <c r="G111" s="23" t="s">
        <v>112</v>
      </c>
      <c r="H111" s="24" t="s">
        <v>86</v>
      </c>
      <c r="I111" s="24" t="s">
        <v>9</v>
      </c>
      <c r="J111" s="24" t="s">
        <v>24</v>
      </c>
      <c r="K111" s="24"/>
      <c r="L111" s="24" t="s">
        <v>106</v>
      </c>
    </row>
    <row r="112">
      <c r="A112" s="24">
        <f t="shared" si="1"/>
        <v>111</v>
      </c>
      <c r="B112" s="24" t="s">
        <v>113</v>
      </c>
      <c r="C112" s="95">
        <v>42502.0</v>
      </c>
      <c r="D112" s="24" t="str">
        <f t="shared" si="3"/>
        <v>May-2016</v>
      </c>
      <c r="E112" s="24" t="s">
        <v>20</v>
      </c>
      <c r="F112" s="24" t="s">
        <v>35</v>
      </c>
      <c r="G112" s="23" t="s">
        <v>101</v>
      </c>
      <c r="H112" s="24" t="s">
        <v>102</v>
      </c>
      <c r="I112" s="24" t="s">
        <v>9</v>
      </c>
      <c r="J112" s="24" t="s">
        <v>24</v>
      </c>
      <c r="K112" s="24" t="s">
        <v>24</v>
      </c>
      <c r="L112" s="24" t="s">
        <v>98</v>
      </c>
    </row>
    <row r="113">
      <c r="A113" s="24">
        <f t="shared" si="1"/>
        <v>112</v>
      </c>
      <c r="B113" s="24" t="s">
        <v>113</v>
      </c>
      <c r="C113" s="95">
        <v>42502.0</v>
      </c>
      <c r="D113" s="24" t="str">
        <f t="shared" si="3"/>
        <v>May-2016</v>
      </c>
      <c r="E113" s="24" t="s">
        <v>25</v>
      </c>
      <c r="F113" s="24" t="s">
        <v>35</v>
      </c>
      <c r="G113" s="23" t="s">
        <v>101</v>
      </c>
      <c r="H113" s="24" t="s">
        <v>102</v>
      </c>
      <c r="I113" s="24" t="s">
        <v>9</v>
      </c>
      <c r="J113" s="24" t="s">
        <v>24</v>
      </c>
      <c r="K113" s="24"/>
      <c r="L113" s="24" t="s">
        <v>106</v>
      </c>
    </row>
    <row r="114">
      <c r="A114" s="24">
        <f t="shared" si="1"/>
        <v>113</v>
      </c>
      <c r="B114" s="24" t="s">
        <v>113</v>
      </c>
      <c r="C114" s="95">
        <v>42502.0</v>
      </c>
      <c r="D114" s="24" t="str">
        <f t="shared" si="3"/>
        <v>May-2016</v>
      </c>
      <c r="E114" s="24" t="s">
        <v>20</v>
      </c>
      <c r="F114" s="24" t="s">
        <v>35</v>
      </c>
      <c r="G114" s="23" t="s">
        <v>114</v>
      </c>
      <c r="H114" s="24" t="s">
        <v>9</v>
      </c>
      <c r="I114" s="24" t="s">
        <v>9</v>
      </c>
      <c r="J114" s="24" t="s">
        <v>24</v>
      </c>
      <c r="K114" s="24" t="s">
        <v>24</v>
      </c>
      <c r="L114" s="24" t="s">
        <v>98</v>
      </c>
    </row>
    <row r="115">
      <c r="A115" s="24">
        <f t="shared" si="1"/>
        <v>114</v>
      </c>
      <c r="B115" s="24" t="s">
        <v>113</v>
      </c>
      <c r="C115" s="95">
        <v>42502.0</v>
      </c>
      <c r="D115" s="24" t="str">
        <f t="shared" si="3"/>
        <v>May-2016</v>
      </c>
      <c r="E115" s="24" t="s">
        <v>25</v>
      </c>
      <c r="F115" s="24" t="s">
        <v>35</v>
      </c>
      <c r="G115" s="23" t="s">
        <v>114</v>
      </c>
      <c r="H115" s="24" t="s">
        <v>9</v>
      </c>
      <c r="I115" s="24" t="s">
        <v>9</v>
      </c>
      <c r="J115" s="24" t="s">
        <v>24</v>
      </c>
      <c r="K115" s="24"/>
      <c r="L115" s="24" t="s">
        <v>106</v>
      </c>
    </row>
    <row r="116">
      <c r="A116" s="24">
        <f t="shared" si="1"/>
        <v>115</v>
      </c>
      <c r="B116" s="24" t="s">
        <v>115</v>
      </c>
      <c r="C116" s="95">
        <v>42504.0</v>
      </c>
      <c r="D116" s="24" t="str">
        <f t="shared" si="3"/>
        <v>May-2016</v>
      </c>
      <c r="E116" s="24" t="s">
        <v>20</v>
      </c>
      <c r="F116" s="24" t="s">
        <v>21</v>
      </c>
      <c r="G116" s="23" t="s">
        <v>87</v>
      </c>
      <c r="H116" s="24" t="s">
        <v>44</v>
      </c>
      <c r="I116" s="24" t="s">
        <v>9</v>
      </c>
      <c r="J116" s="24" t="s">
        <v>24</v>
      </c>
      <c r="K116" s="24" t="s">
        <v>24</v>
      </c>
      <c r="L116" s="24" t="s">
        <v>98</v>
      </c>
    </row>
    <row r="117">
      <c r="A117" s="24">
        <f t="shared" si="1"/>
        <v>116</v>
      </c>
      <c r="B117" s="24" t="s">
        <v>115</v>
      </c>
      <c r="C117" s="95">
        <v>42504.0</v>
      </c>
      <c r="D117" s="24" t="str">
        <f t="shared" si="3"/>
        <v>May-2016</v>
      </c>
      <c r="E117" s="24" t="s">
        <v>25</v>
      </c>
      <c r="F117" s="24" t="s">
        <v>21</v>
      </c>
      <c r="G117" s="23" t="s">
        <v>87</v>
      </c>
      <c r="H117" s="24" t="s">
        <v>44</v>
      </c>
      <c r="I117" s="24" t="s">
        <v>9</v>
      </c>
      <c r="J117" s="24" t="s">
        <v>24</v>
      </c>
      <c r="K117" s="24"/>
      <c r="L117" s="24" t="s">
        <v>106</v>
      </c>
    </row>
    <row r="118">
      <c r="A118" s="24">
        <f t="shared" si="1"/>
        <v>117</v>
      </c>
      <c r="B118" s="24" t="s">
        <v>115</v>
      </c>
      <c r="C118" s="95">
        <v>42504.0</v>
      </c>
      <c r="D118" s="24" t="str">
        <f t="shared" si="3"/>
        <v>May-2016</v>
      </c>
      <c r="E118" s="24" t="s">
        <v>20</v>
      </c>
      <c r="F118" s="24" t="s">
        <v>21</v>
      </c>
      <c r="G118" s="23" t="s">
        <v>117</v>
      </c>
      <c r="H118" s="24" t="s">
        <v>44</v>
      </c>
      <c r="I118" s="24" t="s">
        <v>9</v>
      </c>
      <c r="J118" s="24" t="s">
        <v>24</v>
      </c>
      <c r="K118" s="24" t="s">
        <v>24</v>
      </c>
      <c r="L118" s="24" t="s">
        <v>99</v>
      </c>
    </row>
    <row r="119">
      <c r="A119" s="24">
        <f t="shared" si="1"/>
        <v>118</v>
      </c>
      <c r="B119" s="24" t="s">
        <v>115</v>
      </c>
      <c r="C119" s="95">
        <v>42504.0</v>
      </c>
      <c r="D119" s="24" t="str">
        <f t="shared" si="3"/>
        <v>May-2016</v>
      </c>
      <c r="E119" s="24" t="s">
        <v>25</v>
      </c>
      <c r="F119" s="24" t="s">
        <v>21</v>
      </c>
      <c r="G119" s="23" t="s">
        <v>117</v>
      </c>
      <c r="H119" s="24" t="s">
        <v>44</v>
      </c>
      <c r="I119" s="24" t="s">
        <v>9</v>
      </c>
      <c r="J119" s="24" t="s">
        <v>24</v>
      </c>
      <c r="K119" s="24"/>
      <c r="L119" s="24" t="s">
        <v>106</v>
      </c>
    </row>
    <row r="120">
      <c r="A120" s="24">
        <f t="shared" si="1"/>
        <v>119</v>
      </c>
      <c r="B120" s="24" t="s">
        <v>115</v>
      </c>
      <c r="C120" s="95">
        <v>42504.0</v>
      </c>
      <c r="D120" s="24" t="str">
        <f t="shared" si="3"/>
        <v>May-2016</v>
      </c>
      <c r="E120" s="24" t="s">
        <v>20</v>
      </c>
      <c r="F120" s="24" t="s">
        <v>21</v>
      </c>
      <c r="G120" s="23" t="s">
        <v>81</v>
      </c>
      <c r="H120" s="24" t="s">
        <v>9</v>
      </c>
      <c r="I120" s="24" t="s">
        <v>9</v>
      </c>
      <c r="J120" s="24" t="s">
        <v>24</v>
      </c>
      <c r="K120" s="24" t="s">
        <v>24</v>
      </c>
      <c r="L120" s="24" t="s">
        <v>98</v>
      </c>
    </row>
    <row r="121">
      <c r="A121" s="24">
        <f t="shared" si="1"/>
        <v>120</v>
      </c>
      <c r="B121" s="24" t="s">
        <v>115</v>
      </c>
      <c r="C121" s="95">
        <v>42504.0</v>
      </c>
      <c r="D121" s="24" t="str">
        <f t="shared" si="3"/>
        <v>May-2016</v>
      </c>
      <c r="E121" s="24" t="s">
        <v>25</v>
      </c>
      <c r="F121" s="24" t="s">
        <v>21</v>
      </c>
      <c r="G121" s="23" t="s">
        <v>81</v>
      </c>
      <c r="H121" s="24" t="s">
        <v>9</v>
      </c>
      <c r="I121" s="24" t="s">
        <v>9</v>
      </c>
      <c r="J121" s="24" t="s">
        <v>24</v>
      </c>
      <c r="K121" s="24"/>
      <c r="L121" s="24" t="s">
        <v>37</v>
      </c>
    </row>
    <row r="122">
      <c r="A122" s="24">
        <f t="shared" si="1"/>
        <v>121</v>
      </c>
      <c r="B122" s="24" t="s">
        <v>115</v>
      </c>
      <c r="C122" s="95">
        <v>42504.0</v>
      </c>
      <c r="D122" s="24" t="str">
        <f t="shared" si="3"/>
        <v>May-2016</v>
      </c>
      <c r="E122" s="24" t="s">
        <v>20</v>
      </c>
      <c r="F122" s="24" t="s">
        <v>21</v>
      </c>
      <c r="G122" s="23" t="s">
        <v>119</v>
      </c>
      <c r="H122" s="24" t="s">
        <v>48</v>
      </c>
      <c r="I122" s="24" t="s">
        <v>9</v>
      </c>
      <c r="J122" s="24" t="s">
        <v>30</v>
      </c>
      <c r="K122" s="24" t="s">
        <v>30</v>
      </c>
      <c r="L122" s="24" t="s">
        <v>98</v>
      </c>
    </row>
    <row r="123">
      <c r="A123" s="24">
        <f t="shared" si="1"/>
        <v>122</v>
      </c>
      <c r="B123" s="24" t="s">
        <v>115</v>
      </c>
      <c r="C123" s="95">
        <v>42504.0</v>
      </c>
      <c r="D123" s="24" t="str">
        <f t="shared" si="3"/>
        <v>May-2016</v>
      </c>
      <c r="E123" s="24" t="s">
        <v>25</v>
      </c>
      <c r="F123" s="24" t="s">
        <v>21</v>
      </c>
      <c r="G123" s="23" t="s">
        <v>119</v>
      </c>
      <c r="H123" s="24" t="s">
        <v>48</v>
      </c>
      <c r="I123" s="24" t="s">
        <v>9</v>
      </c>
      <c r="J123" s="24" t="s">
        <v>30</v>
      </c>
      <c r="K123" s="24"/>
      <c r="L123" s="24" t="s">
        <v>99</v>
      </c>
    </row>
    <row r="124">
      <c r="A124" s="24">
        <f t="shared" si="1"/>
        <v>123</v>
      </c>
      <c r="B124" s="24" t="s">
        <v>115</v>
      </c>
      <c r="C124" s="95">
        <v>42504.0</v>
      </c>
      <c r="D124" s="24" t="str">
        <f t="shared" si="3"/>
        <v>May-2016</v>
      </c>
      <c r="E124" s="24" t="s">
        <v>20</v>
      </c>
      <c r="F124" s="24" t="s">
        <v>21</v>
      </c>
      <c r="G124" s="23" t="s">
        <v>120</v>
      </c>
      <c r="H124" s="24" t="s">
        <v>9</v>
      </c>
      <c r="I124" s="24" t="s">
        <v>9</v>
      </c>
      <c r="J124" s="24" t="s">
        <v>24</v>
      </c>
      <c r="K124" s="24" t="s">
        <v>24</v>
      </c>
      <c r="L124" s="24" t="s">
        <v>98</v>
      </c>
    </row>
    <row r="125">
      <c r="A125" s="24">
        <f t="shared" si="1"/>
        <v>124</v>
      </c>
      <c r="B125" s="24" t="s">
        <v>115</v>
      </c>
      <c r="C125" s="95">
        <v>42504.0</v>
      </c>
      <c r="D125" s="24" t="str">
        <f t="shared" si="3"/>
        <v>May-2016</v>
      </c>
      <c r="E125" s="24" t="s">
        <v>25</v>
      </c>
      <c r="F125" s="24" t="s">
        <v>21</v>
      </c>
      <c r="G125" s="23" t="s">
        <v>120</v>
      </c>
      <c r="H125" s="24" t="s">
        <v>9</v>
      </c>
      <c r="I125" s="24" t="s">
        <v>9</v>
      </c>
      <c r="J125" s="24" t="s">
        <v>24</v>
      </c>
      <c r="K125" s="24"/>
      <c r="L125" s="24" t="s">
        <v>106</v>
      </c>
    </row>
    <row r="126">
      <c r="A126" s="24">
        <f t="shared" si="1"/>
        <v>125</v>
      </c>
      <c r="B126" s="24" t="s">
        <v>115</v>
      </c>
      <c r="C126" s="95">
        <v>42504.0</v>
      </c>
      <c r="D126" s="24" t="str">
        <f t="shared" si="3"/>
        <v>May-2016</v>
      </c>
      <c r="E126" s="24" t="s">
        <v>20</v>
      </c>
      <c r="F126" s="24" t="s">
        <v>21</v>
      </c>
      <c r="G126" s="23" t="s">
        <v>121</v>
      </c>
      <c r="H126" s="24" t="s">
        <v>27</v>
      </c>
      <c r="I126" s="24" t="s">
        <v>9</v>
      </c>
      <c r="J126" s="24" t="s">
        <v>30</v>
      </c>
      <c r="K126" s="24" t="s">
        <v>30</v>
      </c>
      <c r="L126" s="24" t="s">
        <v>98</v>
      </c>
    </row>
    <row r="127">
      <c r="A127" s="24">
        <f t="shared" si="1"/>
        <v>126</v>
      </c>
      <c r="B127" s="24" t="s">
        <v>115</v>
      </c>
      <c r="C127" s="95">
        <v>42504.0</v>
      </c>
      <c r="D127" s="24" t="str">
        <f t="shared" si="3"/>
        <v>May-2016</v>
      </c>
      <c r="E127" s="24" t="s">
        <v>25</v>
      </c>
      <c r="F127" s="24" t="s">
        <v>21</v>
      </c>
      <c r="G127" s="23" t="s">
        <v>121</v>
      </c>
      <c r="H127" s="24" t="s">
        <v>27</v>
      </c>
      <c r="I127" s="24" t="s">
        <v>9</v>
      </c>
      <c r="J127" s="24" t="s">
        <v>30</v>
      </c>
      <c r="K127" s="24"/>
      <c r="L127" s="24" t="s">
        <v>29</v>
      </c>
    </row>
    <row r="128">
      <c r="A128" s="24">
        <f t="shared" si="1"/>
        <v>127</v>
      </c>
      <c r="B128" s="24" t="s">
        <v>115</v>
      </c>
      <c r="C128" s="95">
        <v>42504.0</v>
      </c>
      <c r="D128" s="24" t="str">
        <f t="shared" si="3"/>
        <v>May-2016</v>
      </c>
      <c r="E128" s="24" t="s">
        <v>20</v>
      </c>
      <c r="F128" s="24" t="s">
        <v>21</v>
      </c>
      <c r="G128" s="23" t="s">
        <v>122</v>
      </c>
      <c r="H128" s="24" t="s">
        <v>44</v>
      </c>
      <c r="I128" s="24" t="s">
        <v>9</v>
      </c>
      <c r="J128" s="24" t="s">
        <v>30</v>
      </c>
      <c r="K128" s="24" t="s">
        <v>30</v>
      </c>
      <c r="L128" s="24" t="s">
        <v>98</v>
      </c>
    </row>
    <row r="129">
      <c r="A129" s="24">
        <f t="shared" si="1"/>
        <v>128</v>
      </c>
      <c r="B129" s="24" t="s">
        <v>115</v>
      </c>
      <c r="C129" s="95">
        <v>42504.0</v>
      </c>
      <c r="D129" s="24" t="str">
        <f t="shared" si="3"/>
        <v>May-2016</v>
      </c>
      <c r="E129" s="24" t="s">
        <v>25</v>
      </c>
      <c r="F129" s="24" t="s">
        <v>21</v>
      </c>
      <c r="G129" s="23" t="s">
        <v>122</v>
      </c>
      <c r="H129" s="24" t="s">
        <v>44</v>
      </c>
      <c r="I129" s="24" t="s">
        <v>9</v>
      </c>
      <c r="J129" s="24" t="s">
        <v>24</v>
      </c>
      <c r="K129" s="24"/>
      <c r="L129" s="24" t="s">
        <v>98</v>
      </c>
    </row>
    <row r="130">
      <c r="A130" s="24">
        <f t="shared" si="1"/>
        <v>129</v>
      </c>
      <c r="B130" s="24" t="s">
        <v>115</v>
      </c>
      <c r="C130" s="95">
        <v>42504.0</v>
      </c>
      <c r="D130" s="24" t="str">
        <f t="shared" si="3"/>
        <v>May-2016</v>
      </c>
      <c r="E130" s="24" t="s">
        <v>32</v>
      </c>
      <c r="F130" s="24" t="s">
        <v>21</v>
      </c>
      <c r="G130" s="23" t="s">
        <v>122</v>
      </c>
      <c r="H130" s="24" t="s">
        <v>44</v>
      </c>
      <c r="I130" s="24" t="s">
        <v>9</v>
      </c>
      <c r="J130" s="24" t="s">
        <v>30</v>
      </c>
      <c r="K130" s="24"/>
      <c r="L130" s="24" t="s">
        <v>106</v>
      </c>
    </row>
    <row r="131">
      <c r="A131" s="24">
        <f t="shared" si="1"/>
        <v>130</v>
      </c>
      <c r="B131" s="24" t="s">
        <v>123</v>
      </c>
      <c r="C131" s="95">
        <v>42508.0</v>
      </c>
      <c r="D131" s="24" t="str">
        <f t="shared" si="3"/>
        <v>May-2016</v>
      </c>
      <c r="E131" s="24" t="s">
        <v>20</v>
      </c>
      <c r="F131" s="24" t="s">
        <v>35</v>
      </c>
      <c r="G131" s="23" t="s">
        <v>124</v>
      </c>
      <c r="H131" s="24" t="s">
        <v>9</v>
      </c>
      <c r="I131" s="24" t="s">
        <v>9</v>
      </c>
      <c r="J131" s="24" t="s">
        <v>24</v>
      </c>
      <c r="K131" s="24" t="s">
        <v>24</v>
      </c>
      <c r="L131" s="24" t="s">
        <v>98</v>
      </c>
    </row>
    <row r="132">
      <c r="A132" s="24">
        <f t="shared" si="1"/>
        <v>131</v>
      </c>
      <c r="B132" s="24" t="s">
        <v>123</v>
      </c>
      <c r="C132" s="95">
        <v>42508.0</v>
      </c>
      <c r="D132" s="24" t="str">
        <f t="shared" si="3"/>
        <v>May-2016</v>
      </c>
      <c r="E132" s="24" t="s">
        <v>25</v>
      </c>
      <c r="F132" s="24" t="s">
        <v>35</v>
      </c>
      <c r="G132" s="23" t="s">
        <v>124</v>
      </c>
      <c r="H132" s="24" t="s">
        <v>9</v>
      </c>
      <c r="I132" s="24" t="s">
        <v>9</v>
      </c>
      <c r="J132" s="24" t="s">
        <v>24</v>
      </c>
      <c r="K132" s="24"/>
      <c r="L132" s="24" t="s">
        <v>106</v>
      </c>
    </row>
    <row r="133">
      <c r="A133" s="24">
        <f t="shared" si="1"/>
        <v>132</v>
      </c>
      <c r="B133" s="24" t="s">
        <v>123</v>
      </c>
      <c r="C133" s="95">
        <v>42508.0</v>
      </c>
      <c r="D133" s="24" t="str">
        <f t="shared" si="3"/>
        <v>May-2016</v>
      </c>
      <c r="E133" s="24" t="s">
        <v>20</v>
      </c>
      <c r="F133" s="24" t="s">
        <v>35</v>
      </c>
      <c r="G133" s="23" t="s">
        <v>125</v>
      </c>
      <c r="H133" s="24" t="s">
        <v>9</v>
      </c>
      <c r="I133" s="24" t="s">
        <v>9</v>
      </c>
      <c r="J133" s="24" t="s">
        <v>30</v>
      </c>
      <c r="K133" s="24" t="s">
        <v>30</v>
      </c>
      <c r="L133" s="24" t="s">
        <v>98</v>
      </c>
    </row>
    <row r="134">
      <c r="A134" s="24">
        <f t="shared" si="1"/>
        <v>133</v>
      </c>
      <c r="B134" s="24" t="s">
        <v>123</v>
      </c>
      <c r="C134" s="95">
        <v>42508.0</v>
      </c>
      <c r="D134" s="24" t="str">
        <f t="shared" si="3"/>
        <v>May-2016</v>
      </c>
      <c r="E134" s="24" t="s">
        <v>25</v>
      </c>
      <c r="F134" s="24" t="s">
        <v>35</v>
      </c>
      <c r="G134" s="23" t="s">
        <v>125</v>
      </c>
      <c r="H134" s="24" t="s">
        <v>9</v>
      </c>
      <c r="I134" s="24" t="s">
        <v>9</v>
      </c>
      <c r="J134" s="24" t="s">
        <v>30</v>
      </c>
      <c r="K134" s="24"/>
      <c r="L134" s="24" t="s">
        <v>37</v>
      </c>
    </row>
    <row r="135">
      <c r="A135" s="24">
        <f t="shared" si="1"/>
        <v>134</v>
      </c>
      <c r="B135" s="24" t="s">
        <v>123</v>
      </c>
      <c r="C135" s="95">
        <v>42508.0</v>
      </c>
      <c r="D135" s="24" t="str">
        <f t="shared" si="3"/>
        <v>May-2016</v>
      </c>
      <c r="E135" s="24" t="s">
        <v>20</v>
      </c>
      <c r="F135" s="24" t="s">
        <v>35</v>
      </c>
      <c r="G135" s="23" t="s">
        <v>127</v>
      </c>
      <c r="H135" s="24" t="s">
        <v>44</v>
      </c>
      <c r="I135" s="24" t="s">
        <v>9</v>
      </c>
      <c r="J135" s="24" t="s">
        <v>24</v>
      </c>
      <c r="K135" s="24" t="s">
        <v>24</v>
      </c>
      <c r="L135" s="24" t="s">
        <v>98</v>
      </c>
    </row>
    <row r="136">
      <c r="A136" s="24">
        <f t="shared" si="1"/>
        <v>135</v>
      </c>
      <c r="B136" s="24" t="s">
        <v>123</v>
      </c>
      <c r="C136" s="95">
        <v>42508.0</v>
      </c>
      <c r="D136" s="24" t="str">
        <f t="shared" si="3"/>
        <v>May-2016</v>
      </c>
      <c r="E136" s="24" t="s">
        <v>25</v>
      </c>
      <c r="F136" s="24" t="s">
        <v>35</v>
      </c>
      <c r="G136" s="23" t="s">
        <v>127</v>
      </c>
      <c r="H136" s="24" t="s">
        <v>44</v>
      </c>
      <c r="I136" s="24" t="s">
        <v>9</v>
      </c>
      <c r="J136" s="24" t="s">
        <v>24</v>
      </c>
      <c r="K136" s="24"/>
      <c r="L136" s="24" t="s">
        <v>69</v>
      </c>
    </row>
    <row r="137">
      <c r="A137" s="24">
        <f t="shared" si="1"/>
        <v>136</v>
      </c>
      <c r="B137" s="24" t="s">
        <v>123</v>
      </c>
      <c r="C137" s="95">
        <v>42508.0</v>
      </c>
      <c r="D137" s="24" t="str">
        <f t="shared" si="3"/>
        <v>May-2016</v>
      </c>
      <c r="E137" s="24" t="s">
        <v>20</v>
      </c>
      <c r="F137" s="24" t="s">
        <v>129</v>
      </c>
      <c r="G137" s="23" t="s">
        <v>130</v>
      </c>
      <c r="H137" s="24" t="s">
        <v>86</v>
      </c>
      <c r="I137" s="24" t="s">
        <v>9</v>
      </c>
      <c r="J137" s="24" t="s">
        <v>30</v>
      </c>
      <c r="K137" s="24" t="s">
        <v>30</v>
      </c>
      <c r="L137" s="24" t="s">
        <v>98</v>
      </c>
    </row>
    <row r="138">
      <c r="A138" s="24">
        <f t="shared" si="1"/>
        <v>137</v>
      </c>
      <c r="B138" s="24" t="s">
        <v>123</v>
      </c>
      <c r="C138" s="95">
        <v>42508.0</v>
      </c>
      <c r="D138" s="24" t="str">
        <f t="shared" si="3"/>
        <v>May-2016</v>
      </c>
      <c r="E138" s="24" t="s">
        <v>25</v>
      </c>
      <c r="F138" s="24" t="s">
        <v>129</v>
      </c>
      <c r="G138" s="23" t="s">
        <v>130</v>
      </c>
      <c r="H138" s="24" t="s">
        <v>86</v>
      </c>
      <c r="I138" s="24" t="s">
        <v>9</v>
      </c>
      <c r="J138" s="24" t="s">
        <v>30</v>
      </c>
      <c r="K138" s="24"/>
      <c r="L138" s="24" t="s">
        <v>106</v>
      </c>
    </row>
    <row r="139">
      <c r="A139" s="24">
        <f t="shared" si="1"/>
        <v>138</v>
      </c>
      <c r="B139" s="24" t="s">
        <v>123</v>
      </c>
      <c r="C139" s="95">
        <v>42508.0</v>
      </c>
      <c r="D139" s="24" t="str">
        <f t="shared" si="3"/>
        <v>May-2016</v>
      </c>
      <c r="E139" s="24" t="s">
        <v>20</v>
      </c>
      <c r="F139" s="24" t="s">
        <v>129</v>
      </c>
      <c r="G139" s="23" t="s">
        <v>131</v>
      </c>
      <c r="H139" s="24" t="s">
        <v>27</v>
      </c>
      <c r="I139" s="24" t="s">
        <v>9</v>
      </c>
      <c r="J139" s="24" t="s">
        <v>24</v>
      </c>
      <c r="K139" s="24" t="s">
        <v>24</v>
      </c>
      <c r="L139" s="24" t="s">
        <v>37</v>
      </c>
    </row>
    <row r="140">
      <c r="A140" s="24">
        <f t="shared" si="1"/>
        <v>139</v>
      </c>
      <c r="B140" s="24" t="s">
        <v>123</v>
      </c>
      <c r="C140" s="95">
        <v>42508.0</v>
      </c>
      <c r="D140" s="24" t="str">
        <f t="shared" si="3"/>
        <v>May-2016</v>
      </c>
      <c r="E140" s="24" t="s">
        <v>25</v>
      </c>
      <c r="F140" s="24" t="s">
        <v>129</v>
      </c>
      <c r="G140" s="23" t="s">
        <v>131</v>
      </c>
      <c r="H140" s="24" t="s">
        <v>27</v>
      </c>
      <c r="I140" s="24" t="s">
        <v>9</v>
      </c>
      <c r="J140" s="24" t="s">
        <v>24</v>
      </c>
      <c r="K140" s="24"/>
      <c r="L140" s="24" t="s">
        <v>29</v>
      </c>
    </row>
    <row r="141">
      <c r="A141" s="24">
        <f t="shared" si="1"/>
        <v>140</v>
      </c>
      <c r="B141" s="24" t="s">
        <v>132</v>
      </c>
      <c r="C141" s="95">
        <v>42515.0</v>
      </c>
      <c r="D141" s="24" t="str">
        <f t="shared" si="3"/>
        <v>May-2016</v>
      </c>
      <c r="E141" s="24" t="s">
        <v>20</v>
      </c>
      <c r="F141" s="24" t="s">
        <v>35</v>
      </c>
      <c r="G141" s="23" t="s">
        <v>133</v>
      </c>
      <c r="H141" s="24" t="s">
        <v>86</v>
      </c>
      <c r="I141" s="24" t="s">
        <v>9</v>
      </c>
      <c r="J141" s="24" t="s">
        <v>24</v>
      </c>
      <c r="K141" s="24" t="s">
        <v>24</v>
      </c>
      <c r="L141" s="24" t="s">
        <v>98</v>
      </c>
    </row>
    <row r="142">
      <c r="A142" s="24">
        <f t="shared" si="1"/>
        <v>141</v>
      </c>
      <c r="B142" s="24" t="s">
        <v>132</v>
      </c>
      <c r="C142" s="95">
        <v>42515.0</v>
      </c>
      <c r="D142" s="24" t="str">
        <f t="shared" si="3"/>
        <v>May-2016</v>
      </c>
      <c r="E142" s="24" t="s">
        <v>25</v>
      </c>
      <c r="F142" s="24" t="s">
        <v>35</v>
      </c>
      <c r="G142" s="23" t="s">
        <v>133</v>
      </c>
      <c r="H142" s="24" t="s">
        <v>86</v>
      </c>
      <c r="I142" s="24" t="s">
        <v>9</v>
      </c>
      <c r="J142" s="24" t="s">
        <v>24</v>
      </c>
      <c r="K142" s="24"/>
      <c r="L142" s="24" t="s">
        <v>106</v>
      </c>
    </row>
    <row r="143">
      <c r="A143" s="24">
        <f t="shared" si="1"/>
        <v>142</v>
      </c>
      <c r="B143" s="24" t="s">
        <v>132</v>
      </c>
      <c r="C143" s="95">
        <v>42515.0</v>
      </c>
      <c r="D143" s="24" t="str">
        <f t="shared" si="3"/>
        <v>May-2016</v>
      </c>
      <c r="E143" s="24" t="s">
        <v>20</v>
      </c>
      <c r="F143" s="24" t="s">
        <v>35</v>
      </c>
      <c r="G143" s="23" t="s">
        <v>135</v>
      </c>
      <c r="H143" s="24" t="s">
        <v>86</v>
      </c>
      <c r="I143" s="24" t="s">
        <v>9</v>
      </c>
      <c r="J143" s="24" t="s">
        <v>24</v>
      </c>
      <c r="K143" s="24" t="s">
        <v>24</v>
      </c>
      <c r="L143" s="24" t="s">
        <v>98</v>
      </c>
    </row>
    <row r="144">
      <c r="A144" s="24">
        <f t="shared" si="1"/>
        <v>143</v>
      </c>
      <c r="B144" s="24" t="s">
        <v>132</v>
      </c>
      <c r="C144" s="95">
        <v>42515.0</v>
      </c>
      <c r="D144" s="24" t="str">
        <f t="shared" si="3"/>
        <v>May-2016</v>
      </c>
      <c r="E144" s="24" t="s">
        <v>25</v>
      </c>
      <c r="F144" s="24" t="s">
        <v>35</v>
      </c>
      <c r="G144" s="23" t="s">
        <v>135</v>
      </c>
      <c r="H144" s="24" t="s">
        <v>86</v>
      </c>
      <c r="I144" s="24" t="s">
        <v>9</v>
      </c>
      <c r="J144" s="24" t="s">
        <v>24</v>
      </c>
      <c r="K144" s="24"/>
      <c r="L144" s="24" t="s">
        <v>99</v>
      </c>
    </row>
    <row r="145">
      <c r="A145" s="24">
        <f t="shared" si="1"/>
        <v>144</v>
      </c>
      <c r="B145" s="24" t="s">
        <v>132</v>
      </c>
      <c r="C145" s="95">
        <v>42515.0</v>
      </c>
      <c r="D145" s="24" t="str">
        <f t="shared" si="3"/>
        <v>May-2016</v>
      </c>
      <c r="E145" s="24" t="s">
        <v>20</v>
      </c>
      <c r="F145" s="24" t="s">
        <v>129</v>
      </c>
      <c r="G145" s="23" t="s">
        <v>136</v>
      </c>
      <c r="H145" s="24" t="s">
        <v>44</v>
      </c>
      <c r="I145" s="24" t="s">
        <v>9</v>
      </c>
      <c r="J145" s="24" t="s">
        <v>30</v>
      </c>
      <c r="K145" s="24" t="s">
        <v>30</v>
      </c>
      <c r="L145" s="24" t="s">
        <v>98</v>
      </c>
    </row>
    <row r="146">
      <c r="A146" s="24">
        <f t="shared" si="1"/>
        <v>145</v>
      </c>
      <c r="B146" s="24" t="s">
        <v>132</v>
      </c>
      <c r="C146" s="95">
        <v>42515.0</v>
      </c>
      <c r="D146" s="24" t="str">
        <f t="shared" si="3"/>
        <v>May-2016</v>
      </c>
      <c r="E146" s="24" t="s">
        <v>25</v>
      </c>
      <c r="F146" s="24" t="s">
        <v>129</v>
      </c>
      <c r="G146" s="23" t="s">
        <v>136</v>
      </c>
      <c r="H146" s="24" t="s">
        <v>44</v>
      </c>
      <c r="I146" s="24" t="s">
        <v>9</v>
      </c>
      <c r="J146" s="24" t="s">
        <v>30</v>
      </c>
      <c r="K146" s="24"/>
      <c r="L146" s="24" t="s">
        <v>29</v>
      </c>
    </row>
    <row r="147">
      <c r="A147" s="24">
        <f t="shared" si="1"/>
        <v>146</v>
      </c>
      <c r="B147" s="24" t="s">
        <v>132</v>
      </c>
      <c r="C147" s="95">
        <v>42515.0</v>
      </c>
      <c r="D147" s="24" t="str">
        <f t="shared" si="3"/>
        <v>May-2016</v>
      </c>
      <c r="E147" s="24" t="s">
        <v>20</v>
      </c>
      <c r="F147" s="24" t="s">
        <v>129</v>
      </c>
      <c r="G147" s="23" t="s">
        <v>137</v>
      </c>
      <c r="H147" s="24" t="s">
        <v>138</v>
      </c>
      <c r="I147" s="24" t="s">
        <v>9</v>
      </c>
      <c r="J147" s="24" t="s">
        <v>30</v>
      </c>
      <c r="K147" s="24" t="s">
        <v>30</v>
      </c>
      <c r="L147" s="24" t="s">
        <v>98</v>
      </c>
    </row>
    <row r="148">
      <c r="A148" s="24">
        <f t="shared" si="1"/>
        <v>147</v>
      </c>
      <c r="B148" s="24" t="s">
        <v>132</v>
      </c>
      <c r="C148" s="95">
        <v>42515.0</v>
      </c>
      <c r="D148" s="24" t="str">
        <f t="shared" si="3"/>
        <v>May-2016</v>
      </c>
      <c r="E148" s="24" t="s">
        <v>25</v>
      </c>
      <c r="F148" s="24" t="s">
        <v>129</v>
      </c>
      <c r="G148" s="23" t="s">
        <v>137</v>
      </c>
      <c r="H148" s="24" t="s">
        <v>138</v>
      </c>
      <c r="I148" s="24" t="s">
        <v>9</v>
      </c>
      <c r="J148" s="24" t="s">
        <v>30</v>
      </c>
      <c r="K148" s="24"/>
      <c r="L148" s="24" t="s">
        <v>37</v>
      </c>
    </row>
    <row r="149">
      <c r="A149" s="24">
        <f t="shared" si="1"/>
        <v>148</v>
      </c>
      <c r="B149" s="24" t="s">
        <v>132</v>
      </c>
      <c r="C149" s="95">
        <v>42515.0</v>
      </c>
      <c r="D149" s="24" t="str">
        <f t="shared" si="3"/>
        <v>May-2016</v>
      </c>
      <c r="E149" s="24" t="s">
        <v>20</v>
      </c>
      <c r="F149" s="24" t="s">
        <v>129</v>
      </c>
      <c r="G149" s="23" t="s">
        <v>111</v>
      </c>
      <c r="H149" s="24" t="s">
        <v>27</v>
      </c>
      <c r="I149" s="24" t="s">
        <v>9</v>
      </c>
      <c r="J149" s="24" t="s">
        <v>30</v>
      </c>
      <c r="K149" s="24" t="s">
        <v>30</v>
      </c>
      <c r="L149" s="24" t="s">
        <v>98</v>
      </c>
    </row>
    <row r="150">
      <c r="A150" s="24">
        <f t="shared" si="1"/>
        <v>149</v>
      </c>
      <c r="B150" s="24" t="s">
        <v>132</v>
      </c>
      <c r="C150" s="95">
        <v>42515.0</v>
      </c>
      <c r="D150" s="24" t="str">
        <f t="shared" si="3"/>
        <v>May-2016</v>
      </c>
      <c r="E150" s="24" t="s">
        <v>25</v>
      </c>
      <c r="F150" s="24" t="s">
        <v>129</v>
      </c>
      <c r="G150" s="23" t="s">
        <v>111</v>
      </c>
      <c r="H150" s="24" t="s">
        <v>27</v>
      </c>
      <c r="I150" s="24" t="s">
        <v>9</v>
      </c>
      <c r="J150" s="24" t="s">
        <v>30</v>
      </c>
      <c r="K150" s="24"/>
      <c r="L150" s="24" t="s">
        <v>37</v>
      </c>
    </row>
    <row r="151">
      <c r="A151" s="24">
        <f t="shared" si="1"/>
        <v>150</v>
      </c>
      <c r="B151" s="24" t="s">
        <v>132</v>
      </c>
      <c r="C151" s="95">
        <v>42515.0</v>
      </c>
      <c r="D151" s="24" t="str">
        <f t="shared" si="3"/>
        <v>May-2016</v>
      </c>
      <c r="E151" s="24" t="s">
        <v>20</v>
      </c>
      <c r="F151" s="24" t="s">
        <v>129</v>
      </c>
      <c r="G151" s="23" t="s">
        <v>124</v>
      </c>
      <c r="H151" s="24" t="s">
        <v>139</v>
      </c>
      <c r="I151" s="24" t="s">
        <v>9</v>
      </c>
      <c r="J151" s="24" t="s">
        <v>24</v>
      </c>
      <c r="K151" s="24" t="s">
        <v>24</v>
      </c>
      <c r="L151" s="24" t="s">
        <v>37</v>
      </c>
    </row>
    <row r="152">
      <c r="A152" s="24">
        <f t="shared" si="1"/>
        <v>151</v>
      </c>
      <c r="B152" s="24" t="s">
        <v>132</v>
      </c>
      <c r="C152" s="95">
        <v>42515.0</v>
      </c>
      <c r="D152" s="24" t="str">
        <f t="shared" si="3"/>
        <v>May-2016</v>
      </c>
      <c r="E152" s="24" t="s">
        <v>25</v>
      </c>
      <c r="F152" s="24" t="s">
        <v>129</v>
      </c>
      <c r="G152" s="23" t="s">
        <v>124</v>
      </c>
      <c r="H152" s="24" t="s">
        <v>140</v>
      </c>
      <c r="I152" s="24" t="s">
        <v>9</v>
      </c>
      <c r="J152" s="24" t="s">
        <v>24</v>
      </c>
      <c r="K152" s="24"/>
      <c r="L152" s="24" t="s">
        <v>69</v>
      </c>
    </row>
    <row r="153">
      <c r="A153" s="24">
        <f t="shared" si="1"/>
        <v>152</v>
      </c>
      <c r="B153" s="24" t="s">
        <v>141</v>
      </c>
      <c r="C153" s="95">
        <v>42523.0</v>
      </c>
      <c r="D153" s="24" t="str">
        <f t="shared" si="3"/>
        <v>Jun-2016</v>
      </c>
      <c r="E153" s="24" t="s">
        <v>20</v>
      </c>
      <c r="F153" s="24" t="s">
        <v>35</v>
      </c>
      <c r="G153" s="23" t="s">
        <v>142</v>
      </c>
      <c r="H153" s="24" t="s">
        <v>44</v>
      </c>
      <c r="I153" s="24" t="s">
        <v>9</v>
      </c>
      <c r="J153" s="24" t="s">
        <v>24</v>
      </c>
      <c r="K153" s="24" t="s">
        <v>24</v>
      </c>
      <c r="L153" s="24" t="s">
        <v>98</v>
      </c>
    </row>
    <row r="154">
      <c r="A154" s="24">
        <f t="shared" si="1"/>
        <v>153</v>
      </c>
      <c r="B154" s="24" t="s">
        <v>141</v>
      </c>
      <c r="C154" s="95">
        <v>42523.0</v>
      </c>
      <c r="D154" s="24" t="str">
        <f t="shared" si="3"/>
        <v>Jun-2016</v>
      </c>
      <c r="E154" s="24" t="s">
        <v>25</v>
      </c>
      <c r="F154" s="24" t="s">
        <v>35</v>
      </c>
      <c r="G154" s="23" t="s">
        <v>142</v>
      </c>
      <c r="H154" s="24" t="s">
        <v>44</v>
      </c>
      <c r="I154" s="24" t="s">
        <v>9</v>
      </c>
      <c r="J154" s="24" t="s">
        <v>24</v>
      </c>
      <c r="K154" s="24"/>
      <c r="L154" s="24" t="s">
        <v>37</v>
      </c>
    </row>
    <row r="155">
      <c r="A155" s="24">
        <f t="shared" si="1"/>
        <v>154</v>
      </c>
      <c r="B155" s="24" t="s">
        <v>141</v>
      </c>
      <c r="C155" s="95">
        <v>42523.0</v>
      </c>
      <c r="D155" s="24" t="str">
        <f t="shared" si="3"/>
        <v>Jun-2016</v>
      </c>
      <c r="E155" s="24" t="s">
        <v>20</v>
      </c>
      <c r="F155" s="24" t="s">
        <v>35</v>
      </c>
      <c r="G155" s="23" t="s">
        <v>143</v>
      </c>
      <c r="H155" s="24" t="s">
        <v>44</v>
      </c>
      <c r="I155" s="24" t="s">
        <v>9</v>
      </c>
      <c r="J155" s="24" t="s">
        <v>24</v>
      </c>
      <c r="K155" s="24" t="s">
        <v>24</v>
      </c>
      <c r="L155" s="24" t="s">
        <v>98</v>
      </c>
    </row>
    <row r="156">
      <c r="A156" s="24">
        <f t="shared" si="1"/>
        <v>155</v>
      </c>
      <c r="B156" s="24" t="s">
        <v>141</v>
      </c>
      <c r="C156" s="95">
        <v>42523.0</v>
      </c>
      <c r="D156" s="24" t="str">
        <f t="shared" si="3"/>
        <v>Jun-2016</v>
      </c>
      <c r="E156" s="24" t="s">
        <v>25</v>
      </c>
      <c r="F156" s="24" t="s">
        <v>35</v>
      </c>
      <c r="G156" s="23" t="s">
        <v>143</v>
      </c>
      <c r="H156" s="24" t="s">
        <v>27</v>
      </c>
      <c r="I156" s="24" t="s">
        <v>9</v>
      </c>
      <c r="J156" s="24" t="s">
        <v>24</v>
      </c>
      <c r="K156" s="24"/>
      <c r="L156" s="24" t="s">
        <v>106</v>
      </c>
    </row>
    <row r="157">
      <c r="A157" s="24">
        <f t="shared" si="1"/>
        <v>156</v>
      </c>
      <c r="B157" s="24" t="s">
        <v>141</v>
      </c>
      <c r="C157" s="95">
        <v>42523.0</v>
      </c>
      <c r="D157" s="24" t="str">
        <f t="shared" si="3"/>
        <v>Jun-2016</v>
      </c>
      <c r="E157" s="24" t="s">
        <v>20</v>
      </c>
      <c r="F157" s="24" t="s">
        <v>129</v>
      </c>
      <c r="G157" s="23" t="s">
        <v>144</v>
      </c>
      <c r="H157" s="24" t="s">
        <v>23</v>
      </c>
      <c r="I157" s="24" t="s">
        <v>9</v>
      </c>
      <c r="J157" s="24" t="s">
        <v>30</v>
      </c>
      <c r="K157" s="24" t="s">
        <v>30</v>
      </c>
      <c r="L157" s="24" t="s">
        <v>98</v>
      </c>
    </row>
    <row r="158">
      <c r="A158" s="24">
        <f t="shared" si="1"/>
        <v>157</v>
      </c>
      <c r="B158" s="24" t="s">
        <v>141</v>
      </c>
      <c r="C158" s="95">
        <v>42523.0</v>
      </c>
      <c r="D158" s="24" t="str">
        <f t="shared" si="3"/>
        <v>Jun-2016</v>
      </c>
      <c r="E158" s="24" t="s">
        <v>25</v>
      </c>
      <c r="F158" s="24" t="s">
        <v>129</v>
      </c>
      <c r="G158" s="23" t="s">
        <v>144</v>
      </c>
      <c r="H158" s="24" t="s">
        <v>86</v>
      </c>
      <c r="I158" s="24" t="s">
        <v>9</v>
      </c>
      <c r="J158" s="24" t="s">
        <v>30</v>
      </c>
      <c r="K158" s="24"/>
      <c r="L158" s="24" t="s">
        <v>106</v>
      </c>
    </row>
    <row r="159">
      <c r="A159" s="24">
        <f t="shared" si="1"/>
        <v>158</v>
      </c>
      <c r="B159" s="24" t="s">
        <v>141</v>
      </c>
      <c r="C159" s="95">
        <v>42523.0</v>
      </c>
      <c r="D159" s="24" t="str">
        <f t="shared" si="3"/>
        <v>Jun-2016</v>
      </c>
      <c r="E159" s="24" t="s">
        <v>20</v>
      </c>
      <c r="F159" s="24" t="s">
        <v>129</v>
      </c>
      <c r="G159" s="23" t="s">
        <v>127</v>
      </c>
      <c r="H159" s="24" t="s">
        <v>44</v>
      </c>
      <c r="I159" s="24" t="s">
        <v>9</v>
      </c>
      <c r="J159" s="24" t="s">
        <v>30</v>
      </c>
      <c r="K159" s="24" t="s">
        <v>30</v>
      </c>
      <c r="L159" s="24" t="s">
        <v>98</v>
      </c>
    </row>
    <row r="160">
      <c r="A160" s="24">
        <f t="shared" si="1"/>
        <v>159</v>
      </c>
      <c r="B160" s="24" t="s">
        <v>141</v>
      </c>
      <c r="C160" s="95">
        <v>42523.0</v>
      </c>
      <c r="D160" s="24" t="str">
        <f t="shared" si="3"/>
        <v>Jun-2016</v>
      </c>
      <c r="E160" s="24" t="s">
        <v>25</v>
      </c>
      <c r="F160" s="24" t="s">
        <v>129</v>
      </c>
      <c r="G160" s="23" t="s">
        <v>127</v>
      </c>
      <c r="H160" s="24" t="s">
        <v>27</v>
      </c>
      <c r="I160" s="24" t="s">
        <v>9</v>
      </c>
      <c r="J160" s="24" t="s">
        <v>30</v>
      </c>
      <c r="K160" s="24"/>
      <c r="L160" s="24" t="s">
        <v>106</v>
      </c>
    </row>
    <row r="161">
      <c r="A161" s="24">
        <f t="shared" si="1"/>
        <v>160</v>
      </c>
      <c r="B161" s="24" t="s">
        <v>141</v>
      </c>
      <c r="C161" s="95">
        <v>42523.0</v>
      </c>
      <c r="D161" s="24" t="str">
        <f t="shared" si="3"/>
        <v>Jun-2016</v>
      </c>
      <c r="E161" s="24" t="s">
        <v>20</v>
      </c>
      <c r="F161" s="24" t="s">
        <v>129</v>
      </c>
      <c r="G161" s="23" t="s">
        <v>145</v>
      </c>
      <c r="H161" s="24" t="s">
        <v>86</v>
      </c>
      <c r="I161" s="24" t="s">
        <v>9</v>
      </c>
      <c r="J161" s="24" t="s">
        <v>30</v>
      </c>
      <c r="K161" s="24" t="s">
        <v>30</v>
      </c>
      <c r="L161" s="24" t="s">
        <v>98</v>
      </c>
    </row>
    <row r="162">
      <c r="A162" s="24">
        <f t="shared" si="1"/>
        <v>161</v>
      </c>
      <c r="B162" s="24" t="s">
        <v>141</v>
      </c>
      <c r="C162" s="95">
        <v>42523.0</v>
      </c>
      <c r="D162" s="24" t="str">
        <f t="shared" si="3"/>
        <v>Jun-2016</v>
      </c>
      <c r="E162" s="24" t="s">
        <v>25</v>
      </c>
      <c r="F162" s="24" t="s">
        <v>129</v>
      </c>
      <c r="G162" s="23" t="s">
        <v>145</v>
      </c>
      <c r="H162" s="24" t="s">
        <v>86</v>
      </c>
      <c r="I162" s="24" t="s">
        <v>9</v>
      </c>
      <c r="J162" s="24" t="s">
        <v>30</v>
      </c>
      <c r="K162" s="24"/>
      <c r="L162" s="24" t="s">
        <v>106</v>
      </c>
    </row>
    <row r="163">
      <c r="A163" s="24">
        <f t="shared" si="1"/>
        <v>162</v>
      </c>
      <c r="B163" s="24" t="s">
        <v>141</v>
      </c>
      <c r="C163" s="95">
        <v>42523.0</v>
      </c>
      <c r="D163" s="24" t="str">
        <f t="shared" si="3"/>
        <v>Jun-2016</v>
      </c>
      <c r="E163" s="24" t="s">
        <v>146</v>
      </c>
      <c r="F163" s="24" t="s">
        <v>147</v>
      </c>
      <c r="G163" s="23" t="s">
        <v>148</v>
      </c>
      <c r="H163" s="24" t="s">
        <v>27</v>
      </c>
      <c r="I163" s="24" t="s">
        <v>9</v>
      </c>
      <c r="J163" s="24" t="s">
        <v>24</v>
      </c>
      <c r="K163" s="24" t="s">
        <v>24</v>
      </c>
      <c r="L163" s="24" t="s">
        <v>29</v>
      </c>
    </row>
    <row r="164">
      <c r="A164" s="24">
        <f t="shared" si="1"/>
        <v>163</v>
      </c>
      <c r="B164" s="24" t="s">
        <v>141</v>
      </c>
      <c r="C164" s="95">
        <v>42523.0</v>
      </c>
      <c r="D164" s="24" t="str">
        <f t="shared" si="3"/>
        <v>Jun-2016</v>
      </c>
      <c r="E164" s="24" t="s">
        <v>149</v>
      </c>
      <c r="F164" s="24" t="s">
        <v>147</v>
      </c>
      <c r="G164" s="23" t="s">
        <v>148</v>
      </c>
      <c r="H164" s="24" t="s">
        <v>27</v>
      </c>
      <c r="I164" s="24" t="s">
        <v>9</v>
      </c>
      <c r="J164" s="24" t="s">
        <v>24</v>
      </c>
      <c r="K164" s="24"/>
      <c r="L164" s="24" t="s">
        <v>98</v>
      </c>
    </row>
    <row r="165">
      <c r="A165" s="24">
        <f t="shared" si="1"/>
        <v>164</v>
      </c>
      <c r="B165" s="24" t="s">
        <v>141</v>
      </c>
      <c r="C165" s="95">
        <v>42523.0</v>
      </c>
      <c r="D165" s="24" t="str">
        <f t="shared" si="3"/>
        <v>Jun-2016</v>
      </c>
      <c r="E165" s="24" t="s">
        <v>149</v>
      </c>
      <c r="F165" s="24" t="s">
        <v>147</v>
      </c>
      <c r="G165" s="23" t="s">
        <v>148</v>
      </c>
      <c r="H165" s="24" t="s">
        <v>27</v>
      </c>
      <c r="I165" s="24" t="s">
        <v>9</v>
      </c>
      <c r="J165" s="24" t="s">
        <v>24</v>
      </c>
      <c r="K165" s="24"/>
      <c r="L165" s="24" t="s">
        <v>98</v>
      </c>
    </row>
    <row r="166">
      <c r="A166" s="24">
        <f t="shared" si="1"/>
        <v>165</v>
      </c>
      <c r="B166" s="24" t="s">
        <v>150</v>
      </c>
      <c r="C166" s="95">
        <v>42524.0</v>
      </c>
      <c r="D166" s="24" t="str">
        <f t="shared" si="3"/>
        <v>Jun-2016</v>
      </c>
      <c r="E166" s="24" t="s">
        <v>20</v>
      </c>
      <c r="F166" s="24" t="s">
        <v>35</v>
      </c>
      <c r="G166" s="23" t="s">
        <v>152</v>
      </c>
      <c r="H166" s="24" t="s">
        <v>27</v>
      </c>
      <c r="I166" s="24" t="s">
        <v>9</v>
      </c>
      <c r="J166" s="24" t="s">
        <v>24</v>
      </c>
      <c r="K166" s="24" t="s">
        <v>24</v>
      </c>
      <c r="L166" s="24" t="s">
        <v>29</v>
      </c>
    </row>
    <row r="167">
      <c r="A167" s="24">
        <f t="shared" si="1"/>
        <v>166</v>
      </c>
      <c r="B167" s="24" t="s">
        <v>150</v>
      </c>
      <c r="C167" s="95">
        <v>42524.0</v>
      </c>
      <c r="D167" s="24" t="str">
        <f t="shared" si="3"/>
        <v>Jun-2016</v>
      </c>
      <c r="E167" s="24" t="s">
        <v>25</v>
      </c>
      <c r="F167" s="24" t="s">
        <v>35</v>
      </c>
      <c r="G167" s="23" t="s">
        <v>152</v>
      </c>
      <c r="H167" s="24" t="s">
        <v>27</v>
      </c>
      <c r="I167" s="24" t="s">
        <v>9</v>
      </c>
      <c r="J167" s="24" t="s">
        <v>30</v>
      </c>
      <c r="K167" s="24"/>
      <c r="L167" s="24" t="s">
        <v>29</v>
      </c>
    </row>
    <row r="168">
      <c r="A168" s="24">
        <f t="shared" si="1"/>
        <v>167</v>
      </c>
      <c r="B168" s="24" t="s">
        <v>150</v>
      </c>
      <c r="C168" s="95">
        <v>42524.0</v>
      </c>
      <c r="D168" s="24" t="str">
        <f t="shared" si="3"/>
        <v>Jun-2016</v>
      </c>
      <c r="E168" s="24" t="s">
        <v>32</v>
      </c>
      <c r="F168" s="24" t="s">
        <v>35</v>
      </c>
      <c r="G168" s="23" t="s">
        <v>152</v>
      </c>
      <c r="H168" s="24" t="s">
        <v>27</v>
      </c>
      <c r="I168" s="24" t="s">
        <v>9</v>
      </c>
      <c r="J168" s="24" t="s">
        <v>24</v>
      </c>
      <c r="K168" s="24"/>
      <c r="L168" s="24" t="s">
        <v>69</v>
      </c>
    </row>
    <row r="169">
      <c r="A169" s="24">
        <f t="shared" si="1"/>
        <v>168</v>
      </c>
      <c r="B169" s="24" t="s">
        <v>150</v>
      </c>
      <c r="C169" s="95">
        <v>42524.0</v>
      </c>
      <c r="D169" s="24" t="str">
        <f t="shared" si="3"/>
        <v>Jun-2016</v>
      </c>
      <c r="E169" s="24" t="s">
        <v>20</v>
      </c>
      <c r="F169" s="24" t="s">
        <v>35</v>
      </c>
      <c r="G169" s="23" t="s">
        <v>154</v>
      </c>
      <c r="H169" s="24" t="s">
        <v>64</v>
      </c>
      <c r="I169" s="24" t="s">
        <v>9</v>
      </c>
      <c r="J169" s="24" t="s">
        <v>24</v>
      </c>
      <c r="K169" s="24" t="s">
        <v>24</v>
      </c>
      <c r="L169" s="24" t="s">
        <v>98</v>
      </c>
    </row>
    <row r="170">
      <c r="A170" s="24">
        <f t="shared" si="1"/>
        <v>169</v>
      </c>
      <c r="B170" s="24" t="s">
        <v>150</v>
      </c>
      <c r="C170" s="95">
        <v>42524.0</v>
      </c>
      <c r="D170" s="24" t="str">
        <f t="shared" si="3"/>
        <v>Jun-2016</v>
      </c>
      <c r="E170" s="24" t="s">
        <v>25</v>
      </c>
      <c r="F170" s="24" t="s">
        <v>35</v>
      </c>
      <c r="G170" s="23" t="s">
        <v>154</v>
      </c>
      <c r="H170" s="24" t="s">
        <v>64</v>
      </c>
      <c r="I170" s="24" t="s">
        <v>9</v>
      </c>
      <c r="J170" s="24" t="s">
        <v>30</v>
      </c>
      <c r="K170" s="24"/>
      <c r="L170" s="24" t="s">
        <v>29</v>
      </c>
    </row>
    <row r="171">
      <c r="A171" s="24">
        <f t="shared" si="1"/>
        <v>170</v>
      </c>
      <c r="B171" s="24" t="s">
        <v>150</v>
      </c>
      <c r="C171" s="95">
        <v>42524.0</v>
      </c>
      <c r="D171" s="24" t="str">
        <f t="shared" si="3"/>
        <v>Jun-2016</v>
      </c>
      <c r="E171" s="24" t="s">
        <v>32</v>
      </c>
      <c r="F171" s="24" t="s">
        <v>35</v>
      </c>
      <c r="G171" s="23" t="s">
        <v>154</v>
      </c>
      <c r="H171" s="24" t="s">
        <v>64</v>
      </c>
      <c r="I171" s="24" t="s">
        <v>9</v>
      </c>
      <c r="J171" s="24" t="s">
        <v>24</v>
      </c>
      <c r="K171" s="24"/>
      <c r="L171" s="24" t="s">
        <v>69</v>
      </c>
    </row>
    <row r="172">
      <c r="A172" s="24">
        <f t="shared" si="1"/>
        <v>171</v>
      </c>
      <c r="B172" s="24" t="s">
        <v>155</v>
      </c>
      <c r="C172" s="95">
        <v>42529.0</v>
      </c>
      <c r="D172" s="24" t="str">
        <f t="shared" si="3"/>
        <v>Jun-2016</v>
      </c>
      <c r="E172" s="24" t="s">
        <v>20</v>
      </c>
      <c r="F172" s="24" t="s">
        <v>35</v>
      </c>
      <c r="G172" s="23" t="s">
        <v>156</v>
      </c>
      <c r="H172" s="24" t="s">
        <v>71</v>
      </c>
      <c r="I172" s="24" t="s">
        <v>9</v>
      </c>
      <c r="J172" s="24" t="s">
        <v>30</v>
      </c>
      <c r="K172" s="24" t="s">
        <v>30</v>
      </c>
      <c r="L172" s="24" t="s">
        <v>37</v>
      </c>
    </row>
    <row r="173">
      <c r="A173" s="24">
        <f t="shared" si="1"/>
        <v>172</v>
      </c>
      <c r="B173" s="24" t="s">
        <v>155</v>
      </c>
      <c r="C173" s="95">
        <v>42529.0</v>
      </c>
      <c r="D173" s="24" t="str">
        <f t="shared" si="3"/>
        <v>Jun-2016</v>
      </c>
      <c r="E173" s="24" t="s">
        <v>25</v>
      </c>
      <c r="F173" s="24" t="s">
        <v>35</v>
      </c>
      <c r="G173" s="23" t="s">
        <v>156</v>
      </c>
      <c r="H173" s="24" t="s">
        <v>71</v>
      </c>
      <c r="I173" s="24" t="s">
        <v>9</v>
      </c>
      <c r="J173" s="24" t="s">
        <v>30</v>
      </c>
      <c r="K173" s="24"/>
      <c r="L173" s="24" t="s">
        <v>99</v>
      </c>
    </row>
    <row r="174">
      <c r="A174" s="24">
        <f t="shared" si="1"/>
        <v>173</v>
      </c>
      <c r="B174" s="24" t="s">
        <v>155</v>
      </c>
      <c r="C174" s="95">
        <v>42529.0</v>
      </c>
      <c r="D174" s="24" t="str">
        <f t="shared" si="3"/>
        <v>Jun-2016</v>
      </c>
      <c r="E174" s="24" t="s">
        <v>20</v>
      </c>
      <c r="F174" s="24" t="s">
        <v>35</v>
      </c>
      <c r="G174" s="23" t="s">
        <v>157</v>
      </c>
      <c r="H174" s="24" t="s">
        <v>27</v>
      </c>
      <c r="I174" s="24" t="s">
        <v>9</v>
      </c>
      <c r="J174" s="24" t="s">
        <v>24</v>
      </c>
      <c r="K174" s="24" t="s">
        <v>24</v>
      </c>
      <c r="L174" s="24" t="s">
        <v>37</v>
      </c>
    </row>
    <row r="175">
      <c r="A175" s="24">
        <f t="shared" si="1"/>
        <v>174</v>
      </c>
      <c r="B175" s="24" t="s">
        <v>155</v>
      </c>
      <c r="C175" s="95">
        <v>42529.0</v>
      </c>
      <c r="D175" s="24" t="str">
        <f t="shared" si="3"/>
        <v>Jun-2016</v>
      </c>
      <c r="E175" s="24" t="s">
        <v>25</v>
      </c>
      <c r="F175" s="24" t="s">
        <v>35</v>
      </c>
      <c r="G175" s="23" t="s">
        <v>157</v>
      </c>
      <c r="H175" s="24" t="s">
        <v>27</v>
      </c>
      <c r="I175" s="24" t="s">
        <v>9</v>
      </c>
      <c r="J175" s="24" t="s">
        <v>24</v>
      </c>
      <c r="K175" s="24"/>
      <c r="L175" s="24" t="s">
        <v>106</v>
      </c>
    </row>
    <row r="176">
      <c r="A176" s="24">
        <f t="shared" si="1"/>
        <v>175</v>
      </c>
      <c r="B176" s="24" t="s">
        <v>155</v>
      </c>
      <c r="C176" s="95">
        <v>42529.0</v>
      </c>
      <c r="D176" s="24" t="str">
        <f t="shared" si="3"/>
        <v>Jun-2016</v>
      </c>
      <c r="E176" s="24" t="s">
        <v>20</v>
      </c>
      <c r="F176" s="24" t="s">
        <v>35</v>
      </c>
      <c r="G176" s="23" t="s">
        <v>159</v>
      </c>
      <c r="H176" s="24" t="s">
        <v>140</v>
      </c>
      <c r="I176" s="24" t="s">
        <v>9</v>
      </c>
      <c r="J176" s="24" t="s">
        <v>30</v>
      </c>
      <c r="K176" s="24" t="s">
        <v>30</v>
      </c>
      <c r="L176" s="24" t="s">
        <v>37</v>
      </c>
    </row>
    <row r="177">
      <c r="A177" s="24">
        <f t="shared" si="1"/>
        <v>176</v>
      </c>
      <c r="B177" s="24" t="s">
        <v>155</v>
      </c>
      <c r="C177" s="95">
        <v>42529.0</v>
      </c>
      <c r="D177" s="24" t="str">
        <f t="shared" si="3"/>
        <v>Jun-2016</v>
      </c>
      <c r="E177" s="24" t="s">
        <v>25</v>
      </c>
      <c r="F177" s="24" t="s">
        <v>35</v>
      </c>
      <c r="G177" s="23" t="s">
        <v>159</v>
      </c>
      <c r="H177" s="24" t="s">
        <v>140</v>
      </c>
      <c r="I177" s="24" t="s">
        <v>9</v>
      </c>
      <c r="J177" s="24" t="s">
        <v>30</v>
      </c>
      <c r="K177" s="24"/>
      <c r="L177" s="24" t="s">
        <v>106</v>
      </c>
    </row>
    <row r="178">
      <c r="A178" s="24">
        <f t="shared" si="1"/>
        <v>177</v>
      </c>
      <c r="B178" s="24" t="s">
        <v>155</v>
      </c>
      <c r="C178" s="95">
        <v>42529.0</v>
      </c>
      <c r="D178" s="24" t="str">
        <f t="shared" si="3"/>
        <v>Jun-2016</v>
      </c>
      <c r="E178" s="24" t="s">
        <v>20</v>
      </c>
      <c r="F178" s="24" t="s">
        <v>35</v>
      </c>
      <c r="G178" s="23" t="s">
        <v>161</v>
      </c>
      <c r="H178" s="24" t="s">
        <v>86</v>
      </c>
      <c r="I178" s="24" t="s">
        <v>9</v>
      </c>
      <c r="J178" s="24" t="s">
        <v>30</v>
      </c>
      <c r="K178" s="24" t="s">
        <v>30</v>
      </c>
      <c r="L178" s="24" t="s">
        <v>98</v>
      </c>
    </row>
    <row r="179">
      <c r="A179" s="24">
        <f t="shared" si="1"/>
        <v>178</v>
      </c>
      <c r="B179" s="24" t="s">
        <v>155</v>
      </c>
      <c r="C179" s="95">
        <v>42529.0</v>
      </c>
      <c r="D179" s="24" t="str">
        <f t="shared" si="3"/>
        <v>Jun-2016</v>
      </c>
      <c r="E179" s="24" t="s">
        <v>25</v>
      </c>
      <c r="F179" s="24" t="s">
        <v>35</v>
      </c>
      <c r="G179" s="23" t="s">
        <v>161</v>
      </c>
      <c r="H179" s="24" t="s">
        <v>86</v>
      </c>
      <c r="I179" s="24" t="s">
        <v>9</v>
      </c>
      <c r="J179" s="24" t="s">
        <v>30</v>
      </c>
      <c r="K179" s="24"/>
      <c r="L179" s="24" t="s">
        <v>106</v>
      </c>
    </row>
    <row r="180">
      <c r="A180" s="24">
        <f t="shared" si="1"/>
        <v>179</v>
      </c>
      <c r="B180" s="24" t="s">
        <v>155</v>
      </c>
      <c r="C180" s="95">
        <v>42529.0</v>
      </c>
      <c r="D180" s="24" t="str">
        <f t="shared" si="3"/>
        <v>Jun-2016</v>
      </c>
      <c r="E180" s="24" t="s">
        <v>20</v>
      </c>
      <c r="F180" s="24" t="s">
        <v>35</v>
      </c>
      <c r="G180" s="23" t="s">
        <v>135</v>
      </c>
      <c r="H180" s="24" t="s">
        <v>86</v>
      </c>
      <c r="I180" s="24" t="s">
        <v>9</v>
      </c>
      <c r="J180" s="24" t="s">
        <v>24</v>
      </c>
      <c r="K180" s="24" t="s">
        <v>24</v>
      </c>
      <c r="L180" s="24" t="s">
        <v>98</v>
      </c>
    </row>
    <row r="181">
      <c r="A181" s="24">
        <f t="shared" si="1"/>
        <v>180</v>
      </c>
      <c r="B181" s="24" t="s">
        <v>155</v>
      </c>
      <c r="C181" s="95">
        <v>42529.0</v>
      </c>
      <c r="D181" s="24" t="str">
        <f t="shared" si="3"/>
        <v>Jun-2016</v>
      </c>
      <c r="E181" s="24" t="s">
        <v>25</v>
      </c>
      <c r="F181" s="24" t="s">
        <v>35</v>
      </c>
      <c r="G181" s="23" t="s">
        <v>135</v>
      </c>
      <c r="H181" s="24" t="s">
        <v>86</v>
      </c>
      <c r="I181" s="24" t="s">
        <v>9</v>
      </c>
      <c r="J181" s="24" t="s">
        <v>24</v>
      </c>
      <c r="K181" s="24"/>
      <c r="L181" s="24" t="s">
        <v>69</v>
      </c>
    </row>
    <row r="182">
      <c r="A182" s="24">
        <f t="shared" si="1"/>
        <v>181</v>
      </c>
      <c r="B182" s="24" t="s">
        <v>162</v>
      </c>
      <c r="C182" s="95">
        <v>42531.0</v>
      </c>
      <c r="D182" s="24" t="str">
        <f t="shared" si="3"/>
        <v>Jun-2016</v>
      </c>
      <c r="E182" s="24" t="s">
        <v>20</v>
      </c>
      <c r="F182" s="24" t="s">
        <v>35</v>
      </c>
      <c r="G182" s="23" t="s">
        <v>163</v>
      </c>
      <c r="H182" s="24" t="s">
        <v>44</v>
      </c>
      <c r="I182" s="24" t="s">
        <v>9</v>
      </c>
      <c r="J182" s="24" t="s">
        <v>24</v>
      </c>
      <c r="K182" s="24" t="s">
        <v>24</v>
      </c>
      <c r="L182" s="24" t="s">
        <v>69</v>
      </c>
    </row>
    <row r="183">
      <c r="A183" s="24">
        <f t="shared" si="1"/>
        <v>182</v>
      </c>
      <c r="B183" s="24" t="s">
        <v>162</v>
      </c>
      <c r="C183" s="95">
        <v>42531.0</v>
      </c>
      <c r="D183" s="24" t="str">
        <f t="shared" si="3"/>
        <v>Jun-2016</v>
      </c>
      <c r="E183" s="24" t="s">
        <v>25</v>
      </c>
      <c r="F183" s="24" t="s">
        <v>35</v>
      </c>
      <c r="G183" s="23" t="s">
        <v>163</v>
      </c>
      <c r="H183" s="24" t="s">
        <v>44</v>
      </c>
      <c r="I183" s="24" t="s">
        <v>9</v>
      </c>
      <c r="J183" s="24" t="s">
        <v>30</v>
      </c>
      <c r="K183" s="24"/>
      <c r="L183" s="24" t="s">
        <v>106</v>
      </c>
    </row>
    <row r="184">
      <c r="A184" s="24">
        <f t="shared" si="1"/>
        <v>183</v>
      </c>
      <c r="B184" s="24" t="s">
        <v>162</v>
      </c>
      <c r="C184" s="95">
        <v>42531.0</v>
      </c>
      <c r="D184" s="24" t="str">
        <f t="shared" si="3"/>
        <v>Jun-2016</v>
      </c>
      <c r="E184" s="24" t="s">
        <v>32</v>
      </c>
      <c r="F184" s="24" t="s">
        <v>35</v>
      </c>
      <c r="G184" s="23" t="s">
        <v>163</v>
      </c>
      <c r="H184" s="24" t="s">
        <v>9</v>
      </c>
      <c r="I184" s="24" t="s">
        <v>9</v>
      </c>
      <c r="J184" s="24" t="s">
        <v>24</v>
      </c>
      <c r="K184" s="24"/>
      <c r="L184" s="24" t="s">
        <v>69</v>
      </c>
    </row>
    <row r="185">
      <c r="A185" s="24">
        <f t="shared" si="1"/>
        <v>184</v>
      </c>
      <c r="B185" s="24" t="s">
        <v>162</v>
      </c>
      <c r="C185" s="95">
        <v>42531.0</v>
      </c>
      <c r="D185" s="24" t="str">
        <f t="shared" si="3"/>
        <v>Jun-2016</v>
      </c>
      <c r="E185" s="24" t="s">
        <v>20</v>
      </c>
      <c r="F185" s="24" t="s">
        <v>35</v>
      </c>
      <c r="G185" s="23" t="s">
        <v>164</v>
      </c>
      <c r="H185" s="24" t="s">
        <v>9</v>
      </c>
      <c r="I185" s="24" t="s">
        <v>9</v>
      </c>
      <c r="J185" s="24" t="s">
        <v>30</v>
      </c>
      <c r="K185" s="24" t="s">
        <v>30</v>
      </c>
      <c r="L185" s="24" t="s">
        <v>98</v>
      </c>
    </row>
    <row r="186">
      <c r="A186" s="24">
        <f t="shared" si="1"/>
        <v>185</v>
      </c>
      <c r="B186" s="24" t="s">
        <v>162</v>
      </c>
      <c r="C186" s="95">
        <v>42531.0</v>
      </c>
      <c r="D186" s="24" t="str">
        <f t="shared" si="3"/>
        <v>Jun-2016</v>
      </c>
      <c r="E186" s="24" t="s">
        <v>25</v>
      </c>
      <c r="F186" s="24" t="s">
        <v>35</v>
      </c>
      <c r="G186" s="23" t="s">
        <v>164</v>
      </c>
      <c r="H186" s="24" t="s">
        <v>102</v>
      </c>
      <c r="I186" s="24" t="s">
        <v>9</v>
      </c>
      <c r="J186" s="24" t="s">
        <v>30</v>
      </c>
      <c r="K186" s="24"/>
      <c r="L186" s="24" t="s">
        <v>106</v>
      </c>
    </row>
    <row r="187">
      <c r="A187" s="24">
        <f t="shared" si="1"/>
        <v>186</v>
      </c>
      <c r="B187" s="24" t="s">
        <v>162</v>
      </c>
      <c r="C187" s="95">
        <v>42531.0</v>
      </c>
      <c r="D187" s="24" t="str">
        <f t="shared" si="3"/>
        <v>Jun-2016</v>
      </c>
      <c r="E187" s="24" t="s">
        <v>32</v>
      </c>
      <c r="F187" s="24" t="s">
        <v>35</v>
      </c>
      <c r="G187" s="23" t="s">
        <v>165</v>
      </c>
      <c r="H187" s="24" t="s">
        <v>27</v>
      </c>
      <c r="I187" s="24" t="s">
        <v>9</v>
      </c>
      <c r="J187" s="24" t="s">
        <v>24</v>
      </c>
      <c r="K187" s="24" t="s">
        <v>24</v>
      </c>
      <c r="L187" s="24" t="s">
        <v>37</v>
      </c>
    </row>
    <row r="188">
      <c r="A188" s="24">
        <f t="shared" si="1"/>
        <v>187</v>
      </c>
      <c r="B188" s="24" t="s">
        <v>162</v>
      </c>
      <c r="C188" s="95">
        <v>42531.0</v>
      </c>
      <c r="D188" s="24" t="str">
        <f t="shared" si="3"/>
        <v>Jun-2016</v>
      </c>
      <c r="E188" s="24" t="s">
        <v>25</v>
      </c>
      <c r="F188" s="24" t="s">
        <v>35</v>
      </c>
      <c r="G188" s="23" t="s">
        <v>165</v>
      </c>
      <c r="H188" s="24" t="s">
        <v>27</v>
      </c>
      <c r="I188" s="24" t="s">
        <v>9</v>
      </c>
      <c r="J188" s="24" t="s">
        <v>30</v>
      </c>
      <c r="K188" s="24"/>
      <c r="L188" s="24" t="s">
        <v>29</v>
      </c>
    </row>
    <row r="189">
      <c r="A189" s="24">
        <f t="shared" si="1"/>
        <v>188</v>
      </c>
      <c r="B189" s="24" t="s">
        <v>162</v>
      </c>
      <c r="C189" s="95">
        <v>42531.0</v>
      </c>
      <c r="D189" s="24" t="str">
        <f t="shared" si="3"/>
        <v>Jun-2016</v>
      </c>
      <c r="E189" s="24" t="s">
        <v>32</v>
      </c>
      <c r="F189" s="24" t="s">
        <v>35</v>
      </c>
      <c r="G189" s="23" t="s">
        <v>165</v>
      </c>
      <c r="H189" s="24" t="s">
        <v>27</v>
      </c>
      <c r="I189" s="24" t="s">
        <v>9</v>
      </c>
      <c r="J189" s="24" t="s">
        <v>24</v>
      </c>
      <c r="K189" s="24"/>
      <c r="L189" s="24" t="s">
        <v>106</v>
      </c>
    </row>
    <row r="190">
      <c r="A190" s="24">
        <f t="shared" si="1"/>
        <v>189</v>
      </c>
      <c r="B190" s="24" t="s">
        <v>166</v>
      </c>
      <c r="C190" s="338">
        <v>42536.0</v>
      </c>
      <c r="D190" s="24" t="str">
        <f t="shared" si="3"/>
        <v>Jun-2016</v>
      </c>
      <c r="E190" s="24" t="s">
        <v>20</v>
      </c>
      <c r="F190" s="24" t="s">
        <v>35</v>
      </c>
      <c r="G190" s="23" t="s">
        <v>93</v>
      </c>
      <c r="H190" s="24" t="s">
        <v>23</v>
      </c>
      <c r="I190" s="24" t="s">
        <v>9</v>
      </c>
      <c r="J190" s="24" t="s">
        <v>24</v>
      </c>
      <c r="K190" s="24" t="s">
        <v>24</v>
      </c>
      <c r="L190" s="24" t="s">
        <v>98</v>
      </c>
    </row>
    <row r="191">
      <c r="A191" s="24">
        <f t="shared" si="1"/>
        <v>190</v>
      </c>
      <c r="B191" s="24" t="s">
        <v>166</v>
      </c>
      <c r="C191" s="338">
        <v>42536.0</v>
      </c>
      <c r="D191" s="24" t="str">
        <f t="shared" si="3"/>
        <v>Jun-2016</v>
      </c>
      <c r="E191" s="24" t="s">
        <v>25</v>
      </c>
      <c r="F191" s="24" t="s">
        <v>35</v>
      </c>
      <c r="G191" s="23" t="s">
        <v>93</v>
      </c>
      <c r="H191" s="24" t="s">
        <v>23</v>
      </c>
      <c r="I191" s="24" t="s">
        <v>9</v>
      </c>
      <c r="J191" s="24" t="s">
        <v>30</v>
      </c>
      <c r="K191" s="24"/>
      <c r="L191" s="24" t="s">
        <v>106</v>
      </c>
    </row>
    <row r="192">
      <c r="A192" s="24">
        <f t="shared" si="1"/>
        <v>191</v>
      </c>
      <c r="B192" s="24" t="s">
        <v>166</v>
      </c>
      <c r="C192" s="338">
        <v>42536.0</v>
      </c>
      <c r="D192" s="24" t="str">
        <f t="shared" si="3"/>
        <v>Jun-2016</v>
      </c>
      <c r="E192" s="24" t="s">
        <v>32</v>
      </c>
      <c r="F192" s="24" t="s">
        <v>35</v>
      </c>
      <c r="G192" s="23" t="s">
        <v>93</v>
      </c>
      <c r="H192" s="24" t="s">
        <v>23</v>
      </c>
      <c r="I192" s="24" t="s">
        <v>9</v>
      </c>
      <c r="J192" s="24" t="s">
        <v>24</v>
      </c>
      <c r="K192" s="24"/>
      <c r="L192" s="24" t="s">
        <v>69</v>
      </c>
    </row>
    <row r="193">
      <c r="A193" s="24">
        <f t="shared" si="1"/>
        <v>192</v>
      </c>
      <c r="B193" s="24" t="s">
        <v>166</v>
      </c>
      <c r="C193" s="338">
        <v>42536.0</v>
      </c>
      <c r="D193" s="24" t="str">
        <f t="shared" si="3"/>
        <v>Jun-2016</v>
      </c>
      <c r="E193" s="24" t="s">
        <v>20</v>
      </c>
      <c r="F193" s="24" t="s">
        <v>35</v>
      </c>
      <c r="G193" s="23" t="s">
        <v>167</v>
      </c>
      <c r="H193" s="24" t="s">
        <v>27</v>
      </c>
      <c r="I193" s="24" t="s">
        <v>9</v>
      </c>
      <c r="J193" s="24" t="s">
        <v>30</v>
      </c>
      <c r="K193" s="24" t="s">
        <v>30</v>
      </c>
      <c r="L193" s="24" t="s">
        <v>29</v>
      </c>
    </row>
    <row r="194">
      <c r="A194" s="24">
        <f t="shared" si="1"/>
        <v>193</v>
      </c>
      <c r="B194" s="24" t="s">
        <v>166</v>
      </c>
      <c r="C194" s="338">
        <v>42536.0</v>
      </c>
      <c r="D194" s="24" t="str">
        <f t="shared" si="3"/>
        <v>Jun-2016</v>
      </c>
      <c r="E194" s="24" t="s">
        <v>25</v>
      </c>
      <c r="F194" s="24" t="s">
        <v>35</v>
      </c>
      <c r="G194" s="23" t="s">
        <v>167</v>
      </c>
      <c r="H194" s="24" t="s">
        <v>27</v>
      </c>
      <c r="I194" s="24" t="s">
        <v>9</v>
      </c>
      <c r="J194" s="24" t="s">
        <v>24</v>
      </c>
      <c r="K194" s="24"/>
      <c r="L194" s="24" t="s">
        <v>106</v>
      </c>
    </row>
    <row r="195">
      <c r="A195" s="24">
        <f t="shared" si="1"/>
        <v>194</v>
      </c>
      <c r="B195" s="24" t="s">
        <v>166</v>
      </c>
      <c r="C195" s="338">
        <v>42536.0</v>
      </c>
      <c r="D195" s="24" t="str">
        <f t="shared" si="3"/>
        <v>Jun-2016</v>
      </c>
      <c r="E195" s="24" t="s">
        <v>32</v>
      </c>
      <c r="F195" s="24" t="s">
        <v>35</v>
      </c>
      <c r="G195" s="23" t="s">
        <v>167</v>
      </c>
      <c r="H195" s="24" t="s">
        <v>27</v>
      </c>
      <c r="I195" s="24" t="s">
        <v>9</v>
      </c>
      <c r="J195" s="24" t="s">
        <v>30</v>
      </c>
      <c r="K195" s="24"/>
      <c r="L195" s="24" t="s">
        <v>98</v>
      </c>
    </row>
    <row r="196">
      <c r="A196" s="24">
        <f t="shared" si="1"/>
        <v>195</v>
      </c>
      <c r="B196" s="24" t="s">
        <v>166</v>
      </c>
      <c r="C196" s="338">
        <v>42536.0</v>
      </c>
      <c r="D196" s="24" t="str">
        <f t="shared" si="3"/>
        <v>Jun-2016</v>
      </c>
      <c r="E196" s="24" t="s">
        <v>20</v>
      </c>
      <c r="F196" s="24" t="s">
        <v>35</v>
      </c>
      <c r="G196" s="23" t="s">
        <v>148</v>
      </c>
      <c r="H196" s="24" t="s">
        <v>27</v>
      </c>
      <c r="I196" s="24" t="s">
        <v>9</v>
      </c>
      <c r="J196" s="24" t="s">
        <v>30</v>
      </c>
      <c r="K196" s="24" t="s">
        <v>24</v>
      </c>
      <c r="L196" s="24" t="s">
        <v>29</v>
      </c>
    </row>
    <row r="197">
      <c r="A197" s="24">
        <f t="shared" si="1"/>
        <v>196</v>
      </c>
      <c r="B197" s="24" t="s">
        <v>166</v>
      </c>
      <c r="C197" s="338">
        <v>42536.0</v>
      </c>
      <c r="D197" s="24" t="str">
        <f t="shared" si="3"/>
        <v>Jun-2016</v>
      </c>
      <c r="E197" s="24" t="s">
        <v>25</v>
      </c>
      <c r="F197" s="24" t="s">
        <v>35</v>
      </c>
      <c r="G197" s="23" t="s">
        <v>148</v>
      </c>
      <c r="H197" s="24" t="s">
        <v>27</v>
      </c>
      <c r="I197" s="24" t="s">
        <v>9</v>
      </c>
      <c r="J197" s="24" t="s">
        <v>24</v>
      </c>
      <c r="K197" s="24"/>
      <c r="L197" s="24" t="s">
        <v>29</v>
      </c>
    </row>
    <row r="198">
      <c r="A198" s="24">
        <f t="shared" si="1"/>
        <v>197</v>
      </c>
      <c r="B198" s="24" t="s">
        <v>166</v>
      </c>
      <c r="C198" s="338">
        <v>42536.0</v>
      </c>
      <c r="D198" s="24" t="str">
        <f t="shared" si="3"/>
        <v>Jun-2016</v>
      </c>
      <c r="E198" s="24" t="s">
        <v>32</v>
      </c>
      <c r="F198" s="24" t="s">
        <v>35</v>
      </c>
      <c r="G198" s="23" t="s">
        <v>148</v>
      </c>
      <c r="H198" s="24" t="s">
        <v>27</v>
      </c>
      <c r="I198" s="24" t="s">
        <v>9</v>
      </c>
      <c r="J198" s="24" t="s">
        <v>24</v>
      </c>
      <c r="K198" s="24"/>
      <c r="L198" s="24" t="s">
        <v>106</v>
      </c>
    </row>
    <row r="199">
      <c r="A199" s="24">
        <f t="shared" si="1"/>
        <v>198</v>
      </c>
      <c r="B199" s="24" t="s">
        <v>166</v>
      </c>
      <c r="C199" s="338">
        <v>42536.0</v>
      </c>
      <c r="D199" s="24" t="str">
        <f t="shared" si="3"/>
        <v>Jun-2016</v>
      </c>
      <c r="E199" s="24" t="s">
        <v>20</v>
      </c>
      <c r="F199" s="24" t="s">
        <v>129</v>
      </c>
      <c r="G199" s="23" t="s">
        <v>105</v>
      </c>
      <c r="H199" s="24" t="s">
        <v>44</v>
      </c>
      <c r="I199" s="24" t="s">
        <v>9</v>
      </c>
      <c r="J199" s="24" t="s">
        <v>30</v>
      </c>
      <c r="K199" s="24" t="s">
        <v>24</v>
      </c>
      <c r="L199" s="24" t="s">
        <v>37</v>
      </c>
    </row>
    <row r="200">
      <c r="A200" s="24">
        <f t="shared" si="1"/>
        <v>199</v>
      </c>
      <c r="B200" s="24" t="s">
        <v>166</v>
      </c>
      <c r="C200" s="338">
        <v>42536.0</v>
      </c>
      <c r="D200" s="24" t="str">
        <f t="shared" si="3"/>
        <v>Jun-2016</v>
      </c>
      <c r="E200" s="24" t="s">
        <v>25</v>
      </c>
      <c r="F200" s="24" t="s">
        <v>129</v>
      </c>
      <c r="G200" s="23" t="s">
        <v>105</v>
      </c>
      <c r="H200" s="24" t="s">
        <v>44</v>
      </c>
      <c r="I200" s="24" t="s">
        <v>9</v>
      </c>
      <c r="J200" s="24" t="s">
        <v>24</v>
      </c>
      <c r="K200" s="24"/>
      <c r="L200" s="24" t="s">
        <v>98</v>
      </c>
    </row>
    <row r="201">
      <c r="A201" s="24">
        <f t="shared" si="1"/>
        <v>200</v>
      </c>
      <c r="B201" s="24" t="s">
        <v>166</v>
      </c>
      <c r="C201" s="338">
        <v>42536.0</v>
      </c>
      <c r="D201" s="24" t="str">
        <f t="shared" si="3"/>
        <v>Jun-2016</v>
      </c>
      <c r="E201" s="24" t="s">
        <v>32</v>
      </c>
      <c r="F201" s="24" t="s">
        <v>129</v>
      </c>
      <c r="G201" s="23" t="s">
        <v>105</v>
      </c>
      <c r="H201" s="24" t="s">
        <v>44</v>
      </c>
      <c r="I201" s="24" t="s">
        <v>9</v>
      </c>
      <c r="J201" s="24" t="s">
        <v>24</v>
      </c>
      <c r="K201" s="24"/>
      <c r="L201" s="24" t="s">
        <v>106</v>
      </c>
    </row>
    <row r="202">
      <c r="A202" s="24">
        <f t="shared" si="1"/>
        <v>201</v>
      </c>
      <c r="B202" s="24" t="s">
        <v>169</v>
      </c>
      <c r="C202" s="338">
        <v>42537.0</v>
      </c>
      <c r="D202" s="24" t="str">
        <f t="shared" si="3"/>
        <v>Jun-2016</v>
      </c>
      <c r="E202" s="24" t="s">
        <v>20</v>
      </c>
      <c r="F202" s="24" t="s">
        <v>35</v>
      </c>
      <c r="G202" s="23" t="s">
        <v>170</v>
      </c>
      <c r="H202" s="24" t="s">
        <v>27</v>
      </c>
      <c r="I202" s="24" t="s">
        <v>9</v>
      </c>
      <c r="J202" s="24" t="s">
        <v>24</v>
      </c>
      <c r="K202" s="24" t="s">
        <v>24</v>
      </c>
      <c r="L202" s="24" t="s">
        <v>98</v>
      </c>
    </row>
    <row r="203">
      <c r="A203" s="24">
        <f t="shared" si="1"/>
        <v>202</v>
      </c>
      <c r="B203" s="24" t="s">
        <v>169</v>
      </c>
      <c r="C203" s="338">
        <v>42537.0</v>
      </c>
      <c r="D203" s="24" t="str">
        <f t="shared" si="3"/>
        <v>Jun-2016</v>
      </c>
      <c r="E203" s="24" t="s">
        <v>25</v>
      </c>
      <c r="F203" s="24" t="s">
        <v>35</v>
      </c>
      <c r="G203" s="23" t="s">
        <v>170</v>
      </c>
      <c r="H203" s="24" t="s">
        <v>27</v>
      </c>
      <c r="I203" s="24" t="s">
        <v>9</v>
      </c>
      <c r="J203" s="24" t="s">
        <v>30</v>
      </c>
      <c r="K203" s="24"/>
      <c r="L203" s="24" t="s">
        <v>99</v>
      </c>
    </row>
    <row r="204">
      <c r="A204" s="24">
        <f t="shared" si="1"/>
        <v>203</v>
      </c>
      <c r="B204" s="24" t="s">
        <v>169</v>
      </c>
      <c r="C204" s="338">
        <v>42537.0</v>
      </c>
      <c r="D204" s="24" t="str">
        <f t="shared" si="3"/>
        <v>Jun-2016</v>
      </c>
      <c r="E204" s="24" t="s">
        <v>32</v>
      </c>
      <c r="F204" s="24" t="s">
        <v>35</v>
      </c>
      <c r="G204" s="23" t="s">
        <v>170</v>
      </c>
      <c r="H204" s="24" t="s">
        <v>27</v>
      </c>
      <c r="I204" s="24" t="s">
        <v>9</v>
      </c>
      <c r="J204" s="24" t="s">
        <v>24</v>
      </c>
      <c r="K204" s="24"/>
      <c r="L204" s="24" t="s">
        <v>106</v>
      </c>
    </row>
    <row r="205">
      <c r="A205" s="24">
        <f t="shared" si="1"/>
        <v>204</v>
      </c>
      <c r="B205" s="24" t="s">
        <v>169</v>
      </c>
      <c r="C205" s="338">
        <v>42537.0</v>
      </c>
      <c r="D205" s="24" t="str">
        <f t="shared" si="3"/>
        <v>Jun-2016</v>
      </c>
      <c r="E205" s="24" t="s">
        <v>20</v>
      </c>
      <c r="F205" s="24" t="s">
        <v>35</v>
      </c>
      <c r="G205" s="23" t="s">
        <v>171</v>
      </c>
      <c r="H205" s="24" t="s">
        <v>9</v>
      </c>
      <c r="I205" s="24" t="s">
        <v>9</v>
      </c>
      <c r="J205" s="24" t="s">
        <v>30</v>
      </c>
      <c r="K205" s="24" t="s">
        <v>30</v>
      </c>
      <c r="L205" s="24" t="s">
        <v>98</v>
      </c>
    </row>
    <row r="206">
      <c r="A206" s="24">
        <f t="shared" si="1"/>
        <v>205</v>
      </c>
      <c r="B206" s="24" t="s">
        <v>169</v>
      </c>
      <c r="C206" s="338">
        <v>42537.0</v>
      </c>
      <c r="D206" s="24" t="str">
        <f t="shared" si="3"/>
        <v>Jun-2016</v>
      </c>
      <c r="E206" s="24" t="s">
        <v>25</v>
      </c>
      <c r="F206" s="24" t="s">
        <v>35</v>
      </c>
      <c r="G206" s="23" t="s">
        <v>171</v>
      </c>
      <c r="H206" s="24" t="s">
        <v>9</v>
      </c>
      <c r="I206" s="24" t="s">
        <v>9</v>
      </c>
      <c r="J206" s="24" t="s">
        <v>30</v>
      </c>
      <c r="K206" s="24"/>
      <c r="L206" s="24" t="s">
        <v>29</v>
      </c>
    </row>
    <row r="207">
      <c r="A207" s="24">
        <f t="shared" si="1"/>
        <v>206</v>
      </c>
      <c r="B207" s="24" t="s">
        <v>169</v>
      </c>
      <c r="C207" s="338">
        <v>42537.0</v>
      </c>
      <c r="D207" s="24" t="str">
        <f t="shared" si="3"/>
        <v>Jun-2016</v>
      </c>
      <c r="E207" s="24" t="s">
        <v>20</v>
      </c>
      <c r="F207" s="24" t="s">
        <v>35</v>
      </c>
      <c r="G207" s="23" t="s">
        <v>172</v>
      </c>
      <c r="H207" s="24" t="s">
        <v>48</v>
      </c>
      <c r="I207" s="24" t="s">
        <v>9</v>
      </c>
      <c r="J207" s="24" t="s">
        <v>24</v>
      </c>
      <c r="K207" s="24" t="s">
        <v>24</v>
      </c>
      <c r="L207" s="24" t="s">
        <v>98</v>
      </c>
    </row>
    <row r="208">
      <c r="A208" s="24">
        <f t="shared" si="1"/>
        <v>207</v>
      </c>
      <c r="B208" s="24" t="s">
        <v>169</v>
      </c>
      <c r="C208" s="338">
        <v>42537.0</v>
      </c>
      <c r="D208" s="24" t="str">
        <f t="shared" si="3"/>
        <v>Jun-2016</v>
      </c>
      <c r="E208" s="24" t="s">
        <v>25</v>
      </c>
      <c r="F208" s="24" t="s">
        <v>35</v>
      </c>
      <c r="G208" s="23" t="s">
        <v>172</v>
      </c>
      <c r="H208" s="24" t="s">
        <v>48</v>
      </c>
      <c r="I208" s="24" t="s">
        <v>9</v>
      </c>
      <c r="J208" s="24" t="s">
        <v>24</v>
      </c>
      <c r="K208" s="24"/>
      <c r="L208" s="24" t="s">
        <v>106</v>
      </c>
    </row>
    <row r="209">
      <c r="A209" s="24">
        <f t="shared" si="1"/>
        <v>208</v>
      </c>
      <c r="B209" s="24" t="s">
        <v>173</v>
      </c>
      <c r="C209" s="338">
        <v>42543.0</v>
      </c>
      <c r="D209" s="24" t="str">
        <f t="shared" si="3"/>
        <v>Jun-2016</v>
      </c>
      <c r="E209" s="24" t="s">
        <v>20</v>
      </c>
      <c r="F209" s="24" t="s">
        <v>35</v>
      </c>
      <c r="G209" s="23" t="s">
        <v>174</v>
      </c>
      <c r="H209" s="24" t="s">
        <v>71</v>
      </c>
      <c r="I209" s="24" t="s">
        <v>9</v>
      </c>
      <c r="J209" s="24" t="s">
        <v>24</v>
      </c>
      <c r="K209" s="24" t="s">
        <v>24</v>
      </c>
      <c r="L209" s="24" t="s">
        <v>98</v>
      </c>
    </row>
    <row r="210">
      <c r="A210" s="24">
        <f t="shared" si="1"/>
        <v>209</v>
      </c>
      <c r="B210" s="24" t="s">
        <v>173</v>
      </c>
      <c r="C210" s="338">
        <v>42543.0</v>
      </c>
      <c r="D210" s="24" t="str">
        <f t="shared" si="3"/>
        <v>Jun-2016</v>
      </c>
      <c r="E210" s="24" t="s">
        <v>25</v>
      </c>
      <c r="F210" s="24" t="s">
        <v>35</v>
      </c>
      <c r="G210" s="23" t="s">
        <v>174</v>
      </c>
      <c r="H210" s="24" t="s">
        <v>71</v>
      </c>
      <c r="I210" s="24" t="s">
        <v>9</v>
      </c>
      <c r="J210" s="24" t="s">
        <v>24</v>
      </c>
      <c r="K210" s="24"/>
      <c r="L210" s="24" t="s">
        <v>106</v>
      </c>
    </row>
    <row r="211">
      <c r="A211" s="24">
        <f t="shared" si="1"/>
        <v>210</v>
      </c>
      <c r="B211" s="24" t="s">
        <v>173</v>
      </c>
      <c r="C211" s="338">
        <v>42543.0</v>
      </c>
      <c r="D211" s="24" t="str">
        <f t="shared" si="3"/>
        <v>Jun-2016</v>
      </c>
      <c r="E211" s="24" t="s">
        <v>20</v>
      </c>
      <c r="F211" s="24" t="s">
        <v>35</v>
      </c>
      <c r="G211" s="23" t="s">
        <v>175</v>
      </c>
      <c r="H211" s="24" t="s">
        <v>23</v>
      </c>
      <c r="I211" s="24" t="s">
        <v>9</v>
      </c>
      <c r="J211" s="24" t="s">
        <v>30</v>
      </c>
      <c r="K211" s="24" t="s">
        <v>30</v>
      </c>
      <c r="L211" s="24" t="s">
        <v>29</v>
      </c>
    </row>
    <row r="212">
      <c r="A212" s="24">
        <f t="shared" si="1"/>
        <v>211</v>
      </c>
      <c r="B212" s="24" t="s">
        <v>173</v>
      </c>
      <c r="C212" s="338">
        <v>42543.0</v>
      </c>
      <c r="D212" s="24" t="str">
        <f t="shared" si="3"/>
        <v>Jun-2016</v>
      </c>
      <c r="E212" s="24" t="s">
        <v>25</v>
      </c>
      <c r="F212" s="24" t="s">
        <v>35</v>
      </c>
      <c r="G212" s="23" t="s">
        <v>175</v>
      </c>
      <c r="H212" s="24" t="s">
        <v>44</v>
      </c>
      <c r="I212" s="24" t="s">
        <v>9</v>
      </c>
      <c r="J212" s="24" t="s">
        <v>30</v>
      </c>
      <c r="K212" s="24"/>
      <c r="L212" s="24" t="s">
        <v>69</v>
      </c>
    </row>
    <row r="213">
      <c r="A213" s="24">
        <f t="shared" si="1"/>
        <v>212</v>
      </c>
      <c r="B213" s="24" t="s">
        <v>173</v>
      </c>
      <c r="C213" s="338">
        <v>42543.0</v>
      </c>
      <c r="D213" s="24" t="str">
        <f t="shared" si="3"/>
        <v>Jun-2016</v>
      </c>
      <c r="E213" s="24" t="s">
        <v>20</v>
      </c>
      <c r="F213" s="24" t="s">
        <v>35</v>
      </c>
      <c r="G213" s="23" t="s">
        <v>101</v>
      </c>
      <c r="H213" s="24" t="s">
        <v>102</v>
      </c>
      <c r="I213" s="24" t="s">
        <v>9</v>
      </c>
      <c r="J213" s="24" t="s">
        <v>30</v>
      </c>
      <c r="K213" s="24" t="s">
        <v>30</v>
      </c>
      <c r="L213" s="24" t="s">
        <v>29</v>
      </c>
    </row>
    <row r="214">
      <c r="A214" s="24">
        <f t="shared" si="1"/>
        <v>213</v>
      </c>
      <c r="B214" s="24" t="s">
        <v>173</v>
      </c>
      <c r="C214" s="338">
        <v>42543.0</v>
      </c>
      <c r="D214" s="24" t="str">
        <f t="shared" si="3"/>
        <v>Jun-2016</v>
      </c>
      <c r="E214" s="24" t="s">
        <v>25</v>
      </c>
      <c r="F214" s="24" t="s">
        <v>35</v>
      </c>
      <c r="G214" s="23" t="s">
        <v>101</v>
      </c>
      <c r="H214" s="24" t="s">
        <v>102</v>
      </c>
      <c r="I214" s="24" t="s">
        <v>9</v>
      </c>
      <c r="J214" s="24" t="s">
        <v>24</v>
      </c>
      <c r="K214" s="24"/>
      <c r="L214" s="24" t="s">
        <v>98</v>
      </c>
    </row>
    <row r="215">
      <c r="A215" s="24">
        <f t="shared" si="1"/>
        <v>214</v>
      </c>
      <c r="B215" s="24" t="s">
        <v>173</v>
      </c>
      <c r="C215" s="338">
        <v>42543.0</v>
      </c>
      <c r="D215" s="24" t="str">
        <f t="shared" si="3"/>
        <v>Jun-2016</v>
      </c>
      <c r="E215" s="24" t="s">
        <v>32</v>
      </c>
      <c r="F215" s="24" t="s">
        <v>35</v>
      </c>
      <c r="G215" s="23" t="s">
        <v>101</v>
      </c>
      <c r="H215" s="24" t="s">
        <v>102</v>
      </c>
      <c r="I215" s="24" t="s">
        <v>9</v>
      </c>
      <c r="J215" s="24" t="s">
        <v>30</v>
      </c>
      <c r="K215" s="24"/>
      <c r="L215" s="24" t="s">
        <v>106</v>
      </c>
    </row>
    <row r="216">
      <c r="A216" s="24">
        <f t="shared" si="1"/>
        <v>215</v>
      </c>
      <c r="B216" s="24" t="s">
        <v>173</v>
      </c>
      <c r="C216" s="338">
        <v>42543.0</v>
      </c>
      <c r="D216" s="24" t="str">
        <f t="shared" si="3"/>
        <v>Jun-2016</v>
      </c>
      <c r="E216" s="24" t="s">
        <v>20</v>
      </c>
      <c r="F216" s="24" t="s">
        <v>35</v>
      </c>
      <c r="G216" s="23" t="s">
        <v>177</v>
      </c>
      <c r="H216" s="24" t="s">
        <v>71</v>
      </c>
      <c r="I216" s="24" t="s">
        <v>9</v>
      </c>
      <c r="J216" s="24" t="s">
        <v>24</v>
      </c>
      <c r="K216" s="24" t="s">
        <v>24</v>
      </c>
      <c r="L216" s="24" t="s">
        <v>37</v>
      </c>
    </row>
    <row r="217">
      <c r="A217" s="24">
        <f t="shared" si="1"/>
        <v>216</v>
      </c>
      <c r="B217" s="24" t="s">
        <v>173</v>
      </c>
      <c r="C217" s="338">
        <v>42543.0</v>
      </c>
      <c r="D217" s="24" t="str">
        <f t="shared" si="3"/>
        <v>Jun-2016</v>
      </c>
      <c r="E217" s="24" t="s">
        <v>25</v>
      </c>
      <c r="F217" s="24" t="s">
        <v>35</v>
      </c>
      <c r="G217" s="23" t="s">
        <v>177</v>
      </c>
      <c r="H217" s="24" t="s">
        <v>71</v>
      </c>
      <c r="I217" s="24" t="s">
        <v>9</v>
      </c>
      <c r="J217" s="24" t="s">
        <v>24</v>
      </c>
      <c r="K217" s="24"/>
      <c r="L217" s="24" t="s">
        <v>106</v>
      </c>
    </row>
    <row r="218">
      <c r="A218" s="24">
        <f t="shared" si="1"/>
        <v>217</v>
      </c>
      <c r="B218" s="24" t="s">
        <v>173</v>
      </c>
      <c r="C218" s="338">
        <v>42543.0</v>
      </c>
      <c r="D218" s="24" t="str">
        <f t="shared" si="3"/>
        <v>Jun-2016</v>
      </c>
      <c r="E218" s="24" t="s">
        <v>20</v>
      </c>
      <c r="F218" s="24" t="s">
        <v>129</v>
      </c>
      <c r="G218" s="23" t="s">
        <v>178</v>
      </c>
      <c r="H218" s="24" t="s">
        <v>27</v>
      </c>
      <c r="I218" s="24" t="s">
        <v>9</v>
      </c>
      <c r="J218" s="24" t="s">
        <v>30</v>
      </c>
      <c r="K218" s="24" t="s">
        <v>24</v>
      </c>
      <c r="L218" s="24" t="s">
        <v>98</v>
      </c>
    </row>
    <row r="219">
      <c r="A219" s="24">
        <f t="shared" si="1"/>
        <v>218</v>
      </c>
      <c r="B219" s="24" t="s">
        <v>173</v>
      </c>
      <c r="C219" s="338">
        <v>42543.0</v>
      </c>
      <c r="D219" s="24" t="str">
        <f t="shared" si="3"/>
        <v>Jun-2016</v>
      </c>
      <c r="E219" s="24" t="s">
        <v>25</v>
      </c>
      <c r="F219" s="24" t="s">
        <v>129</v>
      </c>
      <c r="G219" s="23" t="s">
        <v>178</v>
      </c>
      <c r="H219" s="24" t="s">
        <v>27</v>
      </c>
      <c r="I219" s="24" t="s">
        <v>9</v>
      </c>
      <c r="J219" s="24" t="s">
        <v>24</v>
      </c>
      <c r="K219" s="24"/>
      <c r="L219" s="24" t="s">
        <v>37</v>
      </c>
    </row>
    <row r="220">
      <c r="A220" s="24">
        <f t="shared" si="1"/>
        <v>219</v>
      </c>
      <c r="B220" s="24" t="s">
        <v>173</v>
      </c>
      <c r="C220" s="338">
        <v>42543.0</v>
      </c>
      <c r="D220" s="24" t="str">
        <f t="shared" si="3"/>
        <v>Jun-2016</v>
      </c>
      <c r="E220" s="24" t="s">
        <v>32</v>
      </c>
      <c r="F220" s="24" t="s">
        <v>129</v>
      </c>
      <c r="G220" s="23" t="s">
        <v>178</v>
      </c>
      <c r="H220" s="24" t="s">
        <v>27</v>
      </c>
      <c r="I220" s="24" t="s">
        <v>9</v>
      </c>
      <c r="J220" s="24" t="s">
        <v>24</v>
      </c>
      <c r="K220" s="24"/>
      <c r="L220" s="24" t="s">
        <v>106</v>
      </c>
    </row>
    <row r="221">
      <c r="A221" s="24">
        <f t="shared" si="1"/>
        <v>220</v>
      </c>
      <c r="B221" s="24" t="s">
        <v>179</v>
      </c>
      <c r="C221" s="338">
        <f t="shared" ref="C221:C227" si="4">$A$224</f>
        <v>223</v>
      </c>
      <c r="D221" s="24" t="str">
        <f t="shared" si="3"/>
        <v>Aug-1900</v>
      </c>
      <c r="E221" s="24" t="s">
        <v>20</v>
      </c>
      <c r="F221" s="24" t="s">
        <v>35</v>
      </c>
      <c r="G221" s="23" t="s">
        <v>180</v>
      </c>
      <c r="H221" s="24" t="s">
        <v>44</v>
      </c>
      <c r="I221" s="24" t="s">
        <v>9</v>
      </c>
      <c r="J221" s="24" t="s">
        <v>30</v>
      </c>
      <c r="K221" s="24" t="s">
        <v>30</v>
      </c>
      <c r="L221" s="24" t="s">
        <v>29</v>
      </c>
    </row>
    <row r="222">
      <c r="A222" s="24">
        <f t="shared" si="1"/>
        <v>221</v>
      </c>
      <c r="B222" s="24" t="s">
        <v>179</v>
      </c>
      <c r="C222" s="338">
        <f t="shared" si="4"/>
        <v>223</v>
      </c>
      <c r="D222" s="24" t="str">
        <f t="shared" si="3"/>
        <v>Aug-1900</v>
      </c>
      <c r="E222" s="24" t="s">
        <v>25</v>
      </c>
      <c r="F222" s="24" t="s">
        <v>35</v>
      </c>
      <c r="G222" s="23" t="s">
        <v>180</v>
      </c>
      <c r="H222" s="24" t="s">
        <v>44</v>
      </c>
      <c r="I222" s="24" t="s">
        <v>9</v>
      </c>
      <c r="J222" s="24" t="s">
        <v>30</v>
      </c>
      <c r="K222" s="24"/>
      <c r="L222" s="24" t="s">
        <v>98</v>
      </c>
    </row>
    <row r="223">
      <c r="A223" s="24">
        <f t="shared" si="1"/>
        <v>222</v>
      </c>
      <c r="B223" s="24" t="s">
        <v>179</v>
      </c>
      <c r="C223" s="338">
        <f t="shared" si="4"/>
        <v>223</v>
      </c>
      <c r="D223" s="24" t="str">
        <f t="shared" si="3"/>
        <v>Aug-1900</v>
      </c>
      <c r="E223" s="24" t="s">
        <v>20</v>
      </c>
      <c r="F223" s="24" t="s">
        <v>35</v>
      </c>
      <c r="G223" s="23" t="s">
        <v>181</v>
      </c>
      <c r="H223" s="24" t="s">
        <v>27</v>
      </c>
      <c r="I223" s="24" t="s">
        <v>9</v>
      </c>
      <c r="J223" s="24" t="s">
        <v>24</v>
      </c>
      <c r="K223" s="24" t="s">
        <v>24</v>
      </c>
      <c r="L223" s="24" t="s">
        <v>29</v>
      </c>
    </row>
    <row r="224">
      <c r="A224" s="24">
        <f t="shared" si="1"/>
        <v>223</v>
      </c>
      <c r="B224" s="24" t="s">
        <v>179</v>
      </c>
      <c r="C224" s="338">
        <f t="shared" si="4"/>
        <v>223</v>
      </c>
      <c r="D224" s="24" t="str">
        <f t="shared" si="3"/>
        <v>Aug-1900</v>
      </c>
      <c r="E224" s="24" t="s">
        <v>25</v>
      </c>
      <c r="F224" s="24" t="s">
        <v>35</v>
      </c>
      <c r="G224" s="23" t="s">
        <v>181</v>
      </c>
      <c r="H224" s="24" t="s">
        <v>44</v>
      </c>
      <c r="I224" s="24" t="s">
        <v>9</v>
      </c>
      <c r="J224" s="24" t="s">
        <v>24</v>
      </c>
      <c r="K224" s="24"/>
      <c r="L224" s="24" t="s">
        <v>98</v>
      </c>
    </row>
    <row r="225">
      <c r="A225" s="24">
        <f t="shared" si="1"/>
        <v>224</v>
      </c>
      <c r="B225" s="24" t="s">
        <v>179</v>
      </c>
      <c r="C225" s="338">
        <f t="shared" si="4"/>
        <v>223</v>
      </c>
      <c r="D225" s="24" t="str">
        <f t="shared" si="3"/>
        <v>Aug-1900</v>
      </c>
      <c r="E225" s="24" t="s">
        <v>20</v>
      </c>
      <c r="F225" s="24" t="s">
        <v>35</v>
      </c>
      <c r="G225" s="23" t="s">
        <v>103</v>
      </c>
      <c r="H225" s="24" t="s">
        <v>182</v>
      </c>
      <c r="I225" s="24" t="s">
        <v>9</v>
      </c>
      <c r="J225" s="24" t="s">
        <v>30</v>
      </c>
      <c r="K225" s="24" t="s">
        <v>24</v>
      </c>
      <c r="L225" s="24" t="s">
        <v>98</v>
      </c>
    </row>
    <row r="226">
      <c r="A226" s="24">
        <f t="shared" si="1"/>
        <v>225</v>
      </c>
      <c r="B226" s="24" t="s">
        <v>179</v>
      </c>
      <c r="C226" s="338">
        <f t="shared" si="4"/>
        <v>223</v>
      </c>
      <c r="D226" s="24" t="str">
        <f t="shared" si="3"/>
        <v>Aug-1900</v>
      </c>
      <c r="E226" s="24" t="s">
        <v>25</v>
      </c>
      <c r="F226" s="24" t="s">
        <v>35</v>
      </c>
      <c r="G226" s="23" t="s">
        <v>103</v>
      </c>
      <c r="H226" s="24" t="s">
        <v>71</v>
      </c>
      <c r="I226" s="24" t="s">
        <v>9</v>
      </c>
      <c r="J226" s="24" t="s">
        <v>24</v>
      </c>
      <c r="K226" s="24"/>
      <c r="L226" s="24" t="s">
        <v>37</v>
      </c>
    </row>
    <row r="227">
      <c r="A227" s="24">
        <f t="shared" si="1"/>
        <v>226</v>
      </c>
      <c r="B227" s="24" t="s">
        <v>179</v>
      </c>
      <c r="C227" s="338">
        <f t="shared" si="4"/>
        <v>223</v>
      </c>
      <c r="D227" s="24" t="str">
        <f t="shared" si="3"/>
        <v>Aug-1900</v>
      </c>
      <c r="E227" s="24" t="s">
        <v>32</v>
      </c>
      <c r="F227" s="24" t="s">
        <v>35</v>
      </c>
      <c r="G227" s="23" t="s">
        <v>103</v>
      </c>
      <c r="H227" s="24" t="s">
        <v>71</v>
      </c>
      <c r="I227" s="24" t="s">
        <v>9</v>
      </c>
      <c r="J227" s="24" t="s">
        <v>24</v>
      </c>
      <c r="K227" s="24"/>
      <c r="L227" s="24" t="s">
        <v>69</v>
      </c>
    </row>
    <row r="228">
      <c r="A228" s="24">
        <f t="shared" si="1"/>
        <v>227</v>
      </c>
      <c r="B228" s="24" t="s">
        <v>183</v>
      </c>
      <c r="C228" s="338">
        <v>42550.0</v>
      </c>
      <c r="D228" s="24" t="str">
        <f t="shared" si="3"/>
        <v>Jun-2016</v>
      </c>
      <c r="E228" s="24" t="s">
        <v>20</v>
      </c>
      <c r="F228" s="24" t="s">
        <v>35</v>
      </c>
      <c r="G228" s="23" t="s">
        <v>184</v>
      </c>
      <c r="H228" s="24" t="s">
        <v>9</v>
      </c>
      <c r="I228" s="24" t="s">
        <v>9</v>
      </c>
      <c r="J228" s="24" t="s">
        <v>24</v>
      </c>
      <c r="K228" s="24" t="s">
        <v>24</v>
      </c>
      <c r="L228" s="24" t="s">
        <v>98</v>
      </c>
    </row>
    <row r="229">
      <c r="A229" s="24">
        <f t="shared" si="1"/>
        <v>228</v>
      </c>
      <c r="B229" s="24" t="s">
        <v>183</v>
      </c>
      <c r="C229" s="338">
        <v>42550.0</v>
      </c>
      <c r="D229" s="24" t="str">
        <f t="shared" si="3"/>
        <v>Jun-2016</v>
      </c>
      <c r="E229" s="24" t="s">
        <v>25</v>
      </c>
      <c r="F229" s="24" t="s">
        <v>35</v>
      </c>
      <c r="G229" s="23" t="s">
        <v>184</v>
      </c>
      <c r="H229" s="24" t="s">
        <v>44</v>
      </c>
      <c r="I229" s="24" t="s">
        <v>9</v>
      </c>
      <c r="J229" s="24" t="s">
        <v>24</v>
      </c>
      <c r="K229" s="24"/>
      <c r="L229" s="24" t="s">
        <v>29</v>
      </c>
    </row>
    <row r="230">
      <c r="A230" s="24">
        <f t="shared" si="1"/>
        <v>229</v>
      </c>
      <c r="B230" s="24" t="s">
        <v>183</v>
      </c>
      <c r="C230" s="338">
        <v>42550.0</v>
      </c>
      <c r="D230" s="24" t="str">
        <f t="shared" si="3"/>
        <v>Jun-2016</v>
      </c>
      <c r="E230" s="24" t="s">
        <v>20</v>
      </c>
      <c r="F230" s="24" t="s">
        <v>35</v>
      </c>
      <c r="G230" s="23" t="s">
        <v>185</v>
      </c>
      <c r="H230" s="24" t="s">
        <v>138</v>
      </c>
      <c r="I230" s="24" t="s">
        <v>9</v>
      </c>
      <c r="J230" s="24" t="s">
        <v>24</v>
      </c>
      <c r="K230" s="24" t="s">
        <v>24</v>
      </c>
      <c r="L230" s="24" t="s">
        <v>29</v>
      </c>
    </row>
    <row r="231">
      <c r="A231" s="24">
        <f t="shared" si="1"/>
        <v>230</v>
      </c>
      <c r="B231" s="24" t="s">
        <v>183</v>
      </c>
      <c r="C231" s="338">
        <v>42550.0</v>
      </c>
      <c r="D231" s="24" t="str">
        <f t="shared" si="3"/>
        <v>Jun-2016</v>
      </c>
      <c r="E231" s="24" t="s">
        <v>25</v>
      </c>
      <c r="F231" s="24" t="s">
        <v>35</v>
      </c>
      <c r="G231" s="23" t="s">
        <v>185</v>
      </c>
      <c r="H231" s="24" t="s">
        <v>138</v>
      </c>
      <c r="I231" s="24" t="s">
        <v>9</v>
      </c>
      <c r="J231" s="24" t="s">
        <v>24</v>
      </c>
      <c r="K231" s="24"/>
      <c r="L231" s="24" t="s">
        <v>106</v>
      </c>
    </row>
    <row r="232">
      <c r="A232" s="24">
        <f t="shared" si="1"/>
        <v>231</v>
      </c>
      <c r="B232" s="24" t="s">
        <v>183</v>
      </c>
      <c r="C232" s="338">
        <v>42550.0</v>
      </c>
      <c r="D232" s="24" t="str">
        <f t="shared" si="3"/>
        <v>Jun-2016</v>
      </c>
      <c r="E232" s="24" t="s">
        <v>20</v>
      </c>
      <c r="F232" s="24" t="s">
        <v>129</v>
      </c>
      <c r="G232" s="23" t="s">
        <v>186</v>
      </c>
      <c r="H232" s="24" t="s">
        <v>102</v>
      </c>
      <c r="I232" s="24" t="s">
        <v>9</v>
      </c>
      <c r="J232" s="24" t="s">
        <v>30</v>
      </c>
      <c r="K232" s="24" t="s">
        <v>30</v>
      </c>
      <c r="L232" s="24" t="s">
        <v>69</v>
      </c>
    </row>
    <row r="233">
      <c r="A233" s="24">
        <f t="shared" si="1"/>
        <v>232</v>
      </c>
      <c r="B233" s="24" t="s">
        <v>183</v>
      </c>
      <c r="C233" s="338">
        <v>42550.0</v>
      </c>
      <c r="D233" s="24" t="str">
        <f t="shared" si="3"/>
        <v>Jun-2016</v>
      </c>
      <c r="E233" s="24" t="s">
        <v>25</v>
      </c>
      <c r="F233" s="24" t="s">
        <v>129</v>
      </c>
      <c r="G233" s="23" t="s">
        <v>186</v>
      </c>
      <c r="H233" s="24" t="s">
        <v>102</v>
      </c>
      <c r="I233" s="24" t="s">
        <v>9</v>
      </c>
      <c r="J233" s="24" t="s">
        <v>30</v>
      </c>
      <c r="K233" s="24"/>
      <c r="L233" s="24" t="s">
        <v>98</v>
      </c>
    </row>
    <row r="234">
      <c r="A234" s="24">
        <f t="shared" si="1"/>
        <v>233</v>
      </c>
      <c r="B234" s="24" t="s">
        <v>183</v>
      </c>
      <c r="C234" s="338">
        <v>42550.0</v>
      </c>
      <c r="D234" s="24" t="str">
        <f t="shared" si="3"/>
        <v>Jun-2016</v>
      </c>
      <c r="E234" s="24" t="s">
        <v>20</v>
      </c>
      <c r="F234" s="24" t="s">
        <v>129</v>
      </c>
      <c r="G234" s="23" t="s">
        <v>187</v>
      </c>
      <c r="H234" s="24" t="s">
        <v>71</v>
      </c>
      <c r="I234" s="24" t="s">
        <v>9</v>
      </c>
      <c r="J234" s="24" t="s">
        <v>24</v>
      </c>
      <c r="K234" s="24" t="s">
        <v>24</v>
      </c>
      <c r="L234" s="24" t="s">
        <v>37</v>
      </c>
    </row>
    <row r="235">
      <c r="A235" s="24">
        <f t="shared" si="1"/>
        <v>234</v>
      </c>
      <c r="B235" s="24" t="s">
        <v>183</v>
      </c>
      <c r="C235" s="338">
        <v>42550.0</v>
      </c>
      <c r="D235" s="24" t="str">
        <f t="shared" si="3"/>
        <v>Jun-2016</v>
      </c>
      <c r="E235" s="24" t="s">
        <v>25</v>
      </c>
      <c r="F235" s="24" t="s">
        <v>129</v>
      </c>
      <c r="G235" s="23" t="s">
        <v>187</v>
      </c>
      <c r="H235" s="24" t="s">
        <v>71</v>
      </c>
      <c r="I235" s="24" t="s">
        <v>27</v>
      </c>
      <c r="J235" s="24" t="s">
        <v>24</v>
      </c>
      <c r="K235" s="24"/>
      <c r="L235" s="24" t="s">
        <v>69</v>
      </c>
    </row>
    <row r="236">
      <c r="A236" s="24">
        <f t="shared" si="1"/>
        <v>235</v>
      </c>
      <c r="B236" s="24" t="s">
        <v>188</v>
      </c>
      <c r="C236" s="338">
        <v>42551.0</v>
      </c>
      <c r="D236" s="24" t="str">
        <f t="shared" si="3"/>
        <v>Jun-2016</v>
      </c>
      <c r="E236" s="24" t="s">
        <v>20</v>
      </c>
      <c r="F236" s="24" t="s">
        <v>35</v>
      </c>
      <c r="G236" s="23" t="s">
        <v>189</v>
      </c>
      <c r="H236" s="24" t="s">
        <v>23</v>
      </c>
      <c r="I236" s="24" t="s">
        <v>9</v>
      </c>
      <c r="J236" s="24" t="s">
        <v>30</v>
      </c>
      <c r="K236" s="24" t="s">
        <v>30</v>
      </c>
      <c r="L236" s="24" t="s">
        <v>98</v>
      </c>
    </row>
    <row r="237">
      <c r="A237" s="24">
        <f t="shared" si="1"/>
        <v>236</v>
      </c>
      <c r="B237" s="24" t="s">
        <v>188</v>
      </c>
      <c r="C237" s="338">
        <v>42551.0</v>
      </c>
      <c r="D237" s="24" t="str">
        <f t="shared" si="3"/>
        <v>Jun-2016</v>
      </c>
      <c r="E237" s="24" t="s">
        <v>25</v>
      </c>
      <c r="F237" s="24" t="s">
        <v>35</v>
      </c>
      <c r="G237" s="23" t="s">
        <v>189</v>
      </c>
      <c r="H237" s="24" t="s">
        <v>23</v>
      </c>
      <c r="I237" s="24" t="s">
        <v>9</v>
      </c>
      <c r="J237" s="24" t="s">
        <v>30</v>
      </c>
      <c r="K237" s="24"/>
      <c r="L237" s="24" t="s">
        <v>37</v>
      </c>
    </row>
    <row r="238">
      <c r="A238" s="24">
        <f t="shared" si="1"/>
        <v>237</v>
      </c>
      <c r="B238" s="24" t="s">
        <v>188</v>
      </c>
      <c r="C238" s="338">
        <v>42551.0</v>
      </c>
      <c r="D238" s="24" t="str">
        <f t="shared" si="3"/>
        <v>Jun-2016</v>
      </c>
      <c r="E238" s="24" t="s">
        <v>20</v>
      </c>
      <c r="F238" s="24" t="s">
        <v>35</v>
      </c>
      <c r="G238" s="23" t="s">
        <v>190</v>
      </c>
      <c r="H238" s="24" t="s">
        <v>9</v>
      </c>
      <c r="I238" s="24" t="s">
        <v>9</v>
      </c>
      <c r="J238" s="24" t="s">
        <v>24</v>
      </c>
      <c r="K238" s="24" t="s">
        <v>24</v>
      </c>
      <c r="L238" s="24" t="s">
        <v>98</v>
      </c>
    </row>
    <row r="239">
      <c r="A239" s="24">
        <f t="shared" si="1"/>
        <v>238</v>
      </c>
      <c r="B239" s="24" t="s">
        <v>188</v>
      </c>
      <c r="C239" s="338">
        <v>42551.0</v>
      </c>
      <c r="D239" s="24" t="str">
        <f t="shared" si="3"/>
        <v>Jun-2016</v>
      </c>
      <c r="E239" s="24" t="s">
        <v>25</v>
      </c>
      <c r="F239" s="24" t="s">
        <v>35</v>
      </c>
      <c r="G239" s="23" t="s">
        <v>190</v>
      </c>
      <c r="H239" s="24" t="s">
        <v>9</v>
      </c>
      <c r="I239" s="24" t="s">
        <v>9</v>
      </c>
      <c r="J239" s="24" t="s">
        <v>24</v>
      </c>
      <c r="K239" s="24"/>
      <c r="L239" s="24" t="s">
        <v>106</v>
      </c>
    </row>
    <row r="240">
      <c r="A240" s="24">
        <f t="shared" si="1"/>
        <v>239</v>
      </c>
      <c r="B240" s="24" t="s">
        <v>188</v>
      </c>
      <c r="C240" s="338">
        <v>42551.0</v>
      </c>
      <c r="D240" s="24" t="str">
        <f t="shared" si="3"/>
        <v>Jun-2016</v>
      </c>
      <c r="E240" s="24" t="s">
        <v>20</v>
      </c>
      <c r="F240" s="24" t="s">
        <v>35</v>
      </c>
      <c r="G240" s="23" t="s">
        <v>191</v>
      </c>
      <c r="H240" s="24" t="s">
        <v>86</v>
      </c>
      <c r="I240" s="24" t="s">
        <v>9</v>
      </c>
      <c r="J240" s="24" t="s">
        <v>30</v>
      </c>
      <c r="K240" s="24" t="s">
        <v>30</v>
      </c>
      <c r="L240" s="24" t="s">
        <v>29</v>
      </c>
    </row>
    <row r="241">
      <c r="A241" s="24">
        <f t="shared" si="1"/>
        <v>240</v>
      </c>
      <c r="B241" s="24" t="s">
        <v>188</v>
      </c>
      <c r="C241" s="338">
        <v>42551.0</v>
      </c>
      <c r="D241" s="24" t="str">
        <f t="shared" si="3"/>
        <v>Jun-2016</v>
      </c>
      <c r="E241" s="24" t="s">
        <v>25</v>
      </c>
      <c r="F241" s="24" t="s">
        <v>35</v>
      </c>
      <c r="G241" s="23" t="s">
        <v>191</v>
      </c>
      <c r="H241" s="24" t="s">
        <v>86</v>
      </c>
      <c r="I241" s="24" t="s">
        <v>9</v>
      </c>
      <c r="J241" s="24" t="s">
        <v>30</v>
      </c>
      <c r="K241" s="24"/>
      <c r="L241" s="24" t="s">
        <v>37</v>
      </c>
    </row>
    <row r="242">
      <c r="A242" s="24">
        <f t="shared" si="1"/>
        <v>241</v>
      </c>
      <c r="B242" s="24" t="s">
        <v>188</v>
      </c>
      <c r="C242" s="338">
        <v>42551.0</v>
      </c>
      <c r="D242" s="24" t="str">
        <f t="shared" si="3"/>
        <v>Jun-2016</v>
      </c>
      <c r="E242" s="24" t="s">
        <v>20</v>
      </c>
      <c r="F242" s="24" t="s">
        <v>35</v>
      </c>
      <c r="G242" s="23" t="s">
        <v>114</v>
      </c>
      <c r="H242" s="24" t="s">
        <v>9</v>
      </c>
      <c r="I242" s="24" t="s">
        <v>9</v>
      </c>
      <c r="J242" s="24" t="s">
        <v>24</v>
      </c>
      <c r="K242" s="24" t="s">
        <v>24</v>
      </c>
      <c r="L242" s="24" t="s">
        <v>98</v>
      </c>
    </row>
    <row r="243">
      <c r="A243" s="24">
        <f t="shared" si="1"/>
        <v>242</v>
      </c>
      <c r="B243" s="24" t="s">
        <v>188</v>
      </c>
      <c r="C243" s="338">
        <v>42551.0</v>
      </c>
      <c r="D243" s="24" t="str">
        <f t="shared" si="3"/>
        <v>Jun-2016</v>
      </c>
      <c r="E243" s="24" t="s">
        <v>25</v>
      </c>
      <c r="F243" s="24" t="s">
        <v>35</v>
      </c>
      <c r="G243" s="23" t="s">
        <v>114</v>
      </c>
      <c r="H243" s="24" t="s">
        <v>9</v>
      </c>
      <c r="I243" s="24" t="s">
        <v>9</v>
      </c>
      <c r="J243" s="24" t="s">
        <v>24</v>
      </c>
      <c r="K243" s="24"/>
      <c r="L243" s="24" t="s">
        <v>37</v>
      </c>
    </row>
    <row r="244">
      <c r="A244" s="24">
        <f t="shared" si="1"/>
        <v>243</v>
      </c>
      <c r="B244" s="24" t="s">
        <v>192</v>
      </c>
      <c r="C244" s="338">
        <v>42552.0</v>
      </c>
      <c r="D244" s="24" t="str">
        <f t="shared" si="3"/>
        <v>Jul-2016</v>
      </c>
      <c r="E244" s="24" t="s">
        <v>20</v>
      </c>
      <c r="F244" s="24" t="s">
        <v>35</v>
      </c>
      <c r="G244" s="23" t="s">
        <v>193</v>
      </c>
      <c r="H244" s="24" t="s">
        <v>44</v>
      </c>
      <c r="I244" s="24" t="s">
        <v>9</v>
      </c>
      <c r="J244" s="24" t="s">
        <v>30</v>
      </c>
      <c r="K244" s="24" t="s">
        <v>30</v>
      </c>
      <c r="L244" s="24" t="s">
        <v>98</v>
      </c>
    </row>
    <row r="245">
      <c r="A245" s="24">
        <f t="shared" si="1"/>
        <v>244</v>
      </c>
      <c r="B245" s="24" t="s">
        <v>192</v>
      </c>
      <c r="C245" s="338">
        <v>42552.0</v>
      </c>
      <c r="D245" s="24" t="str">
        <f t="shared" si="3"/>
        <v>Jul-2016</v>
      </c>
      <c r="E245" s="24" t="s">
        <v>25</v>
      </c>
      <c r="F245" s="24" t="s">
        <v>35</v>
      </c>
      <c r="G245" s="23" t="s">
        <v>193</v>
      </c>
      <c r="H245" s="24" t="s">
        <v>23</v>
      </c>
      <c r="I245" s="24" t="s">
        <v>9</v>
      </c>
      <c r="J245" s="24" t="s">
        <v>24</v>
      </c>
      <c r="K245" s="24"/>
      <c r="L245" s="24" t="s">
        <v>99</v>
      </c>
    </row>
    <row r="246">
      <c r="A246" s="24">
        <f t="shared" si="1"/>
        <v>245</v>
      </c>
      <c r="B246" s="24" t="s">
        <v>192</v>
      </c>
      <c r="C246" s="338">
        <v>42552.0</v>
      </c>
      <c r="D246" s="24" t="str">
        <f t="shared" si="3"/>
        <v>Jul-2016</v>
      </c>
      <c r="E246" s="24" t="s">
        <v>32</v>
      </c>
      <c r="F246" s="24" t="s">
        <v>35</v>
      </c>
      <c r="G246" s="23" t="s">
        <v>193</v>
      </c>
      <c r="H246" s="24" t="s">
        <v>23</v>
      </c>
      <c r="I246" s="24" t="s">
        <v>9</v>
      </c>
      <c r="J246" s="24" t="s">
        <v>30</v>
      </c>
      <c r="K246" s="24"/>
      <c r="L246" s="24" t="s">
        <v>106</v>
      </c>
    </row>
    <row r="247">
      <c r="A247" s="24">
        <f t="shared" si="1"/>
        <v>246</v>
      </c>
      <c r="B247" s="24" t="s">
        <v>192</v>
      </c>
      <c r="C247" s="338">
        <v>42552.0</v>
      </c>
      <c r="D247" s="24" t="str">
        <f t="shared" si="3"/>
        <v>Jul-2016</v>
      </c>
      <c r="E247" s="24" t="s">
        <v>20</v>
      </c>
      <c r="F247" s="24" t="s">
        <v>35</v>
      </c>
      <c r="G247" s="23" t="s">
        <v>194</v>
      </c>
      <c r="H247" s="24" t="s">
        <v>23</v>
      </c>
      <c r="I247" s="24" t="s">
        <v>9</v>
      </c>
      <c r="J247" s="24" t="s">
        <v>24</v>
      </c>
      <c r="K247" s="24" t="s">
        <v>24</v>
      </c>
      <c r="L247" s="24" t="s">
        <v>98</v>
      </c>
    </row>
    <row r="248">
      <c r="A248" s="24">
        <f t="shared" si="1"/>
        <v>247</v>
      </c>
      <c r="B248" s="24" t="s">
        <v>192</v>
      </c>
      <c r="C248" s="338">
        <v>42552.0</v>
      </c>
      <c r="D248" s="24" t="str">
        <f t="shared" si="3"/>
        <v>Jul-2016</v>
      </c>
      <c r="E248" s="24" t="s">
        <v>25</v>
      </c>
      <c r="F248" s="24" t="s">
        <v>35</v>
      </c>
      <c r="G248" s="23" t="s">
        <v>194</v>
      </c>
      <c r="H248" s="24" t="s">
        <v>23</v>
      </c>
      <c r="I248" s="24" t="s">
        <v>9</v>
      </c>
      <c r="J248" s="24" t="s">
        <v>24</v>
      </c>
      <c r="K248" s="24"/>
      <c r="L248" s="24" t="s">
        <v>29</v>
      </c>
    </row>
    <row r="249">
      <c r="A249" s="24">
        <f t="shared" si="1"/>
        <v>248</v>
      </c>
      <c r="B249" s="24" t="s">
        <v>192</v>
      </c>
      <c r="C249" s="338">
        <v>42552.0</v>
      </c>
      <c r="D249" s="24" t="str">
        <f t="shared" si="3"/>
        <v>Jul-2016</v>
      </c>
      <c r="E249" s="24" t="s">
        <v>20</v>
      </c>
      <c r="F249" s="24" t="s">
        <v>35</v>
      </c>
      <c r="G249" s="23" t="s">
        <v>195</v>
      </c>
      <c r="H249" s="24" t="s">
        <v>23</v>
      </c>
      <c r="I249" s="24" t="s">
        <v>9</v>
      </c>
      <c r="J249" s="24" t="s">
        <v>30</v>
      </c>
      <c r="K249" s="24" t="s">
        <v>30</v>
      </c>
      <c r="L249" s="24" t="s">
        <v>37</v>
      </c>
    </row>
    <row r="250">
      <c r="A250" s="24">
        <f t="shared" si="1"/>
        <v>249</v>
      </c>
      <c r="B250" s="24" t="s">
        <v>192</v>
      </c>
      <c r="C250" s="338">
        <v>42552.0</v>
      </c>
      <c r="D250" s="24" t="str">
        <f t="shared" si="3"/>
        <v>Jul-2016</v>
      </c>
      <c r="E250" s="24" t="s">
        <v>25</v>
      </c>
      <c r="F250" s="24" t="s">
        <v>35</v>
      </c>
      <c r="G250" s="23" t="s">
        <v>195</v>
      </c>
      <c r="H250" s="24" t="s">
        <v>23</v>
      </c>
      <c r="I250" s="24" t="s">
        <v>9</v>
      </c>
      <c r="J250" s="24" t="s">
        <v>30</v>
      </c>
      <c r="K250" s="24"/>
      <c r="L250" s="24" t="s">
        <v>37</v>
      </c>
    </row>
    <row r="251">
      <c r="A251" s="24">
        <f t="shared" si="1"/>
        <v>250</v>
      </c>
      <c r="B251" s="24" t="s">
        <v>192</v>
      </c>
      <c r="C251" s="338">
        <v>42552.0</v>
      </c>
      <c r="D251" s="24" t="str">
        <f t="shared" si="3"/>
        <v>Jul-2016</v>
      </c>
      <c r="E251" s="24" t="s">
        <v>20</v>
      </c>
      <c r="F251" s="24" t="s">
        <v>35</v>
      </c>
      <c r="G251" s="23" t="s">
        <v>172</v>
      </c>
      <c r="H251" s="24" t="s">
        <v>48</v>
      </c>
      <c r="I251" s="24" t="s">
        <v>9</v>
      </c>
      <c r="J251" s="24" t="s">
        <v>24</v>
      </c>
      <c r="K251" s="24" t="s">
        <v>24</v>
      </c>
      <c r="L251" s="24" t="s">
        <v>98</v>
      </c>
    </row>
    <row r="252">
      <c r="A252" s="24">
        <f t="shared" si="1"/>
        <v>251</v>
      </c>
      <c r="B252" s="24" t="s">
        <v>192</v>
      </c>
      <c r="C252" s="338">
        <v>42552.0</v>
      </c>
      <c r="D252" s="24" t="str">
        <f t="shared" si="3"/>
        <v>Jul-2016</v>
      </c>
      <c r="E252" s="24" t="s">
        <v>25</v>
      </c>
      <c r="F252" s="24" t="s">
        <v>35</v>
      </c>
      <c r="G252" s="23" t="s">
        <v>172</v>
      </c>
      <c r="H252" s="24" t="s">
        <v>48</v>
      </c>
      <c r="I252" s="24" t="s">
        <v>9</v>
      </c>
      <c r="J252" s="24" t="s">
        <v>24</v>
      </c>
      <c r="K252" s="24"/>
      <c r="L252" s="24" t="s">
        <v>106</v>
      </c>
    </row>
    <row r="253">
      <c r="A253" s="24">
        <f t="shared" si="1"/>
        <v>252</v>
      </c>
      <c r="B253" s="24" t="s">
        <v>196</v>
      </c>
      <c r="C253" s="339">
        <v>42553.0</v>
      </c>
      <c r="D253" s="24" t="str">
        <f t="shared" si="3"/>
        <v>Jul-2016</v>
      </c>
      <c r="E253" s="24" t="s">
        <v>20</v>
      </c>
      <c r="F253" s="24" t="s">
        <v>35</v>
      </c>
      <c r="G253" s="23" t="s">
        <v>197</v>
      </c>
      <c r="H253" s="24" t="s">
        <v>97</v>
      </c>
      <c r="I253" s="24" t="s">
        <v>9</v>
      </c>
      <c r="J253" s="24" t="s">
        <v>30</v>
      </c>
      <c r="K253" s="24" t="s">
        <v>30</v>
      </c>
      <c r="L253" s="24" t="s">
        <v>98</v>
      </c>
    </row>
    <row r="254">
      <c r="A254" s="24">
        <f t="shared" si="1"/>
        <v>253</v>
      </c>
      <c r="B254" s="24" t="s">
        <v>196</v>
      </c>
      <c r="C254" s="339">
        <v>42553.0</v>
      </c>
      <c r="D254" s="24" t="str">
        <f t="shared" si="3"/>
        <v>Jul-2016</v>
      </c>
      <c r="E254" s="24" t="s">
        <v>25</v>
      </c>
      <c r="F254" s="24" t="s">
        <v>35</v>
      </c>
      <c r="G254" s="23" t="s">
        <v>197</v>
      </c>
      <c r="H254" s="24" t="s">
        <v>97</v>
      </c>
      <c r="I254" s="24" t="s">
        <v>9</v>
      </c>
      <c r="J254" s="24" t="s">
        <v>24</v>
      </c>
      <c r="K254" s="24"/>
      <c r="L254" s="24" t="s">
        <v>37</v>
      </c>
    </row>
    <row r="255">
      <c r="A255" s="24">
        <f t="shared" si="1"/>
        <v>254</v>
      </c>
      <c r="B255" s="24" t="s">
        <v>196</v>
      </c>
      <c r="C255" s="339">
        <v>42553.0</v>
      </c>
      <c r="D255" s="24" t="str">
        <f t="shared" si="3"/>
        <v>Jul-2016</v>
      </c>
      <c r="E255" s="24" t="s">
        <v>32</v>
      </c>
      <c r="F255" s="24" t="s">
        <v>35</v>
      </c>
      <c r="G255" s="23" t="s">
        <v>197</v>
      </c>
      <c r="H255" s="24" t="s">
        <v>97</v>
      </c>
      <c r="I255" s="24" t="s">
        <v>9</v>
      </c>
      <c r="J255" s="24" t="s">
        <v>30</v>
      </c>
      <c r="K255" s="24"/>
      <c r="L255" s="24" t="s">
        <v>106</v>
      </c>
    </row>
    <row r="256">
      <c r="A256" s="24">
        <f t="shared" si="1"/>
        <v>255</v>
      </c>
      <c r="B256" s="24" t="s">
        <v>196</v>
      </c>
      <c r="C256" s="339">
        <v>42553.0</v>
      </c>
      <c r="D256" s="24" t="str">
        <f t="shared" si="3"/>
        <v>Jul-2016</v>
      </c>
      <c r="E256" s="24" t="s">
        <v>20</v>
      </c>
      <c r="F256" s="24" t="s">
        <v>35</v>
      </c>
      <c r="G256" s="23" t="s">
        <v>81</v>
      </c>
      <c r="H256" s="24" t="s">
        <v>9</v>
      </c>
      <c r="I256" s="24" t="s">
        <v>9</v>
      </c>
      <c r="J256" s="24" t="s">
        <v>24</v>
      </c>
      <c r="K256" s="24" t="s">
        <v>24</v>
      </c>
      <c r="L256" s="24" t="s">
        <v>98</v>
      </c>
    </row>
    <row r="257">
      <c r="A257" s="24">
        <f t="shared" si="1"/>
        <v>256</v>
      </c>
      <c r="B257" s="24" t="s">
        <v>196</v>
      </c>
      <c r="C257" s="339">
        <v>42553.0</v>
      </c>
      <c r="D257" s="24" t="str">
        <f t="shared" si="3"/>
        <v>Jul-2016</v>
      </c>
      <c r="E257" s="24" t="s">
        <v>25</v>
      </c>
      <c r="F257" s="24" t="s">
        <v>35</v>
      </c>
      <c r="G257" s="23" t="s">
        <v>81</v>
      </c>
      <c r="H257" s="24" t="s">
        <v>9</v>
      </c>
      <c r="I257" s="24" t="s">
        <v>9</v>
      </c>
      <c r="J257" s="24" t="s">
        <v>24</v>
      </c>
      <c r="K257" s="24"/>
      <c r="L257" s="24" t="s">
        <v>106</v>
      </c>
    </row>
    <row r="258">
      <c r="A258" s="24">
        <f t="shared" si="1"/>
        <v>257</v>
      </c>
      <c r="B258" s="24" t="s">
        <v>196</v>
      </c>
      <c r="C258" s="339">
        <v>42553.0</v>
      </c>
      <c r="D258" s="24" t="str">
        <f t="shared" si="3"/>
        <v>Jul-2016</v>
      </c>
      <c r="E258" s="24" t="s">
        <v>20</v>
      </c>
      <c r="F258" s="24" t="s">
        <v>35</v>
      </c>
      <c r="G258" s="23" t="s">
        <v>164</v>
      </c>
      <c r="H258" s="24" t="s">
        <v>9</v>
      </c>
      <c r="I258" s="24" t="s">
        <v>9</v>
      </c>
      <c r="J258" s="24" t="s">
        <v>30</v>
      </c>
      <c r="K258" s="24" t="s">
        <v>30</v>
      </c>
      <c r="L258" s="24" t="s">
        <v>29</v>
      </c>
    </row>
    <row r="259">
      <c r="A259" s="24">
        <f t="shared" si="1"/>
        <v>258</v>
      </c>
      <c r="B259" s="24" t="s">
        <v>196</v>
      </c>
      <c r="C259" s="339">
        <v>42553.0</v>
      </c>
      <c r="D259" s="24" t="str">
        <f t="shared" si="3"/>
        <v>Jul-2016</v>
      </c>
      <c r="E259" s="24" t="s">
        <v>25</v>
      </c>
      <c r="F259" s="24" t="s">
        <v>35</v>
      </c>
      <c r="G259" s="23" t="s">
        <v>164</v>
      </c>
      <c r="H259" s="24" t="s">
        <v>9</v>
      </c>
      <c r="I259" s="24" t="s">
        <v>9</v>
      </c>
      <c r="J259" s="24" t="s">
        <v>30</v>
      </c>
      <c r="K259" s="24"/>
      <c r="L259" s="24" t="s">
        <v>106</v>
      </c>
    </row>
    <row r="260">
      <c r="A260" s="24">
        <f t="shared" si="1"/>
        <v>259</v>
      </c>
      <c r="B260" s="24" t="s">
        <v>196</v>
      </c>
      <c r="C260" s="339">
        <v>42553.0</v>
      </c>
      <c r="D260" s="24" t="str">
        <f t="shared" si="3"/>
        <v>Jul-2016</v>
      </c>
      <c r="E260" s="24" t="s">
        <v>20</v>
      </c>
      <c r="F260" s="24" t="s">
        <v>35</v>
      </c>
      <c r="G260" s="23" t="s">
        <v>101</v>
      </c>
      <c r="H260" s="24" t="s">
        <v>102</v>
      </c>
      <c r="I260" s="24" t="s">
        <v>9</v>
      </c>
      <c r="J260" s="24" t="s">
        <v>24</v>
      </c>
      <c r="K260" s="24" t="s">
        <v>24</v>
      </c>
      <c r="L260" s="24" t="s">
        <v>98</v>
      </c>
    </row>
    <row r="261">
      <c r="A261" s="24">
        <f t="shared" si="1"/>
        <v>260</v>
      </c>
      <c r="B261" s="24" t="s">
        <v>196</v>
      </c>
      <c r="C261" s="339">
        <v>42553.0</v>
      </c>
      <c r="D261" s="24" t="str">
        <f t="shared" si="3"/>
        <v>Jul-2016</v>
      </c>
      <c r="E261" s="24" t="s">
        <v>25</v>
      </c>
      <c r="F261" s="24" t="s">
        <v>35</v>
      </c>
      <c r="G261" s="23" t="s">
        <v>101</v>
      </c>
      <c r="H261" s="24" t="s">
        <v>102</v>
      </c>
      <c r="I261" s="24" t="s">
        <v>9</v>
      </c>
      <c r="J261" s="24" t="s">
        <v>24</v>
      </c>
      <c r="K261" s="24"/>
      <c r="L261" s="24" t="s">
        <v>29</v>
      </c>
    </row>
    <row r="262">
      <c r="A262" s="24">
        <f t="shared" si="1"/>
        <v>261</v>
      </c>
      <c r="B262" s="24" t="s">
        <v>196</v>
      </c>
      <c r="C262" s="339">
        <v>42553.0</v>
      </c>
      <c r="D262" s="24" t="str">
        <f t="shared" si="3"/>
        <v>Jul-2016</v>
      </c>
      <c r="E262" s="24" t="s">
        <v>20</v>
      </c>
      <c r="F262" s="24" t="s">
        <v>129</v>
      </c>
      <c r="G262" s="23" t="s">
        <v>199</v>
      </c>
      <c r="H262" s="24" t="s">
        <v>27</v>
      </c>
      <c r="I262" s="24" t="s">
        <v>9</v>
      </c>
      <c r="J262" s="24" t="s">
        <v>24</v>
      </c>
      <c r="K262" s="24" t="s">
        <v>24</v>
      </c>
      <c r="L262" s="24" t="s">
        <v>29</v>
      </c>
    </row>
    <row r="263">
      <c r="A263" s="24">
        <f t="shared" si="1"/>
        <v>262</v>
      </c>
      <c r="B263" s="24" t="s">
        <v>196</v>
      </c>
      <c r="C263" s="339">
        <v>42553.0</v>
      </c>
      <c r="D263" s="24" t="str">
        <f t="shared" si="3"/>
        <v>Jul-2016</v>
      </c>
      <c r="E263" s="24" t="s">
        <v>25</v>
      </c>
      <c r="F263" s="24" t="s">
        <v>129</v>
      </c>
      <c r="G263" s="23" t="s">
        <v>199</v>
      </c>
      <c r="H263" s="24" t="s">
        <v>27</v>
      </c>
      <c r="I263" s="24" t="s">
        <v>9</v>
      </c>
      <c r="J263" s="24" t="s">
        <v>24</v>
      </c>
      <c r="K263" s="24"/>
      <c r="L263" s="24" t="s">
        <v>98</v>
      </c>
    </row>
    <row r="264">
      <c r="A264" s="24">
        <f t="shared" si="1"/>
        <v>263</v>
      </c>
      <c r="B264" s="24" t="s">
        <v>196</v>
      </c>
      <c r="C264" s="339">
        <v>42553.0</v>
      </c>
      <c r="D264" s="24" t="str">
        <f t="shared" si="3"/>
        <v>Jul-2016</v>
      </c>
      <c r="E264" s="24" t="s">
        <v>20</v>
      </c>
      <c r="F264" s="24" t="s">
        <v>129</v>
      </c>
      <c r="G264" s="23" t="s">
        <v>200</v>
      </c>
      <c r="H264" s="24" t="s">
        <v>64</v>
      </c>
      <c r="I264" s="24" t="s">
        <v>9</v>
      </c>
      <c r="J264" s="24" t="s">
        <v>30</v>
      </c>
      <c r="K264" s="24" t="s">
        <v>30</v>
      </c>
      <c r="L264" s="24" t="s">
        <v>69</v>
      </c>
    </row>
    <row r="265">
      <c r="A265" s="24">
        <f t="shared" si="1"/>
        <v>264</v>
      </c>
      <c r="B265" s="24" t="s">
        <v>196</v>
      </c>
      <c r="C265" s="339">
        <v>42553.0</v>
      </c>
      <c r="D265" s="24" t="str">
        <f t="shared" si="3"/>
        <v>Jul-2016</v>
      </c>
      <c r="E265" s="24" t="s">
        <v>25</v>
      </c>
      <c r="F265" s="24" t="s">
        <v>129</v>
      </c>
      <c r="G265" s="23" t="s">
        <v>200</v>
      </c>
      <c r="H265" s="24" t="s">
        <v>44</v>
      </c>
      <c r="I265" s="24" t="s">
        <v>9</v>
      </c>
      <c r="J265" s="24" t="s">
        <v>30</v>
      </c>
      <c r="K265" s="24"/>
      <c r="L265" s="24" t="s">
        <v>29</v>
      </c>
    </row>
    <row r="266">
      <c r="A266" s="24">
        <f t="shared" si="1"/>
        <v>265</v>
      </c>
      <c r="B266" s="24" t="s">
        <v>196</v>
      </c>
      <c r="C266" s="339">
        <v>42553.0</v>
      </c>
      <c r="D266" s="24" t="str">
        <f t="shared" si="3"/>
        <v>Jul-2016</v>
      </c>
      <c r="E266" s="24" t="s">
        <v>20</v>
      </c>
      <c r="F266" s="24" t="s">
        <v>129</v>
      </c>
      <c r="G266" s="23" t="s">
        <v>201</v>
      </c>
      <c r="H266" s="24" t="s">
        <v>27</v>
      </c>
      <c r="I266" s="24" t="s">
        <v>9</v>
      </c>
      <c r="J266" s="24" t="s">
        <v>24</v>
      </c>
      <c r="K266" s="24" t="s">
        <v>24</v>
      </c>
      <c r="L266" s="24" t="s">
        <v>29</v>
      </c>
    </row>
    <row r="267">
      <c r="A267" s="24">
        <f t="shared" si="1"/>
        <v>266</v>
      </c>
      <c r="B267" s="24" t="s">
        <v>196</v>
      </c>
      <c r="C267" s="339">
        <v>42553.0</v>
      </c>
      <c r="D267" s="24" t="str">
        <f t="shared" si="3"/>
        <v>Jul-2016</v>
      </c>
      <c r="E267" s="24" t="s">
        <v>25</v>
      </c>
      <c r="F267" s="24" t="s">
        <v>129</v>
      </c>
      <c r="G267" s="23" t="s">
        <v>201</v>
      </c>
      <c r="H267" s="24" t="s">
        <v>27</v>
      </c>
      <c r="I267" s="24" t="s">
        <v>9</v>
      </c>
      <c r="J267" s="24" t="s">
        <v>24</v>
      </c>
      <c r="K267" s="24"/>
      <c r="L267" s="24" t="s">
        <v>98</v>
      </c>
    </row>
    <row r="268">
      <c r="A268" s="24">
        <f t="shared" si="1"/>
        <v>267</v>
      </c>
      <c r="B268" s="24" t="s">
        <v>202</v>
      </c>
      <c r="C268" s="339">
        <v>42554.0</v>
      </c>
      <c r="D268" s="24" t="str">
        <f t="shared" si="3"/>
        <v>Jul-2016</v>
      </c>
      <c r="E268" s="24" t="s">
        <v>20</v>
      </c>
      <c r="F268" s="24" t="s">
        <v>35</v>
      </c>
      <c r="G268" s="23" t="s">
        <v>142</v>
      </c>
      <c r="H268" s="24" t="s">
        <v>44</v>
      </c>
      <c r="I268" s="24" t="s">
        <v>9</v>
      </c>
      <c r="J268" s="24" t="s">
        <v>24</v>
      </c>
      <c r="K268" s="24" t="s">
        <v>24</v>
      </c>
      <c r="L268" s="24" t="s">
        <v>98</v>
      </c>
    </row>
    <row r="269">
      <c r="A269" s="24">
        <f t="shared" si="1"/>
        <v>268</v>
      </c>
      <c r="B269" s="24" t="s">
        <v>202</v>
      </c>
      <c r="C269" s="95">
        <v>42554.0</v>
      </c>
      <c r="D269" s="24" t="str">
        <f t="shared" si="3"/>
        <v>Jul-2016</v>
      </c>
      <c r="E269" s="24" t="s">
        <v>25</v>
      </c>
      <c r="F269" s="24" t="s">
        <v>35</v>
      </c>
      <c r="G269" s="23" t="s">
        <v>142</v>
      </c>
      <c r="H269" s="24" t="s">
        <v>44</v>
      </c>
      <c r="I269" s="24" t="s">
        <v>9</v>
      </c>
      <c r="J269" s="24" t="s">
        <v>24</v>
      </c>
      <c r="K269" s="24"/>
      <c r="L269" s="24" t="s">
        <v>106</v>
      </c>
    </row>
    <row r="270">
      <c r="A270" s="24">
        <f t="shared" si="1"/>
        <v>269</v>
      </c>
      <c r="B270" s="24" t="s">
        <v>202</v>
      </c>
      <c r="C270" s="339">
        <v>42554.0</v>
      </c>
      <c r="D270" s="24" t="str">
        <f t="shared" si="3"/>
        <v>Jul-2016</v>
      </c>
      <c r="E270" s="24" t="s">
        <v>20</v>
      </c>
      <c r="F270" s="24" t="s">
        <v>35</v>
      </c>
      <c r="G270" s="23" t="s">
        <v>205</v>
      </c>
      <c r="H270" s="24" t="s">
        <v>27</v>
      </c>
      <c r="I270" s="24" t="s">
        <v>9</v>
      </c>
      <c r="J270" s="24" t="s">
        <v>30</v>
      </c>
      <c r="K270" s="24" t="s">
        <v>30</v>
      </c>
      <c r="L270" s="24" t="s">
        <v>29</v>
      </c>
    </row>
    <row r="271">
      <c r="A271" s="24">
        <f t="shared" si="1"/>
        <v>270</v>
      </c>
      <c r="B271" s="24" t="s">
        <v>202</v>
      </c>
      <c r="C271" s="95">
        <v>42554.0</v>
      </c>
      <c r="D271" s="24" t="str">
        <f t="shared" si="3"/>
        <v>Jul-2016</v>
      </c>
      <c r="E271" s="24" t="s">
        <v>25</v>
      </c>
      <c r="F271" s="24" t="s">
        <v>35</v>
      </c>
      <c r="G271" s="23" t="s">
        <v>205</v>
      </c>
      <c r="H271" s="24" t="s">
        <v>27</v>
      </c>
      <c r="I271" s="24" t="s">
        <v>9</v>
      </c>
      <c r="J271" s="24" t="s">
        <v>30</v>
      </c>
      <c r="K271" s="24"/>
      <c r="L271" s="24" t="s">
        <v>106</v>
      </c>
    </row>
    <row r="272">
      <c r="A272" s="24">
        <f t="shared" si="1"/>
        <v>271</v>
      </c>
      <c r="B272" s="24" t="s">
        <v>202</v>
      </c>
      <c r="C272" s="339">
        <v>42554.0</v>
      </c>
      <c r="D272" s="24" t="str">
        <f t="shared" si="3"/>
        <v>Jul-2016</v>
      </c>
      <c r="E272" s="24" t="s">
        <v>20</v>
      </c>
      <c r="F272" s="24" t="s">
        <v>35</v>
      </c>
      <c r="G272" s="23" t="s">
        <v>100</v>
      </c>
      <c r="H272" s="24" t="s">
        <v>9</v>
      </c>
      <c r="I272" s="24" t="s">
        <v>9</v>
      </c>
      <c r="J272" s="24" t="s">
        <v>30</v>
      </c>
      <c r="K272" s="24" t="s">
        <v>30</v>
      </c>
      <c r="L272" s="24" t="s">
        <v>98</v>
      </c>
    </row>
    <row r="273">
      <c r="A273" s="24">
        <f t="shared" si="1"/>
        <v>272</v>
      </c>
      <c r="B273" s="24" t="s">
        <v>202</v>
      </c>
      <c r="C273" s="95">
        <v>42554.0</v>
      </c>
      <c r="D273" s="24" t="str">
        <f t="shared" si="3"/>
        <v>Jul-2016</v>
      </c>
      <c r="E273" s="24" t="s">
        <v>25</v>
      </c>
      <c r="F273" s="24" t="s">
        <v>35</v>
      </c>
      <c r="G273" s="23" t="s">
        <v>100</v>
      </c>
      <c r="H273" s="24" t="s">
        <v>9</v>
      </c>
      <c r="I273" s="24" t="s">
        <v>9</v>
      </c>
      <c r="J273" s="24" t="s">
        <v>30</v>
      </c>
      <c r="K273" s="24"/>
      <c r="L273" s="24" t="s">
        <v>69</v>
      </c>
    </row>
    <row r="274">
      <c r="A274" s="24">
        <f t="shared" si="1"/>
        <v>273</v>
      </c>
      <c r="B274" s="24" t="s">
        <v>202</v>
      </c>
      <c r="C274" s="339">
        <v>42554.0</v>
      </c>
      <c r="D274" s="24" t="str">
        <f t="shared" si="3"/>
        <v>Jul-2016</v>
      </c>
      <c r="E274" s="24" t="s">
        <v>20</v>
      </c>
      <c r="F274" s="24" t="s">
        <v>35</v>
      </c>
      <c r="G274" s="23" t="s">
        <v>181</v>
      </c>
      <c r="H274" s="24" t="s">
        <v>9</v>
      </c>
      <c r="I274" s="24" t="s">
        <v>9</v>
      </c>
      <c r="J274" s="24" t="s">
        <v>24</v>
      </c>
      <c r="K274" s="24" t="s">
        <v>24</v>
      </c>
      <c r="L274" s="24" t="s">
        <v>98</v>
      </c>
    </row>
    <row r="275">
      <c r="A275" s="24">
        <f t="shared" si="1"/>
        <v>274</v>
      </c>
      <c r="B275" s="24" t="s">
        <v>202</v>
      </c>
      <c r="C275" s="95">
        <v>42554.0</v>
      </c>
      <c r="D275" s="24" t="str">
        <f t="shared" si="3"/>
        <v>Jul-2016</v>
      </c>
      <c r="E275" s="24" t="s">
        <v>25</v>
      </c>
      <c r="F275" s="24" t="s">
        <v>35</v>
      </c>
      <c r="G275" s="23" t="s">
        <v>181</v>
      </c>
      <c r="H275" s="24" t="s">
        <v>27</v>
      </c>
      <c r="I275" s="24" t="s">
        <v>9</v>
      </c>
      <c r="J275" s="24" t="s">
        <v>30</v>
      </c>
      <c r="K275" s="24"/>
      <c r="L275" s="24" t="s">
        <v>106</v>
      </c>
    </row>
    <row r="276">
      <c r="A276" s="24">
        <f t="shared" si="1"/>
        <v>275</v>
      </c>
      <c r="B276" s="24" t="s">
        <v>202</v>
      </c>
      <c r="C276" s="339">
        <v>42554.0</v>
      </c>
      <c r="D276" s="24" t="str">
        <f t="shared" si="3"/>
        <v>Jul-2016</v>
      </c>
      <c r="E276" s="24" t="s">
        <v>32</v>
      </c>
      <c r="F276" s="24" t="s">
        <v>35</v>
      </c>
      <c r="G276" s="23" t="s">
        <v>181</v>
      </c>
      <c r="H276" s="24" t="s">
        <v>27</v>
      </c>
      <c r="I276" s="24" t="s">
        <v>9</v>
      </c>
      <c r="J276" s="24" t="s">
        <v>24</v>
      </c>
      <c r="K276" s="24"/>
      <c r="L276" s="24" t="s">
        <v>69</v>
      </c>
    </row>
    <row r="277">
      <c r="A277" s="24">
        <f t="shared" si="1"/>
        <v>276</v>
      </c>
      <c r="B277" s="24" t="s">
        <v>206</v>
      </c>
      <c r="C277" s="338">
        <v>42558.0</v>
      </c>
      <c r="D277" s="24" t="str">
        <f t="shared" si="3"/>
        <v>Jul-2016</v>
      </c>
      <c r="E277" s="24" t="s">
        <v>20</v>
      </c>
      <c r="F277" s="24" t="s">
        <v>35</v>
      </c>
      <c r="G277" s="23" t="s">
        <v>133</v>
      </c>
      <c r="H277" s="24" t="s">
        <v>86</v>
      </c>
      <c r="I277" s="24" t="s">
        <v>9</v>
      </c>
      <c r="J277" s="24" t="s">
        <v>24</v>
      </c>
      <c r="K277" s="24" t="s">
        <v>24</v>
      </c>
      <c r="L277" s="24" t="s">
        <v>98</v>
      </c>
    </row>
    <row r="278">
      <c r="A278" s="24">
        <f t="shared" si="1"/>
        <v>277</v>
      </c>
      <c r="B278" s="24" t="s">
        <v>206</v>
      </c>
      <c r="C278" s="338">
        <v>42558.0</v>
      </c>
      <c r="D278" s="24" t="str">
        <f t="shared" si="3"/>
        <v>Jul-2016</v>
      </c>
      <c r="E278" s="24" t="s">
        <v>25</v>
      </c>
      <c r="F278" s="24" t="s">
        <v>35</v>
      </c>
      <c r="G278" s="23" t="s">
        <v>133</v>
      </c>
      <c r="H278" s="24" t="s">
        <v>86</v>
      </c>
      <c r="I278" s="24" t="s">
        <v>9</v>
      </c>
      <c r="J278" s="24" t="s">
        <v>24</v>
      </c>
      <c r="K278" s="24"/>
      <c r="L278" s="24" t="s">
        <v>106</v>
      </c>
    </row>
    <row r="279">
      <c r="A279" s="24">
        <f t="shared" si="1"/>
        <v>278</v>
      </c>
      <c r="B279" s="24" t="s">
        <v>206</v>
      </c>
      <c r="C279" s="338">
        <v>42558.0</v>
      </c>
      <c r="D279" s="24" t="str">
        <f t="shared" si="3"/>
        <v>Jul-2016</v>
      </c>
      <c r="E279" s="24" t="s">
        <v>20</v>
      </c>
      <c r="F279" s="24" t="s">
        <v>35</v>
      </c>
      <c r="G279" s="23" t="s">
        <v>122</v>
      </c>
      <c r="H279" s="24" t="s">
        <v>44</v>
      </c>
      <c r="I279" s="24" t="s">
        <v>9</v>
      </c>
      <c r="J279" s="24" t="s">
        <v>24</v>
      </c>
      <c r="K279" s="24" t="s">
        <v>24</v>
      </c>
      <c r="L279" s="24" t="s">
        <v>29</v>
      </c>
    </row>
    <row r="280">
      <c r="A280" s="24">
        <f t="shared" si="1"/>
        <v>279</v>
      </c>
      <c r="B280" s="24" t="s">
        <v>206</v>
      </c>
      <c r="C280" s="338">
        <v>42558.0</v>
      </c>
      <c r="D280" s="24" t="str">
        <f t="shared" si="3"/>
        <v>Jul-2016</v>
      </c>
      <c r="E280" s="24" t="s">
        <v>25</v>
      </c>
      <c r="F280" s="24" t="s">
        <v>35</v>
      </c>
      <c r="G280" s="23" t="s">
        <v>122</v>
      </c>
      <c r="H280" s="24" t="s">
        <v>44</v>
      </c>
      <c r="I280" s="24" t="s">
        <v>9</v>
      </c>
      <c r="J280" s="24" t="s">
        <v>30</v>
      </c>
      <c r="K280" s="24"/>
      <c r="L280" s="24" t="s">
        <v>106</v>
      </c>
    </row>
    <row r="281">
      <c r="A281" s="24">
        <f t="shared" si="1"/>
        <v>280</v>
      </c>
      <c r="B281" s="24" t="s">
        <v>206</v>
      </c>
      <c r="C281" s="338">
        <v>42558.0</v>
      </c>
      <c r="D281" s="24" t="str">
        <f t="shared" si="3"/>
        <v>Jul-2016</v>
      </c>
      <c r="E281" s="24" t="s">
        <v>32</v>
      </c>
      <c r="F281" s="24" t="s">
        <v>35</v>
      </c>
      <c r="G281" s="23" t="s">
        <v>122</v>
      </c>
      <c r="H281" s="24" t="s">
        <v>44</v>
      </c>
      <c r="I281" s="24" t="s">
        <v>9</v>
      </c>
      <c r="J281" s="24" t="s">
        <v>24</v>
      </c>
      <c r="K281" s="24"/>
      <c r="L281" s="24" t="s">
        <v>98</v>
      </c>
    </row>
    <row r="282">
      <c r="A282" s="24">
        <f t="shared" si="1"/>
        <v>281</v>
      </c>
      <c r="B282" s="24" t="s">
        <v>206</v>
      </c>
      <c r="C282" s="338">
        <v>42558.0</v>
      </c>
      <c r="D282" s="24" t="str">
        <f t="shared" si="3"/>
        <v>Jul-2016</v>
      </c>
      <c r="E282" s="24" t="s">
        <v>20</v>
      </c>
      <c r="F282" s="24" t="s">
        <v>129</v>
      </c>
      <c r="G282" s="23" t="s">
        <v>207</v>
      </c>
      <c r="H282" s="24" t="s">
        <v>27</v>
      </c>
      <c r="I282" s="24" t="s">
        <v>9</v>
      </c>
      <c r="J282" s="24" t="s">
        <v>30</v>
      </c>
      <c r="K282" s="24" t="s">
        <v>30</v>
      </c>
      <c r="L282" s="24" t="s">
        <v>29</v>
      </c>
    </row>
    <row r="283">
      <c r="A283" s="24">
        <f t="shared" si="1"/>
        <v>282</v>
      </c>
      <c r="B283" s="24" t="s">
        <v>206</v>
      </c>
      <c r="C283" s="338">
        <v>42558.0</v>
      </c>
      <c r="D283" s="24" t="str">
        <f t="shared" si="3"/>
        <v>Jul-2016</v>
      </c>
      <c r="E283" s="24" t="s">
        <v>25</v>
      </c>
      <c r="F283" s="24" t="s">
        <v>129</v>
      </c>
      <c r="G283" s="23" t="s">
        <v>207</v>
      </c>
      <c r="H283" s="24" t="s">
        <v>27</v>
      </c>
      <c r="I283" s="24" t="s">
        <v>9</v>
      </c>
      <c r="J283" s="24" t="s">
        <v>30</v>
      </c>
      <c r="K283" s="24"/>
      <c r="L283" s="24" t="s">
        <v>37</v>
      </c>
    </row>
    <row r="284">
      <c r="A284" s="24">
        <f t="shared" si="1"/>
        <v>283</v>
      </c>
      <c r="B284" s="24" t="s">
        <v>206</v>
      </c>
      <c r="C284" s="338">
        <v>42558.0</v>
      </c>
      <c r="D284" s="24" t="str">
        <f t="shared" si="3"/>
        <v>Jul-2016</v>
      </c>
      <c r="E284" s="24" t="s">
        <v>20</v>
      </c>
      <c r="F284" s="24" t="s">
        <v>129</v>
      </c>
      <c r="G284" s="23" t="s">
        <v>208</v>
      </c>
      <c r="H284" s="24" t="s">
        <v>9</v>
      </c>
      <c r="I284" s="24" t="s">
        <v>9</v>
      </c>
      <c r="J284" s="24" t="s">
        <v>24</v>
      </c>
      <c r="K284" s="24" t="s">
        <v>24</v>
      </c>
      <c r="L284" s="24" t="s">
        <v>98</v>
      </c>
    </row>
    <row r="285">
      <c r="A285" s="24">
        <f t="shared" si="1"/>
        <v>284</v>
      </c>
      <c r="B285" s="24" t="s">
        <v>206</v>
      </c>
      <c r="C285" s="338">
        <v>42558.0</v>
      </c>
      <c r="D285" s="24" t="str">
        <f t="shared" si="3"/>
        <v>Jul-2016</v>
      </c>
      <c r="E285" s="24" t="s">
        <v>25</v>
      </c>
      <c r="F285" s="24" t="s">
        <v>129</v>
      </c>
      <c r="G285" s="23" t="s">
        <v>208</v>
      </c>
      <c r="H285" s="24" t="s">
        <v>9</v>
      </c>
      <c r="I285" s="24" t="s">
        <v>27</v>
      </c>
      <c r="J285" s="24" t="s">
        <v>24</v>
      </c>
      <c r="K285" s="24"/>
      <c r="L285" s="24" t="s">
        <v>106</v>
      </c>
    </row>
    <row r="286">
      <c r="A286" s="24">
        <f t="shared" si="1"/>
        <v>285</v>
      </c>
      <c r="B286" s="24" t="s">
        <v>209</v>
      </c>
      <c r="C286" s="338">
        <v>42559.0</v>
      </c>
      <c r="D286" s="24" t="str">
        <f t="shared" si="3"/>
        <v>Jul-2016</v>
      </c>
      <c r="E286" s="24" t="s">
        <v>20</v>
      </c>
      <c r="F286" s="24" t="s">
        <v>35</v>
      </c>
      <c r="G286" s="23" t="s">
        <v>148</v>
      </c>
      <c r="H286" s="24" t="s">
        <v>27</v>
      </c>
      <c r="I286" s="24" t="s">
        <v>9</v>
      </c>
      <c r="J286" s="24" t="s">
        <v>24</v>
      </c>
      <c r="K286" s="24" t="s">
        <v>24</v>
      </c>
      <c r="L286" s="24" t="s">
        <v>29</v>
      </c>
    </row>
    <row r="287">
      <c r="A287" s="24">
        <f t="shared" si="1"/>
        <v>286</v>
      </c>
      <c r="B287" s="24" t="s">
        <v>209</v>
      </c>
      <c r="C287" s="338">
        <v>42559.0</v>
      </c>
      <c r="D287" s="24" t="str">
        <f t="shared" si="3"/>
        <v>Jul-2016</v>
      </c>
      <c r="E287" s="24" t="s">
        <v>25</v>
      </c>
      <c r="F287" s="24" t="s">
        <v>35</v>
      </c>
      <c r="G287" s="23" t="s">
        <v>148</v>
      </c>
      <c r="H287" s="24" t="s">
        <v>27</v>
      </c>
      <c r="I287" s="24" t="s">
        <v>9</v>
      </c>
      <c r="J287" s="24" t="s">
        <v>24</v>
      </c>
      <c r="K287" s="24"/>
      <c r="L287" s="24" t="s">
        <v>98</v>
      </c>
    </row>
    <row r="288">
      <c r="A288" s="24">
        <f t="shared" si="1"/>
        <v>287</v>
      </c>
      <c r="B288" s="24" t="s">
        <v>209</v>
      </c>
      <c r="C288" s="338">
        <v>42559.0</v>
      </c>
      <c r="D288" s="24" t="str">
        <f t="shared" si="3"/>
        <v>Jul-2016</v>
      </c>
      <c r="E288" s="24" t="s">
        <v>20</v>
      </c>
      <c r="F288" s="24" t="s">
        <v>35</v>
      </c>
      <c r="G288" s="23" t="s">
        <v>135</v>
      </c>
      <c r="H288" s="24" t="s">
        <v>86</v>
      </c>
      <c r="I288" s="24" t="s">
        <v>9</v>
      </c>
      <c r="J288" s="24" t="s">
        <v>24</v>
      </c>
      <c r="K288" s="24" t="s">
        <v>24</v>
      </c>
      <c r="L288" s="24" t="s">
        <v>98</v>
      </c>
    </row>
    <row r="289">
      <c r="A289" s="24">
        <f t="shared" si="1"/>
        <v>288</v>
      </c>
      <c r="B289" s="24" t="s">
        <v>209</v>
      </c>
      <c r="C289" s="338">
        <v>42559.0</v>
      </c>
      <c r="D289" s="24" t="str">
        <f t="shared" si="3"/>
        <v>Jul-2016</v>
      </c>
      <c r="E289" s="24" t="s">
        <v>25</v>
      </c>
      <c r="F289" s="24" t="s">
        <v>35</v>
      </c>
      <c r="G289" s="23" t="s">
        <v>135</v>
      </c>
      <c r="H289" s="24" t="s">
        <v>86</v>
      </c>
      <c r="I289" s="24" t="s">
        <v>9</v>
      </c>
      <c r="J289" s="24" t="s">
        <v>24</v>
      </c>
      <c r="K289" s="24"/>
      <c r="L289" s="24" t="s">
        <v>99</v>
      </c>
    </row>
    <row r="290">
      <c r="A290" s="24">
        <f t="shared" si="1"/>
        <v>289</v>
      </c>
      <c r="B290" s="24" t="s">
        <v>210</v>
      </c>
      <c r="C290" s="339">
        <v>42560.0</v>
      </c>
      <c r="D290" s="24" t="str">
        <f t="shared" si="3"/>
        <v>Jul-2016</v>
      </c>
      <c r="E290" s="24" t="s">
        <v>20</v>
      </c>
      <c r="F290" s="24" t="s">
        <v>21</v>
      </c>
      <c r="G290" s="23" t="s">
        <v>211</v>
      </c>
      <c r="H290" s="24" t="s">
        <v>71</v>
      </c>
      <c r="I290" s="24" t="s">
        <v>9</v>
      </c>
      <c r="J290" s="24" t="s">
        <v>24</v>
      </c>
      <c r="K290" s="24" t="s">
        <v>24</v>
      </c>
      <c r="L290" s="24" t="s">
        <v>37</v>
      </c>
    </row>
    <row r="291">
      <c r="A291" s="24">
        <f t="shared" si="1"/>
        <v>290</v>
      </c>
      <c r="B291" s="24" t="s">
        <v>210</v>
      </c>
      <c r="C291" s="339">
        <v>42560.0</v>
      </c>
      <c r="D291" s="24" t="str">
        <f t="shared" si="3"/>
        <v>Jul-2016</v>
      </c>
      <c r="E291" s="24" t="s">
        <v>25</v>
      </c>
      <c r="F291" s="24" t="s">
        <v>21</v>
      </c>
      <c r="G291" s="23" t="s">
        <v>211</v>
      </c>
      <c r="H291" s="24" t="s">
        <v>71</v>
      </c>
      <c r="I291" s="24" t="s">
        <v>9</v>
      </c>
      <c r="J291" s="24" t="s">
        <v>24</v>
      </c>
      <c r="K291" s="24"/>
      <c r="L291" s="24" t="s">
        <v>106</v>
      </c>
    </row>
    <row r="292">
      <c r="A292" s="24">
        <f t="shared" si="1"/>
        <v>291</v>
      </c>
      <c r="B292" s="24" t="s">
        <v>210</v>
      </c>
      <c r="C292" s="339">
        <v>42560.0</v>
      </c>
      <c r="D292" s="24" t="str">
        <f t="shared" si="3"/>
        <v>Jul-2016</v>
      </c>
      <c r="E292" s="24" t="s">
        <v>20</v>
      </c>
      <c r="F292" s="24" t="s">
        <v>21</v>
      </c>
      <c r="G292" s="23" t="s">
        <v>212</v>
      </c>
      <c r="H292" s="24" t="s">
        <v>71</v>
      </c>
      <c r="I292" s="24" t="s">
        <v>9</v>
      </c>
      <c r="J292" s="24" t="s">
        <v>24</v>
      </c>
      <c r="K292" s="24" t="s">
        <v>24</v>
      </c>
      <c r="L292" s="24" t="s">
        <v>37</v>
      </c>
    </row>
    <row r="293">
      <c r="A293" s="24">
        <f t="shared" si="1"/>
        <v>292</v>
      </c>
      <c r="B293" s="24" t="s">
        <v>210</v>
      </c>
      <c r="C293" s="339">
        <v>42560.0</v>
      </c>
      <c r="D293" s="24" t="str">
        <f t="shared" si="3"/>
        <v>Jul-2016</v>
      </c>
      <c r="E293" s="24" t="s">
        <v>25</v>
      </c>
      <c r="F293" s="24" t="s">
        <v>21</v>
      </c>
      <c r="G293" s="23" t="s">
        <v>212</v>
      </c>
      <c r="H293" s="24" t="s">
        <v>71</v>
      </c>
      <c r="I293" s="24" t="s">
        <v>9</v>
      </c>
      <c r="J293" s="24" t="s">
        <v>24</v>
      </c>
      <c r="K293" s="24"/>
      <c r="L293" s="24" t="s">
        <v>106</v>
      </c>
    </row>
    <row r="294">
      <c r="A294" s="24">
        <f t="shared" si="1"/>
        <v>293</v>
      </c>
      <c r="B294" s="24" t="s">
        <v>210</v>
      </c>
      <c r="C294" s="339">
        <v>42560.0</v>
      </c>
      <c r="D294" s="24" t="str">
        <f t="shared" si="3"/>
        <v>Jul-2016</v>
      </c>
      <c r="E294" s="24" t="s">
        <v>20</v>
      </c>
      <c r="F294" s="24" t="s">
        <v>35</v>
      </c>
      <c r="G294" s="23" t="s">
        <v>47</v>
      </c>
      <c r="H294" s="24" t="s">
        <v>48</v>
      </c>
      <c r="I294" s="24" t="s">
        <v>9</v>
      </c>
      <c r="J294" s="24" t="s">
        <v>24</v>
      </c>
      <c r="K294" s="24" t="s">
        <v>24</v>
      </c>
      <c r="L294" s="24" t="s">
        <v>98</v>
      </c>
    </row>
    <row r="295">
      <c r="A295" s="24">
        <f t="shared" si="1"/>
        <v>294</v>
      </c>
      <c r="B295" s="24" t="s">
        <v>210</v>
      </c>
      <c r="C295" s="339">
        <v>42560.0</v>
      </c>
      <c r="D295" s="24" t="str">
        <f t="shared" si="3"/>
        <v>Jul-2016</v>
      </c>
      <c r="E295" s="24" t="s">
        <v>25</v>
      </c>
      <c r="F295" s="24" t="s">
        <v>35</v>
      </c>
      <c r="G295" s="23" t="s">
        <v>47</v>
      </c>
      <c r="H295" s="24" t="s">
        <v>48</v>
      </c>
      <c r="I295" s="24" t="s">
        <v>9</v>
      </c>
      <c r="J295" s="24" t="s">
        <v>24</v>
      </c>
      <c r="K295" s="24"/>
      <c r="L295" s="24" t="s">
        <v>29</v>
      </c>
    </row>
    <row r="296">
      <c r="A296" s="24">
        <f t="shared" si="1"/>
        <v>295</v>
      </c>
      <c r="B296" s="24" t="s">
        <v>210</v>
      </c>
      <c r="C296" s="339">
        <v>42560.0</v>
      </c>
      <c r="D296" s="24" t="str">
        <f t="shared" si="3"/>
        <v>Jul-2016</v>
      </c>
      <c r="E296" s="24" t="s">
        <v>20</v>
      </c>
      <c r="F296" s="24" t="s">
        <v>35</v>
      </c>
      <c r="G296" s="23" t="s">
        <v>213</v>
      </c>
      <c r="H296" s="24" t="s">
        <v>9</v>
      </c>
      <c r="I296" s="24" t="s">
        <v>9</v>
      </c>
      <c r="J296" s="24" t="s">
        <v>24</v>
      </c>
      <c r="K296" s="24" t="s">
        <v>24</v>
      </c>
      <c r="L296" s="24" t="s">
        <v>98</v>
      </c>
    </row>
    <row r="297">
      <c r="A297" s="24">
        <f t="shared" si="1"/>
        <v>296</v>
      </c>
      <c r="B297" s="24" t="s">
        <v>210</v>
      </c>
      <c r="C297" s="339">
        <v>42560.0</v>
      </c>
      <c r="D297" s="24" t="str">
        <f t="shared" si="3"/>
        <v>Jul-2016</v>
      </c>
      <c r="E297" s="24" t="s">
        <v>25</v>
      </c>
      <c r="F297" s="24" t="s">
        <v>35</v>
      </c>
      <c r="G297" s="23" t="s">
        <v>213</v>
      </c>
      <c r="H297" s="24" t="s">
        <v>9</v>
      </c>
      <c r="I297" s="24" t="s">
        <v>9</v>
      </c>
      <c r="J297" s="24" t="s">
        <v>30</v>
      </c>
      <c r="K297" s="24"/>
      <c r="L297" s="24" t="s">
        <v>106</v>
      </c>
    </row>
    <row r="298">
      <c r="A298" s="24">
        <f t="shared" si="1"/>
        <v>297</v>
      </c>
      <c r="B298" s="24" t="s">
        <v>210</v>
      </c>
      <c r="C298" s="339">
        <v>42560.0</v>
      </c>
      <c r="D298" s="24" t="str">
        <f t="shared" si="3"/>
        <v>Jul-2016</v>
      </c>
      <c r="E298" s="24" t="s">
        <v>32</v>
      </c>
      <c r="F298" s="24" t="s">
        <v>35</v>
      </c>
      <c r="G298" s="23" t="s">
        <v>213</v>
      </c>
      <c r="H298" s="24" t="s">
        <v>9</v>
      </c>
      <c r="I298" s="24" t="s">
        <v>9</v>
      </c>
      <c r="J298" s="24" t="s">
        <v>24</v>
      </c>
      <c r="K298" s="24"/>
      <c r="L298" s="24" t="s">
        <v>29</v>
      </c>
    </row>
    <row r="299">
      <c r="A299" s="24">
        <f t="shared" si="1"/>
        <v>298</v>
      </c>
      <c r="B299" s="24" t="s">
        <v>210</v>
      </c>
      <c r="C299" s="339">
        <v>42560.0</v>
      </c>
      <c r="D299" s="24" t="str">
        <f t="shared" si="3"/>
        <v>Jul-2016</v>
      </c>
      <c r="E299" s="24" t="s">
        <v>20</v>
      </c>
      <c r="F299" s="24" t="s">
        <v>129</v>
      </c>
      <c r="G299" s="23" t="s">
        <v>93</v>
      </c>
      <c r="H299" s="24" t="s">
        <v>23</v>
      </c>
      <c r="I299" s="24" t="s">
        <v>9</v>
      </c>
      <c r="J299" s="24" t="s">
        <v>24</v>
      </c>
      <c r="K299" s="24" t="s">
        <v>24</v>
      </c>
      <c r="L299" s="24" t="s">
        <v>98</v>
      </c>
    </row>
    <row r="300">
      <c r="A300" s="24">
        <f t="shared" si="1"/>
        <v>299</v>
      </c>
      <c r="B300" s="24" t="s">
        <v>210</v>
      </c>
      <c r="C300" s="339">
        <v>42560.0</v>
      </c>
      <c r="D300" s="24" t="str">
        <f t="shared" si="3"/>
        <v>Jul-2016</v>
      </c>
      <c r="E300" s="24" t="s">
        <v>25</v>
      </c>
      <c r="F300" s="24" t="s">
        <v>129</v>
      </c>
      <c r="G300" s="23" t="s">
        <v>93</v>
      </c>
      <c r="H300" s="24" t="s">
        <v>23</v>
      </c>
      <c r="I300" s="24" t="s">
        <v>9</v>
      </c>
      <c r="J300" s="24" t="s">
        <v>24</v>
      </c>
      <c r="K300" s="24"/>
      <c r="L300" s="24" t="s">
        <v>106</v>
      </c>
    </row>
    <row r="301">
      <c r="A301" s="24">
        <f t="shared" si="1"/>
        <v>300</v>
      </c>
      <c r="B301" s="24" t="s">
        <v>210</v>
      </c>
      <c r="C301" s="339">
        <v>42560.0</v>
      </c>
      <c r="D301" s="24" t="str">
        <f t="shared" si="3"/>
        <v>Jul-2016</v>
      </c>
      <c r="E301" s="24" t="s">
        <v>20</v>
      </c>
      <c r="F301" s="24" t="s">
        <v>129</v>
      </c>
      <c r="G301" s="23" t="s">
        <v>214</v>
      </c>
      <c r="H301" s="24" t="s">
        <v>27</v>
      </c>
      <c r="I301" s="24" t="s">
        <v>9</v>
      </c>
      <c r="J301" s="24" t="s">
        <v>30</v>
      </c>
      <c r="K301" s="24" t="s">
        <v>30</v>
      </c>
      <c r="L301" s="24" t="s">
        <v>29</v>
      </c>
    </row>
    <row r="302">
      <c r="A302" s="24">
        <f t="shared" si="1"/>
        <v>301</v>
      </c>
      <c r="B302" s="24" t="s">
        <v>210</v>
      </c>
      <c r="C302" s="339">
        <v>42560.0</v>
      </c>
      <c r="D302" s="24" t="str">
        <f t="shared" si="3"/>
        <v>Jul-2016</v>
      </c>
      <c r="E302" s="24" t="s">
        <v>25</v>
      </c>
      <c r="F302" s="24" t="s">
        <v>129</v>
      </c>
      <c r="G302" s="23" t="s">
        <v>214</v>
      </c>
      <c r="H302" s="24" t="s">
        <v>27</v>
      </c>
      <c r="I302" s="24" t="s">
        <v>9</v>
      </c>
      <c r="J302" s="24" t="s">
        <v>30</v>
      </c>
      <c r="K302" s="24"/>
      <c r="L302" s="24" t="s">
        <v>69</v>
      </c>
    </row>
    <row r="303">
      <c r="A303" s="24">
        <f t="shared" si="1"/>
        <v>302</v>
      </c>
      <c r="B303" s="24" t="s">
        <v>210</v>
      </c>
      <c r="C303" s="339">
        <v>42560.0</v>
      </c>
      <c r="D303" s="24" t="str">
        <f t="shared" si="3"/>
        <v>Jul-2016</v>
      </c>
      <c r="E303" s="24" t="s">
        <v>20</v>
      </c>
      <c r="F303" s="24" t="s">
        <v>129</v>
      </c>
      <c r="G303" s="23" t="s">
        <v>133</v>
      </c>
      <c r="H303" s="24" t="s">
        <v>23</v>
      </c>
      <c r="I303" s="24" t="s">
        <v>9</v>
      </c>
      <c r="J303" s="24" t="s">
        <v>30</v>
      </c>
      <c r="K303" s="24" t="s">
        <v>24</v>
      </c>
      <c r="L303" s="24" t="s">
        <v>98</v>
      </c>
    </row>
    <row r="304">
      <c r="A304" s="24">
        <f t="shared" si="1"/>
        <v>303</v>
      </c>
      <c r="B304" s="24" t="s">
        <v>210</v>
      </c>
      <c r="C304" s="339">
        <v>42560.0</v>
      </c>
      <c r="D304" s="24" t="str">
        <f t="shared" si="3"/>
        <v>Jul-2016</v>
      </c>
      <c r="E304" s="24" t="s">
        <v>25</v>
      </c>
      <c r="F304" s="24" t="s">
        <v>129</v>
      </c>
      <c r="G304" s="23" t="s">
        <v>133</v>
      </c>
      <c r="H304" s="24" t="s">
        <v>23</v>
      </c>
      <c r="I304" s="24" t="s">
        <v>9</v>
      </c>
      <c r="J304" s="24" t="s">
        <v>24</v>
      </c>
      <c r="K304" s="24"/>
      <c r="L304" s="24" t="s">
        <v>98</v>
      </c>
    </row>
    <row r="305">
      <c r="A305" s="24">
        <f t="shared" si="1"/>
        <v>304</v>
      </c>
      <c r="B305" s="24" t="s">
        <v>210</v>
      </c>
      <c r="C305" s="339">
        <v>42560.0</v>
      </c>
      <c r="D305" s="24" t="str">
        <f t="shared" si="3"/>
        <v>Jul-2016</v>
      </c>
      <c r="E305" s="24" t="s">
        <v>32</v>
      </c>
      <c r="F305" s="24" t="s">
        <v>129</v>
      </c>
      <c r="G305" s="23" t="s">
        <v>133</v>
      </c>
      <c r="H305" s="24" t="s">
        <v>23</v>
      </c>
      <c r="I305" s="24" t="s">
        <v>9</v>
      </c>
      <c r="J305" s="24" t="s">
        <v>24</v>
      </c>
      <c r="K305" s="24"/>
      <c r="L305" s="24" t="s">
        <v>106</v>
      </c>
    </row>
    <row r="306">
      <c r="A306" s="24">
        <f t="shared" si="1"/>
        <v>305</v>
      </c>
      <c r="B306" s="24" t="s">
        <v>215</v>
      </c>
      <c r="C306" s="338">
        <v>42578.0</v>
      </c>
      <c r="D306" s="24" t="str">
        <f t="shared" si="3"/>
        <v>Jul-2016</v>
      </c>
      <c r="E306" s="24" t="s">
        <v>20</v>
      </c>
      <c r="F306" s="24" t="s">
        <v>35</v>
      </c>
      <c r="G306" s="23" t="s">
        <v>111</v>
      </c>
      <c r="H306" s="24" t="s">
        <v>216</v>
      </c>
      <c r="I306" s="24" t="s">
        <v>9</v>
      </c>
      <c r="J306" s="24" t="s">
        <v>24</v>
      </c>
      <c r="K306" s="24" t="s">
        <v>24</v>
      </c>
      <c r="L306" s="24" t="s">
        <v>98</v>
      </c>
    </row>
    <row r="307">
      <c r="A307" s="24">
        <f t="shared" si="1"/>
        <v>306</v>
      </c>
      <c r="B307" s="24" t="s">
        <v>215</v>
      </c>
      <c r="C307" s="338">
        <v>42578.0</v>
      </c>
      <c r="D307" s="24" t="str">
        <f t="shared" si="3"/>
        <v>Jul-2016</v>
      </c>
      <c r="E307" s="24" t="s">
        <v>25</v>
      </c>
      <c r="F307" s="24" t="s">
        <v>35</v>
      </c>
      <c r="G307" s="23" t="s">
        <v>111</v>
      </c>
      <c r="H307" s="24" t="s">
        <v>216</v>
      </c>
      <c r="I307" s="24" t="s">
        <v>9</v>
      </c>
      <c r="J307" s="24" t="s">
        <v>24</v>
      </c>
      <c r="K307" s="24"/>
      <c r="L307" s="24" t="s">
        <v>37</v>
      </c>
    </row>
    <row r="308">
      <c r="A308" s="24">
        <f t="shared" si="1"/>
        <v>307</v>
      </c>
      <c r="B308" s="24" t="s">
        <v>215</v>
      </c>
      <c r="C308" s="338">
        <v>42578.0</v>
      </c>
      <c r="D308" s="24" t="str">
        <f t="shared" si="3"/>
        <v>Jul-2016</v>
      </c>
      <c r="E308" s="24" t="s">
        <v>20</v>
      </c>
      <c r="F308" s="24" t="s">
        <v>35</v>
      </c>
      <c r="G308" s="23" t="s">
        <v>217</v>
      </c>
      <c r="H308" s="24" t="s">
        <v>9</v>
      </c>
      <c r="I308" s="24" t="s">
        <v>9</v>
      </c>
      <c r="J308" s="24" t="s">
        <v>30</v>
      </c>
      <c r="K308" s="24" t="s">
        <v>30</v>
      </c>
      <c r="L308" s="24" t="s">
        <v>37</v>
      </c>
    </row>
    <row r="309">
      <c r="A309" s="24">
        <f t="shared" si="1"/>
        <v>308</v>
      </c>
      <c r="B309" s="24" t="s">
        <v>215</v>
      </c>
      <c r="C309" s="338">
        <v>42578.0</v>
      </c>
      <c r="D309" s="24" t="str">
        <f t="shared" si="3"/>
        <v>Jul-2016</v>
      </c>
      <c r="E309" s="24" t="s">
        <v>25</v>
      </c>
      <c r="F309" s="24" t="s">
        <v>35</v>
      </c>
      <c r="G309" s="23" t="s">
        <v>217</v>
      </c>
      <c r="H309" s="24" t="s">
        <v>9</v>
      </c>
      <c r="I309" s="24" t="s">
        <v>9</v>
      </c>
      <c r="J309" s="24" t="s">
        <v>24</v>
      </c>
      <c r="K309" s="24"/>
      <c r="L309" s="24" t="s">
        <v>98</v>
      </c>
    </row>
    <row r="310">
      <c r="A310" s="24">
        <f t="shared" si="1"/>
        <v>309</v>
      </c>
      <c r="B310" s="24" t="s">
        <v>215</v>
      </c>
      <c r="C310" s="338">
        <v>42578.0</v>
      </c>
      <c r="D310" s="24" t="str">
        <f t="shared" si="3"/>
        <v>Jul-2016</v>
      </c>
      <c r="E310" s="24" t="s">
        <v>32</v>
      </c>
      <c r="F310" s="24" t="s">
        <v>35</v>
      </c>
      <c r="G310" s="23" t="s">
        <v>217</v>
      </c>
      <c r="H310" s="24" t="s">
        <v>9</v>
      </c>
      <c r="I310" s="24" t="s">
        <v>9</v>
      </c>
      <c r="J310" s="24" t="s">
        <v>30</v>
      </c>
      <c r="K310" s="24"/>
      <c r="L310" s="24" t="s">
        <v>106</v>
      </c>
    </row>
    <row r="311">
      <c r="A311" s="24">
        <f t="shared" si="1"/>
        <v>310</v>
      </c>
      <c r="B311" s="24" t="s">
        <v>215</v>
      </c>
      <c r="C311" s="338">
        <v>42578.0</v>
      </c>
      <c r="D311" s="24" t="str">
        <f t="shared" si="3"/>
        <v>Jul-2016</v>
      </c>
      <c r="E311" s="24" t="s">
        <v>20</v>
      </c>
      <c r="F311" s="24" t="s">
        <v>35</v>
      </c>
      <c r="G311" s="23" t="s">
        <v>218</v>
      </c>
      <c r="H311" s="24" t="s">
        <v>86</v>
      </c>
      <c r="I311" s="24" t="s">
        <v>9</v>
      </c>
      <c r="J311" s="24" t="s">
        <v>24</v>
      </c>
      <c r="K311" s="24" t="s">
        <v>24</v>
      </c>
      <c r="L311" s="24" t="s">
        <v>98</v>
      </c>
    </row>
    <row r="312">
      <c r="A312" s="24">
        <f t="shared" si="1"/>
        <v>311</v>
      </c>
      <c r="B312" s="24" t="s">
        <v>215</v>
      </c>
      <c r="C312" s="338">
        <v>42578.0</v>
      </c>
      <c r="D312" s="24" t="str">
        <f t="shared" si="3"/>
        <v>Jul-2016</v>
      </c>
      <c r="E312" s="24" t="s">
        <v>25</v>
      </c>
      <c r="F312" s="24" t="s">
        <v>35</v>
      </c>
      <c r="G312" s="23" t="s">
        <v>218</v>
      </c>
      <c r="H312" s="24" t="s">
        <v>86</v>
      </c>
      <c r="I312" s="24" t="s">
        <v>9</v>
      </c>
      <c r="J312" s="24" t="s">
        <v>24</v>
      </c>
      <c r="K312" s="24"/>
      <c r="L312" s="24" t="s">
        <v>29</v>
      </c>
    </row>
    <row r="313">
      <c r="A313" s="24">
        <f t="shared" si="1"/>
        <v>312</v>
      </c>
      <c r="B313" s="24" t="s">
        <v>215</v>
      </c>
      <c r="C313" s="338">
        <v>42578.0</v>
      </c>
      <c r="D313" s="24" t="str">
        <f t="shared" si="3"/>
        <v>Jul-2016</v>
      </c>
      <c r="E313" s="24" t="s">
        <v>20</v>
      </c>
      <c r="F313" s="24" t="s">
        <v>129</v>
      </c>
      <c r="G313" s="23" t="s">
        <v>122</v>
      </c>
      <c r="H313" s="24" t="s">
        <v>44</v>
      </c>
      <c r="I313" s="24" t="s">
        <v>9</v>
      </c>
      <c r="J313" s="24" t="s">
        <v>30</v>
      </c>
      <c r="K313" s="24" t="s">
        <v>30</v>
      </c>
      <c r="L313" s="24" t="s">
        <v>98</v>
      </c>
    </row>
    <row r="314">
      <c r="A314" s="24">
        <f t="shared" si="1"/>
        <v>313</v>
      </c>
      <c r="B314" s="24" t="s">
        <v>215</v>
      </c>
      <c r="C314" s="338">
        <v>42578.0</v>
      </c>
      <c r="D314" s="24" t="str">
        <f t="shared" si="3"/>
        <v>Jul-2016</v>
      </c>
      <c r="E314" s="24" t="s">
        <v>25</v>
      </c>
      <c r="F314" s="24" t="s">
        <v>129</v>
      </c>
      <c r="G314" s="23" t="s">
        <v>122</v>
      </c>
      <c r="H314" s="24" t="s">
        <v>44</v>
      </c>
      <c r="I314" s="24" t="s">
        <v>9</v>
      </c>
      <c r="J314" s="24" t="s">
        <v>24</v>
      </c>
      <c r="K314" s="24"/>
      <c r="L314" s="24" t="s">
        <v>98</v>
      </c>
    </row>
    <row r="315">
      <c r="A315" s="24">
        <f t="shared" si="1"/>
        <v>314</v>
      </c>
      <c r="B315" s="24" t="s">
        <v>215</v>
      </c>
      <c r="C315" s="338">
        <v>42578.0</v>
      </c>
      <c r="D315" s="24" t="str">
        <f t="shared" si="3"/>
        <v>Jul-2016</v>
      </c>
      <c r="E315" s="24" t="s">
        <v>32</v>
      </c>
      <c r="F315" s="24" t="s">
        <v>129</v>
      </c>
      <c r="G315" s="23" t="s">
        <v>122</v>
      </c>
      <c r="H315" s="24" t="s">
        <v>44</v>
      </c>
      <c r="I315" s="24" t="s">
        <v>9</v>
      </c>
      <c r="J315" s="24" t="s">
        <v>30</v>
      </c>
      <c r="K315" s="24"/>
      <c r="L315" s="24" t="s">
        <v>69</v>
      </c>
    </row>
    <row r="316">
      <c r="A316" s="24">
        <f t="shared" si="1"/>
        <v>315</v>
      </c>
      <c r="B316" s="24" t="s">
        <v>215</v>
      </c>
      <c r="C316" s="338">
        <v>42578.0</v>
      </c>
      <c r="D316" s="24" t="str">
        <f t="shared" si="3"/>
        <v>Jul-2016</v>
      </c>
      <c r="E316" s="24" t="s">
        <v>20</v>
      </c>
      <c r="F316" s="24" t="s">
        <v>129</v>
      </c>
      <c r="G316" s="23" t="s">
        <v>219</v>
      </c>
      <c r="H316" s="24" t="s">
        <v>97</v>
      </c>
      <c r="I316" s="24" t="s">
        <v>9</v>
      </c>
      <c r="J316" s="24" t="s">
        <v>30</v>
      </c>
      <c r="K316" s="24" t="s">
        <v>30</v>
      </c>
      <c r="L316" s="24" t="s">
        <v>98</v>
      </c>
    </row>
    <row r="317">
      <c r="A317" s="24">
        <f t="shared" si="1"/>
        <v>316</v>
      </c>
      <c r="B317" s="24" t="s">
        <v>215</v>
      </c>
      <c r="C317" s="338">
        <v>42578.0</v>
      </c>
      <c r="D317" s="24" t="str">
        <f t="shared" si="3"/>
        <v>Jul-2016</v>
      </c>
      <c r="E317" s="24" t="s">
        <v>25</v>
      </c>
      <c r="F317" s="24" t="s">
        <v>129</v>
      </c>
      <c r="G317" s="23" t="s">
        <v>219</v>
      </c>
      <c r="H317" s="24" t="s">
        <v>97</v>
      </c>
      <c r="I317" s="24" t="s">
        <v>9</v>
      </c>
      <c r="J317" s="24" t="s">
        <v>30</v>
      </c>
      <c r="K317" s="24"/>
      <c r="L317" s="24" t="s">
        <v>29</v>
      </c>
    </row>
    <row r="318">
      <c r="A318" s="24">
        <f t="shared" si="1"/>
        <v>317</v>
      </c>
      <c r="B318" s="24" t="s">
        <v>215</v>
      </c>
      <c r="C318" s="338">
        <v>42578.0</v>
      </c>
      <c r="D318" s="24" t="str">
        <f t="shared" si="3"/>
        <v>Jul-2016</v>
      </c>
      <c r="E318" s="24" t="s">
        <v>20</v>
      </c>
      <c r="F318" s="24" t="s">
        <v>129</v>
      </c>
      <c r="G318" s="23" t="s">
        <v>220</v>
      </c>
      <c r="H318" s="24" t="s">
        <v>182</v>
      </c>
      <c r="I318" s="24" t="s">
        <v>9</v>
      </c>
      <c r="J318" s="24" t="s">
        <v>30</v>
      </c>
      <c r="K318" s="24" t="s">
        <v>30</v>
      </c>
      <c r="L318" s="24" t="s">
        <v>98</v>
      </c>
    </row>
    <row r="319">
      <c r="A319" s="24">
        <f t="shared" si="1"/>
        <v>318</v>
      </c>
      <c r="B319" s="24" t="s">
        <v>215</v>
      </c>
      <c r="C319" s="338">
        <v>42578.0</v>
      </c>
      <c r="D319" s="24" t="str">
        <f t="shared" si="3"/>
        <v>Jul-2016</v>
      </c>
      <c r="E319" s="24" t="s">
        <v>25</v>
      </c>
      <c r="F319" s="24" t="s">
        <v>129</v>
      </c>
      <c r="G319" s="23" t="s">
        <v>220</v>
      </c>
      <c r="H319" s="24" t="s">
        <v>182</v>
      </c>
      <c r="I319" s="24" t="s">
        <v>9</v>
      </c>
      <c r="J319" s="24" t="s">
        <v>24</v>
      </c>
      <c r="K319" s="24"/>
      <c r="L319" s="24" t="s">
        <v>37</v>
      </c>
    </row>
    <row r="320">
      <c r="A320" s="24">
        <f t="shared" si="1"/>
        <v>319</v>
      </c>
      <c r="B320" s="24" t="s">
        <v>215</v>
      </c>
      <c r="C320" s="338">
        <v>42578.0</v>
      </c>
      <c r="D320" s="24" t="str">
        <f t="shared" si="3"/>
        <v>Jul-2016</v>
      </c>
      <c r="E320" s="24" t="s">
        <v>32</v>
      </c>
      <c r="F320" s="24" t="s">
        <v>129</v>
      </c>
      <c r="G320" s="23" t="s">
        <v>220</v>
      </c>
      <c r="H320" s="24" t="s">
        <v>182</v>
      </c>
      <c r="I320" s="24" t="s">
        <v>9</v>
      </c>
      <c r="J320" s="24" t="s">
        <v>30</v>
      </c>
      <c r="K320" s="24"/>
      <c r="L320" s="24" t="s">
        <v>106</v>
      </c>
    </row>
    <row r="321">
      <c r="A321" s="24">
        <f t="shared" si="1"/>
        <v>320</v>
      </c>
      <c r="B321" s="24" t="s">
        <v>215</v>
      </c>
      <c r="C321" s="338">
        <v>42578.0</v>
      </c>
      <c r="D321" s="24" t="str">
        <f t="shared" si="3"/>
        <v>Jul-2016</v>
      </c>
      <c r="E321" s="24" t="s">
        <v>146</v>
      </c>
      <c r="F321" s="24" t="s">
        <v>147</v>
      </c>
      <c r="G321" s="23" t="s">
        <v>221</v>
      </c>
      <c r="H321" s="24" t="s">
        <v>23</v>
      </c>
      <c r="I321" s="24" t="s">
        <v>9</v>
      </c>
      <c r="J321" s="24" t="s">
        <v>24</v>
      </c>
      <c r="K321" s="24" t="s">
        <v>24</v>
      </c>
      <c r="L321" s="24" t="s">
        <v>98</v>
      </c>
    </row>
    <row r="322">
      <c r="A322" s="24">
        <f t="shared" si="1"/>
        <v>321</v>
      </c>
      <c r="B322" s="24" t="s">
        <v>215</v>
      </c>
      <c r="C322" s="338">
        <v>42578.0</v>
      </c>
      <c r="D322" s="24" t="str">
        <f t="shared" si="3"/>
        <v>Jul-2016</v>
      </c>
      <c r="E322" s="24" t="s">
        <v>149</v>
      </c>
      <c r="F322" s="24" t="s">
        <v>147</v>
      </c>
      <c r="G322" s="23" t="s">
        <v>221</v>
      </c>
      <c r="H322" s="24" t="s">
        <v>23</v>
      </c>
      <c r="I322" s="24" t="s">
        <v>9</v>
      </c>
      <c r="J322" s="24" t="s">
        <v>24</v>
      </c>
      <c r="K322" s="24"/>
      <c r="L322" s="24" t="s">
        <v>29</v>
      </c>
    </row>
    <row r="323">
      <c r="A323" s="24">
        <f t="shared" si="1"/>
        <v>322</v>
      </c>
      <c r="B323" s="24" t="s">
        <v>215</v>
      </c>
      <c r="C323" s="338">
        <v>42578.0</v>
      </c>
      <c r="D323" s="24" t="str">
        <f t="shared" si="3"/>
        <v>Jul-2016</v>
      </c>
      <c r="E323" s="24" t="s">
        <v>222</v>
      </c>
      <c r="F323" s="24" t="s">
        <v>147</v>
      </c>
      <c r="G323" s="23" t="s">
        <v>221</v>
      </c>
      <c r="H323" s="24" t="s">
        <v>23</v>
      </c>
      <c r="I323" s="24" t="s">
        <v>27</v>
      </c>
      <c r="J323" s="24" t="s">
        <v>24</v>
      </c>
      <c r="K323" s="24"/>
      <c r="L323" s="24" t="s">
        <v>29</v>
      </c>
    </row>
    <row r="324">
      <c r="A324" s="24">
        <f t="shared" si="1"/>
        <v>323</v>
      </c>
      <c r="B324" s="24" t="s">
        <v>223</v>
      </c>
      <c r="C324" s="338">
        <v>42579.0</v>
      </c>
      <c r="D324" s="24" t="str">
        <f t="shared" si="3"/>
        <v>Jul-2016</v>
      </c>
      <c r="E324" s="24" t="s">
        <v>20</v>
      </c>
      <c r="F324" s="24" t="s">
        <v>35</v>
      </c>
      <c r="G324" s="23" t="s">
        <v>171</v>
      </c>
      <c r="H324" s="24" t="s">
        <v>9</v>
      </c>
      <c r="I324" s="24" t="s">
        <v>9</v>
      </c>
      <c r="J324" s="24" t="s">
        <v>30</v>
      </c>
      <c r="K324" s="24" t="s">
        <v>30</v>
      </c>
      <c r="L324" s="24" t="s">
        <v>37</v>
      </c>
    </row>
    <row r="325">
      <c r="A325" s="24">
        <f t="shared" si="1"/>
        <v>324</v>
      </c>
      <c r="B325" s="24" t="s">
        <v>223</v>
      </c>
      <c r="C325" s="338">
        <v>42579.0</v>
      </c>
      <c r="D325" s="24" t="str">
        <f t="shared" si="3"/>
        <v>Jul-2016</v>
      </c>
      <c r="E325" s="24" t="s">
        <v>25</v>
      </c>
      <c r="F325" s="24" t="s">
        <v>35</v>
      </c>
      <c r="G325" s="23" t="s">
        <v>171</v>
      </c>
      <c r="H325" s="24" t="s">
        <v>9</v>
      </c>
      <c r="I325" s="24" t="s">
        <v>9</v>
      </c>
      <c r="J325" s="24" t="s">
        <v>30</v>
      </c>
      <c r="K325" s="24"/>
      <c r="L325" s="24" t="s">
        <v>98</v>
      </c>
    </row>
    <row r="326">
      <c r="A326" s="24">
        <f t="shared" si="1"/>
        <v>325</v>
      </c>
      <c r="B326" s="24" t="s">
        <v>223</v>
      </c>
      <c r="C326" s="338">
        <v>42579.0</v>
      </c>
      <c r="D326" s="24" t="str">
        <f t="shared" si="3"/>
        <v>Jul-2016</v>
      </c>
      <c r="E326" s="24" t="s">
        <v>20</v>
      </c>
      <c r="F326" s="24" t="s">
        <v>35</v>
      </c>
      <c r="G326" s="23" t="s">
        <v>92</v>
      </c>
      <c r="H326" s="24" t="s">
        <v>27</v>
      </c>
      <c r="I326" s="24" t="s">
        <v>9</v>
      </c>
      <c r="J326" s="24" t="s">
        <v>24</v>
      </c>
      <c r="K326" s="24" t="s">
        <v>24</v>
      </c>
      <c r="L326" s="24" t="s">
        <v>37</v>
      </c>
    </row>
    <row r="327">
      <c r="A327" s="24">
        <f t="shared" si="1"/>
        <v>326</v>
      </c>
      <c r="B327" s="24" t="s">
        <v>223</v>
      </c>
      <c r="C327" s="338">
        <v>42579.0</v>
      </c>
      <c r="D327" s="24" t="str">
        <f t="shared" si="3"/>
        <v>Jul-2016</v>
      </c>
      <c r="E327" s="24" t="s">
        <v>25</v>
      </c>
      <c r="F327" s="24" t="s">
        <v>35</v>
      </c>
      <c r="G327" s="23" t="s">
        <v>92</v>
      </c>
      <c r="H327" s="24" t="s">
        <v>27</v>
      </c>
      <c r="I327" s="24" t="s">
        <v>9</v>
      </c>
      <c r="J327" s="24" t="s">
        <v>24</v>
      </c>
      <c r="K327" s="24"/>
      <c r="L327" s="24" t="s">
        <v>29</v>
      </c>
    </row>
    <row r="328">
      <c r="A328" s="24">
        <f t="shared" si="1"/>
        <v>327</v>
      </c>
      <c r="B328" s="24" t="s">
        <v>223</v>
      </c>
      <c r="C328" s="338">
        <v>42579.0</v>
      </c>
      <c r="D328" s="24" t="str">
        <f t="shared" si="3"/>
        <v>Jul-2016</v>
      </c>
      <c r="E328" s="24" t="s">
        <v>20</v>
      </c>
      <c r="F328" s="24" t="s">
        <v>35</v>
      </c>
      <c r="G328" s="23" t="s">
        <v>224</v>
      </c>
      <c r="H328" s="24" t="s">
        <v>27</v>
      </c>
      <c r="I328" s="24" t="s">
        <v>9</v>
      </c>
      <c r="J328" s="24" t="s">
        <v>24</v>
      </c>
      <c r="K328" s="24" t="s">
        <v>30</v>
      </c>
      <c r="L328" s="24" t="s">
        <v>37</v>
      </c>
    </row>
    <row r="329">
      <c r="A329" s="24">
        <f t="shared" si="1"/>
        <v>328</v>
      </c>
      <c r="B329" s="24" t="s">
        <v>223</v>
      </c>
      <c r="C329" s="338">
        <v>42579.0</v>
      </c>
      <c r="D329" s="24" t="str">
        <f t="shared" si="3"/>
        <v>Jul-2016</v>
      </c>
      <c r="E329" s="24" t="s">
        <v>25</v>
      </c>
      <c r="F329" s="24" t="s">
        <v>35</v>
      </c>
      <c r="G329" s="23" t="s">
        <v>224</v>
      </c>
      <c r="H329" s="24" t="s">
        <v>27</v>
      </c>
      <c r="I329" s="24" t="s">
        <v>9</v>
      </c>
      <c r="J329" s="24" t="s">
        <v>30</v>
      </c>
      <c r="K329" s="24"/>
      <c r="L329" s="24" t="s">
        <v>29</v>
      </c>
    </row>
    <row r="330">
      <c r="A330" s="24">
        <f t="shared" si="1"/>
        <v>329</v>
      </c>
      <c r="B330" s="24" t="s">
        <v>223</v>
      </c>
      <c r="C330" s="338">
        <v>42579.0</v>
      </c>
      <c r="D330" s="24" t="str">
        <f t="shared" si="3"/>
        <v>Jul-2016</v>
      </c>
      <c r="E330" s="24" t="s">
        <v>32</v>
      </c>
      <c r="F330" s="24" t="s">
        <v>35</v>
      </c>
      <c r="G330" s="23" t="s">
        <v>224</v>
      </c>
      <c r="H330" s="24" t="s">
        <v>27</v>
      </c>
      <c r="I330" s="24" t="s">
        <v>9</v>
      </c>
      <c r="J330" s="24" t="s">
        <v>30</v>
      </c>
      <c r="K330" s="24"/>
      <c r="L330" s="24" t="s">
        <v>69</v>
      </c>
    </row>
    <row r="331">
      <c r="A331" s="24">
        <f t="shared" si="1"/>
        <v>330</v>
      </c>
      <c r="B331" s="24" t="s">
        <v>223</v>
      </c>
      <c r="C331" s="338">
        <v>42579.0</v>
      </c>
      <c r="D331" s="24" t="str">
        <f t="shared" si="3"/>
        <v>Jul-2016</v>
      </c>
      <c r="E331" s="24" t="s">
        <v>20</v>
      </c>
      <c r="F331" s="24" t="s">
        <v>35</v>
      </c>
      <c r="G331" s="23" t="s">
        <v>191</v>
      </c>
      <c r="H331" s="24" t="s">
        <v>86</v>
      </c>
      <c r="I331" s="24" t="s">
        <v>9</v>
      </c>
      <c r="J331" s="24" t="s">
        <v>30</v>
      </c>
      <c r="K331" s="24" t="s">
        <v>30</v>
      </c>
      <c r="L331" s="24" t="s">
        <v>99</v>
      </c>
    </row>
    <row r="332">
      <c r="A332" s="24">
        <f t="shared" si="1"/>
        <v>331</v>
      </c>
      <c r="B332" s="24" t="s">
        <v>223</v>
      </c>
      <c r="C332" s="338">
        <v>42579.0</v>
      </c>
      <c r="D332" s="24" t="str">
        <f t="shared" si="3"/>
        <v>Jul-2016</v>
      </c>
      <c r="E332" s="24" t="s">
        <v>25</v>
      </c>
      <c r="F332" s="24" t="s">
        <v>35</v>
      </c>
      <c r="G332" s="23" t="s">
        <v>191</v>
      </c>
      <c r="H332" s="24" t="s">
        <v>86</v>
      </c>
      <c r="I332" s="24" t="s">
        <v>9</v>
      </c>
      <c r="J332" s="24" t="s">
        <v>30</v>
      </c>
      <c r="K332" s="24"/>
      <c r="L332" s="24" t="s">
        <v>98</v>
      </c>
    </row>
    <row r="333">
      <c r="A333" s="24">
        <f t="shared" si="1"/>
        <v>332</v>
      </c>
      <c r="B333" s="24" t="s">
        <v>223</v>
      </c>
      <c r="C333" s="338">
        <v>42579.0</v>
      </c>
      <c r="D333" s="24" t="str">
        <f t="shared" si="3"/>
        <v>Jul-2016</v>
      </c>
      <c r="E333" s="24" t="s">
        <v>20</v>
      </c>
      <c r="F333" s="24" t="s">
        <v>35</v>
      </c>
      <c r="G333" s="23" t="s">
        <v>114</v>
      </c>
      <c r="H333" s="24" t="s">
        <v>9</v>
      </c>
      <c r="I333" s="24" t="s">
        <v>9</v>
      </c>
      <c r="J333" s="24" t="s">
        <v>24</v>
      </c>
      <c r="K333" s="24" t="s">
        <v>24</v>
      </c>
      <c r="L333" s="24" t="s">
        <v>98</v>
      </c>
    </row>
    <row r="334">
      <c r="A334" s="24">
        <f t="shared" si="1"/>
        <v>333</v>
      </c>
      <c r="B334" s="24" t="s">
        <v>223</v>
      </c>
      <c r="C334" s="338">
        <v>42579.0</v>
      </c>
      <c r="D334" s="24" t="str">
        <f t="shared" si="3"/>
        <v>Jul-2016</v>
      </c>
      <c r="E334" s="24" t="s">
        <v>25</v>
      </c>
      <c r="F334" s="24" t="s">
        <v>35</v>
      </c>
      <c r="G334" s="23" t="s">
        <v>114</v>
      </c>
      <c r="H334" s="24" t="s">
        <v>9</v>
      </c>
      <c r="I334" s="24" t="s">
        <v>9</v>
      </c>
      <c r="J334" s="24" t="s">
        <v>30</v>
      </c>
      <c r="K334" s="24"/>
      <c r="L334" s="24" t="s">
        <v>106</v>
      </c>
    </row>
    <row r="335">
      <c r="A335" s="24">
        <f t="shared" si="1"/>
        <v>334</v>
      </c>
      <c r="B335" s="24" t="s">
        <v>223</v>
      </c>
      <c r="C335" s="338">
        <v>42579.0</v>
      </c>
      <c r="D335" s="24" t="str">
        <f t="shared" si="3"/>
        <v>Jul-2016</v>
      </c>
      <c r="E335" s="24" t="s">
        <v>32</v>
      </c>
      <c r="F335" s="24" t="s">
        <v>35</v>
      </c>
      <c r="G335" s="23" t="s">
        <v>114</v>
      </c>
      <c r="H335" s="24" t="s">
        <v>9</v>
      </c>
      <c r="I335" s="24" t="s">
        <v>9</v>
      </c>
      <c r="J335" s="24" t="s">
        <v>24</v>
      </c>
      <c r="K335" s="24"/>
      <c r="L335" s="24" t="s">
        <v>69</v>
      </c>
    </row>
    <row r="336">
      <c r="A336" s="24">
        <f t="shared" si="1"/>
        <v>335</v>
      </c>
      <c r="B336" s="24" t="s">
        <v>225</v>
      </c>
      <c r="C336" s="338">
        <v>42580.0</v>
      </c>
      <c r="D336" s="24" t="str">
        <f t="shared" si="3"/>
        <v>Jul-2016</v>
      </c>
      <c r="E336" s="24" t="s">
        <v>20</v>
      </c>
      <c r="F336" s="24" t="s">
        <v>35</v>
      </c>
      <c r="G336" s="23" t="s">
        <v>226</v>
      </c>
      <c r="H336" s="24" t="s">
        <v>216</v>
      </c>
      <c r="I336" s="24" t="s">
        <v>9</v>
      </c>
      <c r="J336" s="24" t="s">
        <v>24</v>
      </c>
      <c r="K336" s="24" t="s">
        <v>24</v>
      </c>
      <c r="L336" s="24" t="s">
        <v>98</v>
      </c>
    </row>
    <row r="337">
      <c r="A337" s="24">
        <f t="shared" si="1"/>
        <v>336</v>
      </c>
      <c r="B337" s="24" t="s">
        <v>225</v>
      </c>
      <c r="C337" s="338">
        <v>42580.0</v>
      </c>
      <c r="D337" s="24" t="str">
        <f t="shared" si="3"/>
        <v>Jul-2016</v>
      </c>
      <c r="E337" s="24" t="s">
        <v>25</v>
      </c>
      <c r="F337" s="24" t="s">
        <v>35</v>
      </c>
      <c r="G337" s="23" t="s">
        <v>226</v>
      </c>
      <c r="H337" s="24" t="s">
        <v>216</v>
      </c>
      <c r="I337" s="24" t="s">
        <v>9</v>
      </c>
      <c r="J337" s="24" t="s">
        <v>24</v>
      </c>
      <c r="K337" s="24"/>
      <c r="L337" s="24" t="s">
        <v>106</v>
      </c>
    </row>
    <row r="338">
      <c r="A338" s="24">
        <f t="shared" si="1"/>
        <v>337</v>
      </c>
      <c r="B338" s="24" t="s">
        <v>225</v>
      </c>
      <c r="C338" s="338">
        <v>42580.0</v>
      </c>
      <c r="D338" s="24" t="str">
        <f t="shared" si="3"/>
        <v>Jul-2016</v>
      </c>
      <c r="E338" s="24" t="s">
        <v>20</v>
      </c>
      <c r="F338" s="24" t="s">
        <v>35</v>
      </c>
      <c r="G338" s="23" t="s">
        <v>103</v>
      </c>
      <c r="H338" s="24" t="s">
        <v>182</v>
      </c>
      <c r="I338" s="24" t="s">
        <v>9</v>
      </c>
      <c r="J338" s="24" t="s">
        <v>30</v>
      </c>
      <c r="K338" s="24" t="s">
        <v>30</v>
      </c>
      <c r="L338" s="24" t="s">
        <v>98</v>
      </c>
    </row>
    <row r="339">
      <c r="A339" s="24">
        <f t="shared" si="1"/>
        <v>338</v>
      </c>
      <c r="B339" s="24" t="s">
        <v>225</v>
      </c>
      <c r="C339" s="338">
        <v>42580.0</v>
      </c>
      <c r="D339" s="24" t="str">
        <f t="shared" si="3"/>
        <v>Jul-2016</v>
      </c>
      <c r="E339" s="24" t="s">
        <v>25</v>
      </c>
      <c r="F339" s="24" t="s">
        <v>35</v>
      </c>
      <c r="G339" s="23" t="s">
        <v>103</v>
      </c>
      <c r="H339" s="24" t="s">
        <v>71</v>
      </c>
      <c r="I339" s="24" t="s">
        <v>9</v>
      </c>
      <c r="J339" s="24" t="s">
        <v>24</v>
      </c>
      <c r="K339" s="24"/>
      <c r="L339" s="24" t="s">
        <v>99</v>
      </c>
    </row>
    <row r="340">
      <c r="A340" s="24">
        <f t="shared" si="1"/>
        <v>339</v>
      </c>
      <c r="B340" s="24" t="s">
        <v>225</v>
      </c>
      <c r="C340" s="338">
        <v>42580.0</v>
      </c>
      <c r="D340" s="24" t="str">
        <f t="shared" si="3"/>
        <v>Jul-2016</v>
      </c>
      <c r="E340" s="24" t="s">
        <v>32</v>
      </c>
      <c r="F340" s="24" t="s">
        <v>35</v>
      </c>
      <c r="G340" s="23" t="s">
        <v>103</v>
      </c>
      <c r="H340" s="24" t="s">
        <v>97</v>
      </c>
      <c r="I340" s="24" t="s">
        <v>9</v>
      </c>
      <c r="J340" s="24" t="s">
        <v>30</v>
      </c>
      <c r="K340" s="24"/>
      <c r="L340" s="24" t="s">
        <v>106</v>
      </c>
    </row>
    <row r="341">
      <c r="A341" s="24">
        <f t="shared" si="1"/>
        <v>340</v>
      </c>
      <c r="B341" s="24" t="s">
        <v>225</v>
      </c>
      <c r="C341" s="338">
        <v>42580.0</v>
      </c>
      <c r="D341" s="24" t="str">
        <f t="shared" si="3"/>
        <v>Jul-2016</v>
      </c>
      <c r="E341" s="24" t="s">
        <v>20</v>
      </c>
      <c r="F341" s="24" t="s">
        <v>35</v>
      </c>
      <c r="G341" s="23" t="s">
        <v>142</v>
      </c>
      <c r="H341" s="24" t="s">
        <v>44</v>
      </c>
      <c r="I341" s="24" t="s">
        <v>9</v>
      </c>
      <c r="J341" s="24" t="s">
        <v>24</v>
      </c>
      <c r="K341" s="24" t="s">
        <v>24</v>
      </c>
      <c r="L341" s="24" t="s">
        <v>37</v>
      </c>
    </row>
    <row r="342">
      <c r="A342" s="24">
        <f t="shared" si="1"/>
        <v>341</v>
      </c>
      <c r="B342" s="24" t="s">
        <v>225</v>
      </c>
      <c r="C342" s="338">
        <v>42580.0</v>
      </c>
      <c r="D342" s="24" t="str">
        <f t="shared" si="3"/>
        <v>Jul-2016</v>
      </c>
      <c r="E342" s="24" t="s">
        <v>25</v>
      </c>
      <c r="F342" s="24" t="s">
        <v>35</v>
      </c>
      <c r="G342" s="23" t="s">
        <v>142</v>
      </c>
      <c r="H342" s="24" t="s">
        <v>44</v>
      </c>
      <c r="I342" s="24" t="s">
        <v>9</v>
      </c>
      <c r="J342" s="24" t="s">
        <v>24</v>
      </c>
      <c r="K342" s="24"/>
      <c r="L342" s="24" t="s">
        <v>37</v>
      </c>
    </row>
    <row r="343">
      <c r="A343" s="24">
        <f t="shared" si="1"/>
        <v>342</v>
      </c>
      <c r="B343" s="24" t="s">
        <v>227</v>
      </c>
      <c r="C343" s="338">
        <v>42581.0</v>
      </c>
      <c r="D343" s="24" t="str">
        <f t="shared" si="3"/>
        <v>Jul-2016</v>
      </c>
      <c r="E343" s="24" t="s">
        <v>20</v>
      </c>
      <c r="F343" s="24" t="s">
        <v>35</v>
      </c>
      <c r="G343" s="23" t="s">
        <v>229</v>
      </c>
      <c r="H343" s="24" t="s">
        <v>71</v>
      </c>
      <c r="I343" s="24" t="s">
        <v>9</v>
      </c>
      <c r="J343" s="24" t="s">
        <v>24</v>
      </c>
      <c r="K343" s="24" t="s">
        <v>24</v>
      </c>
      <c r="L343" s="24" t="s">
        <v>98</v>
      </c>
    </row>
    <row r="344">
      <c r="A344" s="24">
        <f t="shared" si="1"/>
        <v>343</v>
      </c>
      <c r="B344" s="24" t="s">
        <v>227</v>
      </c>
      <c r="C344" s="338">
        <v>42581.0</v>
      </c>
      <c r="D344" s="24" t="str">
        <f t="shared" si="3"/>
        <v>Jul-2016</v>
      </c>
      <c r="E344" s="24" t="s">
        <v>25</v>
      </c>
      <c r="F344" s="24" t="s">
        <v>35</v>
      </c>
      <c r="G344" s="23" t="s">
        <v>229</v>
      </c>
      <c r="H344" s="24" t="s">
        <v>71</v>
      </c>
      <c r="I344" s="24" t="s">
        <v>9</v>
      </c>
      <c r="J344" s="24" t="s">
        <v>24</v>
      </c>
      <c r="K344" s="24"/>
      <c r="L344" s="24" t="s">
        <v>106</v>
      </c>
    </row>
    <row r="345">
      <c r="A345" s="24">
        <f t="shared" si="1"/>
        <v>344</v>
      </c>
      <c r="B345" s="24" t="s">
        <v>227</v>
      </c>
      <c r="C345" s="338">
        <v>42581.0</v>
      </c>
      <c r="D345" s="24" t="str">
        <f t="shared" si="3"/>
        <v>Jul-2016</v>
      </c>
      <c r="E345" s="24" t="s">
        <v>20</v>
      </c>
      <c r="F345" s="24" t="s">
        <v>35</v>
      </c>
      <c r="G345" s="23" t="s">
        <v>230</v>
      </c>
      <c r="H345" s="24" t="s">
        <v>86</v>
      </c>
      <c r="I345" s="24" t="s">
        <v>9</v>
      </c>
      <c r="J345" s="24" t="s">
        <v>30</v>
      </c>
      <c r="K345" s="24" t="s">
        <v>30</v>
      </c>
      <c r="L345" s="24" t="s">
        <v>29</v>
      </c>
    </row>
    <row r="346">
      <c r="A346" s="24">
        <f t="shared" si="1"/>
        <v>345</v>
      </c>
      <c r="B346" s="24" t="s">
        <v>227</v>
      </c>
      <c r="C346" s="338">
        <v>42581.0</v>
      </c>
      <c r="D346" s="24" t="str">
        <f t="shared" si="3"/>
        <v>Jul-2016</v>
      </c>
      <c r="E346" s="24" t="s">
        <v>25</v>
      </c>
      <c r="F346" s="24" t="s">
        <v>35</v>
      </c>
      <c r="G346" s="23" t="s">
        <v>230</v>
      </c>
      <c r="H346" s="24" t="s">
        <v>86</v>
      </c>
      <c r="I346" s="24" t="s">
        <v>9</v>
      </c>
      <c r="J346" s="24" t="s">
        <v>30</v>
      </c>
      <c r="K346" s="24"/>
      <c r="L346" s="24" t="s">
        <v>106</v>
      </c>
    </row>
    <row r="347">
      <c r="A347" s="24">
        <f t="shared" si="1"/>
        <v>346</v>
      </c>
      <c r="B347" s="24" t="s">
        <v>227</v>
      </c>
      <c r="C347" s="338">
        <v>42581.0</v>
      </c>
      <c r="D347" s="24" t="str">
        <f t="shared" si="3"/>
        <v>Jul-2016</v>
      </c>
      <c r="E347" s="24" t="s">
        <v>20</v>
      </c>
      <c r="F347" s="24" t="s">
        <v>35</v>
      </c>
      <c r="G347" s="23" t="s">
        <v>231</v>
      </c>
      <c r="H347" s="24" t="s">
        <v>86</v>
      </c>
      <c r="I347" s="24" t="s">
        <v>9</v>
      </c>
      <c r="J347" s="24" t="s">
        <v>24</v>
      </c>
      <c r="K347" s="24" t="s">
        <v>24</v>
      </c>
      <c r="L347" s="24" t="s">
        <v>69</v>
      </c>
    </row>
    <row r="348">
      <c r="A348" s="24">
        <f t="shared" si="1"/>
        <v>347</v>
      </c>
      <c r="B348" s="24" t="s">
        <v>227</v>
      </c>
      <c r="C348" s="338">
        <v>42581.0</v>
      </c>
      <c r="D348" s="24" t="str">
        <f t="shared" si="3"/>
        <v>Jul-2016</v>
      </c>
      <c r="E348" s="24" t="s">
        <v>25</v>
      </c>
      <c r="F348" s="24" t="s">
        <v>35</v>
      </c>
      <c r="G348" s="23" t="s">
        <v>231</v>
      </c>
      <c r="H348" s="24" t="s">
        <v>86</v>
      </c>
      <c r="I348" s="24" t="s">
        <v>9</v>
      </c>
      <c r="J348" s="24" t="s">
        <v>24</v>
      </c>
      <c r="K348" s="24"/>
      <c r="L348" s="24" t="s">
        <v>29</v>
      </c>
    </row>
    <row r="349">
      <c r="A349" s="24">
        <f t="shared" si="1"/>
        <v>348</v>
      </c>
      <c r="B349" s="24" t="s">
        <v>215</v>
      </c>
      <c r="C349" s="338">
        <v>42585.0</v>
      </c>
      <c r="D349" s="24" t="str">
        <f t="shared" si="3"/>
        <v>Aug-2016</v>
      </c>
      <c r="E349" s="24" t="s">
        <v>20</v>
      </c>
      <c r="F349" s="24" t="s">
        <v>35</v>
      </c>
      <c r="G349" s="23" t="s">
        <v>117</v>
      </c>
      <c r="H349" s="24" t="s">
        <v>44</v>
      </c>
      <c r="I349" s="24" t="s">
        <v>9</v>
      </c>
      <c r="J349" s="24" t="s">
        <v>24</v>
      </c>
      <c r="K349" s="24" t="s">
        <v>24</v>
      </c>
      <c r="L349" s="24" t="s">
        <v>69</v>
      </c>
    </row>
    <row r="350">
      <c r="A350" s="24">
        <f t="shared" si="1"/>
        <v>349</v>
      </c>
      <c r="B350" s="24" t="s">
        <v>215</v>
      </c>
      <c r="C350" s="338">
        <v>42585.0</v>
      </c>
      <c r="D350" s="24" t="str">
        <f t="shared" si="3"/>
        <v>Aug-2016</v>
      </c>
      <c r="E350" s="24" t="s">
        <v>25</v>
      </c>
      <c r="F350" s="24" t="s">
        <v>35</v>
      </c>
      <c r="G350" s="23" t="s">
        <v>117</v>
      </c>
      <c r="H350" s="24" t="s">
        <v>44</v>
      </c>
      <c r="I350" s="24" t="s">
        <v>9</v>
      </c>
      <c r="J350" s="24" t="s">
        <v>24</v>
      </c>
      <c r="K350" s="24"/>
      <c r="L350" s="24" t="s">
        <v>106</v>
      </c>
    </row>
    <row r="351">
      <c r="A351" s="24">
        <f t="shared" si="1"/>
        <v>350</v>
      </c>
      <c r="B351" s="24" t="s">
        <v>215</v>
      </c>
      <c r="C351" s="338">
        <v>42585.0</v>
      </c>
      <c r="D351" s="24" t="str">
        <f t="shared" si="3"/>
        <v>Aug-2016</v>
      </c>
      <c r="E351" s="24" t="s">
        <v>20</v>
      </c>
      <c r="F351" s="24" t="s">
        <v>35</v>
      </c>
      <c r="G351" s="23" t="s">
        <v>232</v>
      </c>
      <c r="H351" s="24" t="s">
        <v>27</v>
      </c>
      <c r="I351" s="24" t="s">
        <v>9</v>
      </c>
      <c r="J351" s="24" t="s">
        <v>24</v>
      </c>
      <c r="K351" s="24" t="s">
        <v>24</v>
      </c>
      <c r="L351" s="24" t="s">
        <v>29</v>
      </c>
    </row>
    <row r="352">
      <c r="A352" s="24">
        <f t="shared" si="1"/>
        <v>351</v>
      </c>
      <c r="B352" s="24" t="s">
        <v>215</v>
      </c>
      <c r="C352" s="338">
        <v>42585.0</v>
      </c>
      <c r="D352" s="24" t="str">
        <f t="shared" si="3"/>
        <v>Aug-2016</v>
      </c>
      <c r="E352" s="24" t="s">
        <v>25</v>
      </c>
      <c r="F352" s="24" t="s">
        <v>35</v>
      </c>
      <c r="G352" s="23" t="s">
        <v>232</v>
      </c>
      <c r="H352" s="24" t="s">
        <v>27</v>
      </c>
      <c r="I352" s="24" t="s">
        <v>9</v>
      </c>
      <c r="J352" s="24" t="s">
        <v>24</v>
      </c>
      <c r="K352" s="24"/>
      <c r="L352" s="24" t="s">
        <v>98</v>
      </c>
    </row>
    <row r="353">
      <c r="A353" s="24">
        <f t="shared" si="1"/>
        <v>352</v>
      </c>
      <c r="B353" s="24" t="s">
        <v>215</v>
      </c>
      <c r="C353" s="338">
        <v>42585.0</v>
      </c>
      <c r="D353" s="24" t="str">
        <f t="shared" si="3"/>
        <v>Aug-2016</v>
      </c>
      <c r="E353" s="24" t="s">
        <v>20</v>
      </c>
      <c r="F353" s="24" t="s">
        <v>129</v>
      </c>
      <c r="G353" s="23" t="s">
        <v>233</v>
      </c>
      <c r="H353" s="24" t="s">
        <v>27</v>
      </c>
      <c r="I353" s="24" t="s">
        <v>9</v>
      </c>
      <c r="J353" s="24" t="s">
        <v>30</v>
      </c>
      <c r="K353" s="24" t="s">
        <v>30</v>
      </c>
      <c r="L353" s="24" t="s">
        <v>98</v>
      </c>
    </row>
    <row r="354">
      <c r="A354" s="24">
        <f t="shared" si="1"/>
        <v>353</v>
      </c>
      <c r="B354" s="24" t="s">
        <v>215</v>
      </c>
      <c r="C354" s="338">
        <v>42585.0</v>
      </c>
      <c r="D354" s="24" t="str">
        <f t="shared" si="3"/>
        <v>Aug-2016</v>
      </c>
      <c r="E354" s="24" t="s">
        <v>25</v>
      </c>
      <c r="F354" s="24" t="s">
        <v>129</v>
      </c>
      <c r="G354" s="23" t="s">
        <v>233</v>
      </c>
      <c r="H354" s="24" t="s">
        <v>27</v>
      </c>
      <c r="I354" s="24" t="s">
        <v>9</v>
      </c>
      <c r="J354" s="24" t="s">
        <v>24</v>
      </c>
      <c r="K354" s="24"/>
      <c r="L354" s="24" t="s">
        <v>106</v>
      </c>
    </row>
    <row r="355">
      <c r="A355" s="24">
        <f t="shared" si="1"/>
        <v>354</v>
      </c>
      <c r="B355" s="24" t="s">
        <v>215</v>
      </c>
      <c r="C355" s="338">
        <v>42585.0</v>
      </c>
      <c r="D355" s="24" t="str">
        <f t="shared" si="3"/>
        <v>Aug-2016</v>
      </c>
      <c r="E355" s="24" t="s">
        <v>32</v>
      </c>
      <c r="F355" s="24" t="s">
        <v>129</v>
      </c>
      <c r="G355" s="23" t="s">
        <v>233</v>
      </c>
      <c r="H355" s="24" t="s">
        <v>27</v>
      </c>
      <c r="I355" s="24" t="s">
        <v>9</v>
      </c>
      <c r="J355" s="24" t="s">
        <v>30</v>
      </c>
      <c r="K355" s="24"/>
      <c r="L355" s="24" t="s">
        <v>29</v>
      </c>
    </row>
    <row r="356">
      <c r="A356" s="24">
        <f t="shared" si="1"/>
        <v>355</v>
      </c>
      <c r="B356" s="24" t="s">
        <v>215</v>
      </c>
      <c r="C356" s="338">
        <v>42585.0</v>
      </c>
      <c r="D356" s="24" t="str">
        <f t="shared" si="3"/>
        <v>Aug-2016</v>
      </c>
      <c r="E356" s="24" t="s">
        <v>20</v>
      </c>
      <c r="F356" s="24" t="s">
        <v>129</v>
      </c>
      <c r="G356" s="23" t="s">
        <v>234</v>
      </c>
      <c r="H356" s="24" t="s">
        <v>97</v>
      </c>
      <c r="I356" s="24" t="s">
        <v>9</v>
      </c>
      <c r="J356" s="24" t="s">
        <v>30</v>
      </c>
      <c r="K356" s="24" t="s">
        <v>30</v>
      </c>
      <c r="L356" s="24" t="s">
        <v>98</v>
      </c>
    </row>
    <row r="357">
      <c r="A357" s="24">
        <f t="shared" si="1"/>
        <v>356</v>
      </c>
      <c r="B357" s="24" t="s">
        <v>215</v>
      </c>
      <c r="C357" s="338">
        <v>42585.0</v>
      </c>
      <c r="D357" s="24" t="str">
        <f t="shared" si="3"/>
        <v>Aug-2016</v>
      </c>
      <c r="E357" s="24" t="s">
        <v>25</v>
      </c>
      <c r="F357" s="24" t="s">
        <v>129</v>
      </c>
      <c r="G357" s="23" t="s">
        <v>234</v>
      </c>
      <c r="H357" s="24" t="s">
        <v>97</v>
      </c>
      <c r="I357" s="24" t="s">
        <v>9</v>
      </c>
      <c r="J357" s="24" t="s">
        <v>30</v>
      </c>
      <c r="K357" s="24"/>
      <c r="L357" s="24" t="s">
        <v>37</v>
      </c>
    </row>
    <row r="358">
      <c r="A358" s="24">
        <f t="shared" si="1"/>
        <v>357</v>
      </c>
      <c r="B358" s="24" t="s">
        <v>215</v>
      </c>
      <c r="C358" s="338">
        <v>42585.0</v>
      </c>
      <c r="D358" s="24" t="str">
        <f t="shared" si="3"/>
        <v>Aug-2016</v>
      </c>
      <c r="E358" s="24" t="s">
        <v>20</v>
      </c>
      <c r="F358" s="24" t="s">
        <v>129</v>
      </c>
      <c r="G358" s="23" t="s">
        <v>114</v>
      </c>
      <c r="H358" s="24" t="s">
        <v>9</v>
      </c>
      <c r="I358" s="24" t="s">
        <v>9</v>
      </c>
      <c r="J358" s="24" t="s">
        <v>24</v>
      </c>
      <c r="K358" s="24" t="s">
        <v>24</v>
      </c>
      <c r="L358" s="24" t="s">
        <v>98</v>
      </c>
    </row>
    <row r="359">
      <c r="A359" s="24">
        <f t="shared" si="1"/>
        <v>358</v>
      </c>
      <c r="B359" s="24" t="s">
        <v>215</v>
      </c>
      <c r="C359" s="338">
        <v>42585.0</v>
      </c>
      <c r="D359" s="24" t="str">
        <f t="shared" si="3"/>
        <v>Aug-2016</v>
      </c>
      <c r="E359" s="24" t="s">
        <v>25</v>
      </c>
      <c r="F359" s="24" t="s">
        <v>129</v>
      </c>
      <c r="G359" s="23" t="s">
        <v>114</v>
      </c>
      <c r="H359" s="24" t="s">
        <v>9</v>
      </c>
      <c r="I359" s="24" t="s">
        <v>9</v>
      </c>
      <c r="J359" s="24" t="s">
        <v>24</v>
      </c>
      <c r="K359" s="24"/>
      <c r="L359" s="24" t="s">
        <v>106</v>
      </c>
    </row>
    <row r="360">
      <c r="A360" s="24">
        <f t="shared" si="1"/>
        <v>359</v>
      </c>
      <c r="B360" s="24" t="s">
        <v>215</v>
      </c>
      <c r="C360" s="338">
        <v>42585.0</v>
      </c>
      <c r="D360" s="24" t="str">
        <f t="shared" si="3"/>
        <v>Aug-2016</v>
      </c>
      <c r="E360" s="24" t="s">
        <v>20</v>
      </c>
      <c r="F360" s="24" t="s">
        <v>235</v>
      </c>
      <c r="G360" s="23" t="s">
        <v>236</v>
      </c>
      <c r="H360" s="24" t="s">
        <v>44</v>
      </c>
      <c r="I360" s="24" t="s">
        <v>9</v>
      </c>
      <c r="J360" s="24" t="s">
        <v>30</v>
      </c>
      <c r="K360" s="24" t="s">
        <v>30</v>
      </c>
      <c r="L360" s="24" t="s">
        <v>69</v>
      </c>
    </row>
    <row r="361">
      <c r="A361" s="24">
        <f t="shared" si="1"/>
        <v>360</v>
      </c>
      <c r="B361" s="24" t="s">
        <v>215</v>
      </c>
      <c r="C361" s="338">
        <v>42585.0</v>
      </c>
      <c r="D361" s="24" t="str">
        <f t="shared" si="3"/>
        <v>Aug-2016</v>
      </c>
      <c r="E361" s="24" t="s">
        <v>25</v>
      </c>
      <c r="F361" s="24" t="s">
        <v>235</v>
      </c>
      <c r="G361" s="23" t="s">
        <v>236</v>
      </c>
      <c r="H361" s="24" t="s">
        <v>44</v>
      </c>
      <c r="I361" s="24" t="s">
        <v>9</v>
      </c>
      <c r="J361" s="24" t="s">
        <v>30</v>
      </c>
      <c r="K361" s="24"/>
      <c r="L361" s="24" t="s">
        <v>69</v>
      </c>
    </row>
    <row r="362">
      <c r="A362" s="24">
        <f t="shared" si="1"/>
        <v>361</v>
      </c>
      <c r="B362" s="24" t="s">
        <v>237</v>
      </c>
      <c r="C362" s="338">
        <v>42586.0</v>
      </c>
      <c r="D362" s="24" t="str">
        <f t="shared" si="3"/>
        <v>Aug-2016</v>
      </c>
      <c r="E362" s="24" t="s">
        <v>20</v>
      </c>
      <c r="F362" s="24" t="s">
        <v>35</v>
      </c>
      <c r="G362" s="23" t="s">
        <v>238</v>
      </c>
      <c r="H362" s="24" t="s">
        <v>216</v>
      </c>
      <c r="I362" s="24" t="s">
        <v>9</v>
      </c>
      <c r="J362" s="24" t="s">
        <v>30</v>
      </c>
      <c r="K362" s="24" t="s">
        <v>30</v>
      </c>
      <c r="L362" s="24" t="s">
        <v>98</v>
      </c>
    </row>
    <row r="363">
      <c r="A363" s="24">
        <f t="shared" si="1"/>
        <v>362</v>
      </c>
      <c r="B363" s="24" t="s">
        <v>237</v>
      </c>
      <c r="C363" s="338">
        <v>42586.0</v>
      </c>
      <c r="D363" s="24" t="str">
        <f t="shared" si="3"/>
        <v>Aug-2016</v>
      </c>
      <c r="E363" s="24" t="s">
        <v>25</v>
      </c>
      <c r="F363" s="24" t="s">
        <v>35</v>
      </c>
      <c r="G363" s="23" t="s">
        <v>238</v>
      </c>
      <c r="H363" s="24" t="s">
        <v>216</v>
      </c>
      <c r="I363" s="24" t="s">
        <v>9</v>
      </c>
      <c r="J363" s="24" t="s">
        <v>30</v>
      </c>
      <c r="K363" s="24"/>
      <c r="L363" s="24" t="s">
        <v>37</v>
      </c>
    </row>
    <row r="364">
      <c r="A364" s="24">
        <f t="shared" si="1"/>
        <v>363</v>
      </c>
      <c r="B364" s="24" t="s">
        <v>237</v>
      </c>
      <c r="C364" s="338">
        <v>42586.0</v>
      </c>
      <c r="D364" s="24" t="str">
        <f t="shared" si="3"/>
        <v>Aug-2016</v>
      </c>
      <c r="E364" s="24" t="s">
        <v>20</v>
      </c>
      <c r="F364" s="24" t="s">
        <v>35</v>
      </c>
      <c r="G364" s="23" t="s">
        <v>239</v>
      </c>
      <c r="H364" s="24" t="s">
        <v>27</v>
      </c>
      <c r="I364" s="24" t="s">
        <v>9</v>
      </c>
      <c r="J364" s="24" t="s">
        <v>24</v>
      </c>
      <c r="K364" s="24" t="s">
        <v>24</v>
      </c>
      <c r="L364" s="24" t="s">
        <v>69</v>
      </c>
    </row>
    <row r="365">
      <c r="A365" s="24">
        <f t="shared" si="1"/>
        <v>364</v>
      </c>
      <c r="B365" s="24" t="s">
        <v>237</v>
      </c>
      <c r="C365" s="338">
        <v>42586.0</v>
      </c>
      <c r="D365" s="24" t="str">
        <f t="shared" si="3"/>
        <v>Aug-2016</v>
      </c>
      <c r="E365" s="24" t="s">
        <v>25</v>
      </c>
      <c r="F365" s="24" t="s">
        <v>35</v>
      </c>
      <c r="G365" s="23" t="s">
        <v>239</v>
      </c>
      <c r="H365" s="24" t="s">
        <v>27</v>
      </c>
      <c r="I365" s="24" t="s">
        <v>9</v>
      </c>
      <c r="J365" s="24" t="s">
        <v>24</v>
      </c>
      <c r="K365" s="24"/>
      <c r="L365" s="24" t="s">
        <v>106</v>
      </c>
    </row>
    <row r="366">
      <c r="A366" s="24">
        <f t="shared" si="1"/>
        <v>365</v>
      </c>
      <c r="B366" s="24" t="s">
        <v>237</v>
      </c>
      <c r="C366" s="338">
        <v>42586.0</v>
      </c>
      <c r="D366" s="24" t="str">
        <f t="shared" si="3"/>
        <v>Aug-2016</v>
      </c>
      <c r="E366" s="24" t="s">
        <v>20</v>
      </c>
      <c r="F366" s="24" t="s">
        <v>35</v>
      </c>
      <c r="G366" s="23" t="s">
        <v>171</v>
      </c>
      <c r="H366" s="24" t="s">
        <v>9</v>
      </c>
      <c r="I366" s="24" t="s">
        <v>9</v>
      </c>
      <c r="J366" s="24" t="s">
        <v>30</v>
      </c>
      <c r="K366" s="24" t="s">
        <v>30</v>
      </c>
      <c r="L366" s="24" t="s">
        <v>98</v>
      </c>
    </row>
    <row r="367">
      <c r="A367" s="24">
        <f t="shared" si="1"/>
        <v>366</v>
      </c>
      <c r="B367" s="24" t="s">
        <v>237</v>
      </c>
      <c r="C367" s="338">
        <v>42586.0</v>
      </c>
      <c r="D367" s="24" t="str">
        <f t="shared" si="3"/>
        <v>Aug-2016</v>
      </c>
      <c r="E367" s="24" t="s">
        <v>25</v>
      </c>
      <c r="F367" s="24" t="s">
        <v>35</v>
      </c>
      <c r="G367" s="23" t="s">
        <v>171</v>
      </c>
      <c r="H367" s="24" t="s">
        <v>9</v>
      </c>
      <c r="I367" s="24" t="s">
        <v>9</v>
      </c>
      <c r="J367" s="24" t="s">
        <v>30</v>
      </c>
      <c r="K367" s="24"/>
      <c r="L367" s="24" t="s">
        <v>69</v>
      </c>
    </row>
    <row r="368">
      <c r="A368" s="24">
        <f t="shared" si="1"/>
        <v>367</v>
      </c>
      <c r="B368" s="24" t="s">
        <v>237</v>
      </c>
      <c r="C368" s="338">
        <v>42586.0</v>
      </c>
      <c r="D368" s="24" t="str">
        <f t="shared" si="3"/>
        <v>Aug-2016</v>
      </c>
      <c r="E368" s="24" t="s">
        <v>20</v>
      </c>
      <c r="F368" s="24" t="s">
        <v>35</v>
      </c>
      <c r="G368" s="23" t="s">
        <v>114</v>
      </c>
      <c r="H368" s="24" t="s">
        <v>9</v>
      </c>
      <c r="I368" s="24" t="s">
        <v>9</v>
      </c>
      <c r="J368" s="24" t="s">
        <v>30</v>
      </c>
      <c r="K368" s="24" t="s">
        <v>30</v>
      </c>
      <c r="L368" s="24" t="s">
        <v>69</v>
      </c>
    </row>
    <row r="369">
      <c r="A369" s="24">
        <f t="shared" si="1"/>
        <v>368</v>
      </c>
      <c r="B369" s="24" t="s">
        <v>237</v>
      </c>
      <c r="C369" s="338">
        <v>42586.0</v>
      </c>
      <c r="D369" s="24" t="str">
        <f t="shared" si="3"/>
        <v>Aug-2016</v>
      </c>
      <c r="E369" s="24" t="s">
        <v>25</v>
      </c>
      <c r="F369" s="24" t="s">
        <v>35</v>
      </c>
      <c r="G369" s="23" t="s">
        <v>114</v>
      </c>
      <c r="H369" s="24" t="s">
        <v>9</v>
      </c>
      <c r="I369" s="24" t="s">
        <v>9</v>
      </c>
      <c r="J369" s="24" t="s">
        <v>30</v>
      </c>
      <c r="K369" s="24"/>
      <c r="L369" s="24" t="s">
        <v>98</v>
      </c>
    </row>
    <row r="370">
      <c r="A370" s="24">
        <f t="shared" si="1"/>
        <v>369</v>
      </c>
      <c r="B370" s="24" t="s">
        <v>237</v>
      </c>
      <c r="C370" s="338">
        <v>42586.0</v>
      </c>
      <c r="D370" s="24" t="str">
        <f t="shared" si="3"/>
        <v>Aug-2016</v>
      </c>
      <c r="E370" s="24" t="s">
        <v>20</v>
      </c>
      <c r="F370" s="24" t="s">
        <v>35</v>
      </c>
      <c r="G370" s="23" t="s">
        <v>101</v>
      </c>
      <c r="H370" s="24" t="s">
        <v>102</v>
      </c>
      <c r="I370" s="24" t="s">
        <v>9</v>
      </c>
      <c r="J370" s="24" t="s">
        <v>24</v>
      </c>
      <c r="K370" s="24" t="s">
        <v>24</v>
      </c>
      <c r="L370" s="24" t="s">
        <v>99</v>
      </c>
    </row>
    <row r="371">
      <c r="A371" s="24">
        <f t="shared" si="1"/>
        <v>370</v>
      </c>
      <c r="B371" s="24" t="s">
        <v>237</v>
      </c>
      <c r="C371" s="338">
        <v>42586.0</v>
      </c>
      <c r="D371" s="24" t="str">
        <f t="shared" si="3"/>
        <v>Aug-2016</v>
      </c>
      <c r="E371" s="24" t="s">
        <v>25</v>
      </c>
      <c r="F371" s="24" t="s">
        <v>35</v>
      </c>
      <c r="G371" s="23" t="s">
        <v>101</v>
      </c>
      <c r="H371" s="24" t="s">
        <v>102</v>
      </c>
      <c r="I371" s="24" t="s">
        <v>9</v>
      </c>
      <c r="J371" s="24" t="s">
        <v>24</v>
      </c>
      <c r="K371" s="24"/>
      <c r="L371" s="24" t="s">
        <v>98</v>
      </c>
    </row>
    <row r="372">
      <c r="A372" s="24">
        <f t="shared" si="1"/>
        <v>371</v>
      </c>
      <c r="B372" s="24" t="s">
        <v>240</v>
      </c>
      <c r="C372" s="338">
        <v>42592.0</v>
      </c>
      <c r="D372" s="24" t="str">
        <f t="shared" si="3"/>
        <v>Aug-2016</v>
      </c>
      <c r="E372" s="24" t="s">
        <v>20</v>
      </c>
      <c r="F372" s="24" t="s">
        <v>35</v>
      </c>
      <c r="G372" s="23" t="s">
        <v>133</v>
      </c>
      <c r="H372" s="24" t="s">
        <v>23</v>
      </c>
      <c r="I372" s="24" t="s">
        <v>9</v>
      </c>
      <c r="J372" s="24" t="s">
        <v>24</v>
      </c>
      <c r="K372" s="24" t="s">
        <v>24</v>
      </c>
      <c r="L372" s="24" t="s">
        <v>98</v>
      </c>
    </row>
    <row r="373">
      <c r="A373" s="24">
        <f t="shared" si="1"/>
        <v>372</v>
      </c>
      <c r="B373" s="24" t="s">
        <v>240</v>
      </c>
      <c r="C373" s="338">
        <v>42592.0</v>
      </c>
      <c r="D373" s="24" t="str">
        <f t="shared" si="3"/>
        <v>Aug-2016</v>
      </c>
      <c r="E373" s="24" t="s">
        <v>25</v>
      </c>
      <c r="F373" s="24" t="s">
        <v>35</v>
      </c>
      <c r="G373" s="23" t="s">
        <v>133</v>
      </c>
      <c r="H373" s="24" t="s">
        <v>23</v>
      </c>
      <c r="I373" s="24" t="s">
        <v>9</v>
      </c>
      <c r="J373" s="24" t="s">
        <v>24</v>
      </c>
      <c r="K373" s="24"/>
      <c r="L373" s="24" t="s">
        <v>29</v>
      </c>
    </row>
    <row r="374">
      <c r="A374" s="24">
        <f t="shared" si="1"/>
        <v>373</v>
      </c>
      <c r="B374" s="24" t="s">
        <v>240</v>
      </c>
      <c r="C374" s="338">
        <v>42592.0</v>
      </c>
      <c r="D374" s="24" t="str">
        <f t="shared" si="3"/>
        <v>Aug-2016</v>
      </c>
      <c r="E374" s="24" t="s">
        <v>20</v>
      </c>
      <c r="F374" s="24" t="s">
        <v>35</v>
      </c>
      <c r="G374" s="23" t="s">
        <v>232</v>
      </c>
      <c r="H374" s="24" t="s">
        <v>27</v>
      </c>
      <c r="I374" s="24" t="s">
        <v>9</v>
      </c>
      <c r="J374" s="24" t="s">
        <v>24</v>
      </c>
      <c r="K374" s="24" t="s">
        <v>24</v>
      </c>
      <c r="L374" s="24" t="s">
        <v>29</v>
      </c>
    </row>
    <row r="375">
      <c r="A375" s="24">
        <f t="shared" si="1"/>
        <v>374</v>
      </c>
      <c r="B375" s="24" t="s">
        <v>240</v>
      </c>
      <c r="C375" s="338">
        <v>42592.0</v>
      </c>
      <c r="D375" s="24" t="str">
        <f t="shared" si="3"/>
        <v>Aug-2016</v>
      </c>
      <c r="E375" s="24" t="s">
        <v>25</v>
      </c>
      <c r="F375" s="24" t="s">
        <v>35</v>
      </c>
      <c r="G375" s="23" t="s">
        <v>232</v>
      </c>
      <c r="H375" s="24" t="s">
        <v>27</v>
      </c>
      <c r="I375" s="24" t="s">
        <v>9</v>
      </c>
      <c r="J375" s="24" t="s">
        <v>24</v>
      </c>
      <c r="K375" s="24"/>
      <c r="L375" s="24" t="s">
        <v>98</v>
      </c>
    </row>
    <row r="376">
      <c r="A376" s="24">
        <f t="shared" si="1"/>
        <v>375</v>
      </c>
      <c r="B376" s="24" t="s">
        <v>240</v>
      </c>
      <c r="C376" s="338">
        <v>42592.0</v>
      </c>
      <c r="D376" s="24" t="str">
        <f t="shared" si="3"/>
        <v>Aug-2016</v>
      </c>
      <c r="E376" s="24" t="s">
        <v>20</v>
      </c>
      <c r="F376" s="24" t="s">
        <v>129</v>
      </c>
      <c r="G376" s="23" t="s">
        <v>186</v>
      </c>
      <c r="H376" s="24" t="s">
        <v>102</v>
      </c>
      <c r="I376" s="24" t="s">
        <v>9</v>
      </c>
      <c r="J376" s="24" t="s">
        <v>30</v>
      </c>
      <c r="K376" s="24" t="s">
        <v>30</v>
      </c>
      <c r="L376" s="24" t="s">
        <v>69</v>
      </c>
    </row>
    <row r="377">
      <c r="A377" s="24">
        <f t="shared" si="1"/>
        <v>376</v>
      </c>
      <c r="B377" s="24" t="s">
        <v>240</v>
      </c>
      <c r="C377" s="338">
        <v>42592.0</v>
      </c>
      <c r="D377" s="24" t="str">
        <f t="shared" si="3"/>
        <v>Aug-2016</v>
      </c>
      <c r="E377" s="24" t="s">
        <v>25</v>
      </c>
      <c r="F377" s="24" t="s">
        <v>129</v>
      </c>
      <c r="G377" s="23" t="s">
        <v>186</v>
      </c>
      <c r="H377" s="24" t="s">
        <v>102</v>
      </c>
      <c r="I377" s="24" t="s">
        <v>9</v>
      </c>
      <c r="J377" s="24" t="s">
        <v>30</v>
      </c>
      <c r="K377" s="24"/>
      <c r="L377" s="24" t="s">
        <v>69</v>
      </c>
    </row>
    <row r="378">
      <c r="A378" s="24">
        <f t="shared" si="1"/>
        <v>377</v>
      </c>
      <c r="B378" s="24" t="s">
        <v>240</v>
      </c>
      <c r="C378" s="338">
        <v>42592.0</v>
      </c>
      <c r="D378" s="24" t="str">
        <f t="shared" si="3"/>
        <v>Aug-2016</v>
      </c>
      <c r="E378" s="24" t="s">
        <v>20</v>
      </c>
      <c r="F378" s="24" t="s">
        <v>129</v>
      </c>
      <c r="G378" s="23" t="s">
        <v>241</v>
      </c>
      <c r="H378" s="24" t="s">
        <v>27</v>
      </c>
      <c r="I378" s="24" t="s">
        <v>9</v>
      </c>
      <c r="J378" s="24" t="s">
        <v>24</v>
      </c>
      <c r="K378" s="24" t="s">
        <v>24</v>
      </c>
      <c r="L378" s="24" t="s">
        <v>98</v>
      </c>
    </row>
    <row r="379">
      <c r="A379" s="24">
        <f t="shared" si="1"/>
        <v>378</v>
      </c>
      <c r="B379" s="24" t="s">
        <v>240</v>
      </c>
      <c r="C379" s="338">
        <v>42592.0</v>
      </c>
      <c r="D379" s="24" t="str">
        <f t="shared" si="3"/>
        <v>Aug-2016</v>
      </c>
      <c r="E379" s="24" t="s">
        <v>25</v>
      </c>
      <c r="F379" s="24" t="s">
        <v>129</v>
      </c>
      <c r="G379" s="23" t="s">
        <v>241</v>
      </c>
      <c r="H379" s="24" t="s">
        <v>27</v>
      </c>
      <c r="I379" s="24" t="s">
        <v>9</v>
      </c>
      <c r="J379" s="24" t="s">
        <v>24</v>
      </c>
      <c r="K379" s="24"/>
      <c r="L379" s="24" t="s">
        <v>106</v>
      </c>
    </row>
    <row r="380">
      <c r="A380" s="24">
        <f t="shared" si="1"/>
        <v>379</v>
      </c>
      <c r="B380" s="24" t="s">
        <v>242</v>
      </c>
      <c r="C380" s="338">
        <v>42593.0</v>
      </c>
      <c r="D380" s="24" t="str">
        <f t="shared" si="3"/>
        <v>Aug-2016</v>
      </c>
      <c r="E380" s="24" t="s">
        <v>20</v>
      </c>
      <c r="F380" s="24" t="s">
        <v>35</v>
      </c>
      <c r="G380" s="23" t="s">
        <v>243</v>
      </c>
      <c r="H380" s="24" t="s">
        <v>48</v>
      </c>
      <c r="I380" s="24" t="s">
        <v>9</v>
      </c>
      <c r="J380" s="24" t="s">
        <v>30</v>
      </c>
      <c r="K380" s="24" t="s">
        <v>24</v>
      </c>
      <c r="L380" s="24" t="s">
        <v>98</v>
      </c>
    </row>
    <row r="381">
      <c r="A381" s="24">
        <f t="shared" si="1"/>
        <v>380</v>
      </c>
      <c r="B381" s="24" t="s">
        <v>242</v>
      </c>
      <c r="C381" s="338">
        <v>42593.0</v>
      </c>
      <c r="D381" s="24" t="str">
        <f t="shared" si="3"/>
        <v>Aug-2016</v>
      </c>
      <c r="E381" s="24" t="s">
        <v>25</v>
      </c>
      <c r="F381" s="24" t="s">
        <v>35</v>
      </c>
      <c r="G381" s="23" t="s">
        <v>243</v>
      </c>
      <c r="H381" s="24" t="s">
        <v>48</v>
      </c>
      <c r="I381" s="24" t="s">
        <v>9</v>
      </c>
      <c r="J381" s="24" t="s">
        <v>24</v>
      </c>
      <c r="K381" s="24"/>
      <c r="L381" s="24" t="s">
        <v>99</v>
      </c>
    </row>
    <row r="382">
      <c r="A382" s="24">
        <f t="shared" si="1"/>
        <v>381</v>
      </c>
      <c r="B382" s="24" t="s">
        <v>242</v>
      </c>
      <c r="C382" s="338">
        <v>42593.0</v>
      </c>
      <c r="D382" s="24" t="str">
        <f t="shared" si="3"/>
        <v>Aug-2016</v>
      </c>
      <c r="E382" s="24" t="s">
        <v>32</v>
      </c>
      <c r="F382" s="24" t="s">
        <v>35</v>
      </c>
      <c r="G382" s="23" t="s">
        <v>243</v>
      </c>
      <c r="H382" s="24" t="s">
        <v>48</v>
      </c>
      <c r="I382" s="24" t="s">
        <v>9</v>
      </c>
      <c r="J382" s="24" t="s">
        <v>24</v>
      </c>
      <c r="K382" s="24"/>
      <c r="L382" s="24" t="s">
        <v>106</v>
      </c>
    </row>
    <row r="383">
      <c r="A383" s="24">
        <f t="shared" si="1"/>
        <v>382</v>
      </c>
      <c r="B383" s="24" t="s">
        <v>242</v>
      </c>
      <c r="C383" s="338">
        <v>42593.0</v>
      </c>
      <c r="D383" s="24" t="str">
        <f t="shared" si="3"/>
        <v>Aug-2016</v>
      </c>
      <c r="E383" s="24" t="s">
        <v>20</v>
      </c>
      <c r="F383" s="24" t="s">
        <v>35</v>
      </c>
      <c r="G383" s="23" t="s">
        <v>244</v>
      </c>
      <c r="H383" s="24" t="s">
        <v>23</v>
      </c>
      <c r="I383" s="24" t="s">
        <v>9</v>
      </c>
      <c r="J383" s="24" t="s">
        <v>30</v>
      </c>
      <c r="K383" s="24" t="s">
        <v>30</v>
      </c>
      <c r="L383" s="24" t="s">
        <v>98</v>
      </c>
    </row>
    <row r="384">
      <c r="A384" s="24">
        <f t="shared" si="1"/>
        <v>383</v>
      </c>
      <c r="B384" s="24" t="s">
        <v>242</v>
      </c>
      <c r="C384" s="338">
        <v>42593.0</v>
      </c>
      <c r="D384" s="24" t="str">
        <f t="shared" si="3"/>
        <v>Aug-2016</v>
      </c>
      <c r="E384" s="24" t="s">
        <v>25</v>
      </c>
      <c r="F384" s="24" t="s">
        <v>35</v>
      </c>
      <c r="G384" s="23" t="s">
        <v>244</v>
      </c>
      <c r="H384" s="24" t="s">
        <v>182</v>
      </c>
      <c r="I384" s="24" t="s">
        <v>9</v>
      </c>
      <c r="J384" s="24" t="s">
        <v>30</v>
      </c>
      <c r="K384" s="24"/>
      <c r="L384" s="24" t="s">
        <v>69</v>
      </c>
    </row>
    <row r="385">
      <c r="A385" s="24">
        <f t="shared" si="1"/>
        <v>384</v>
      </c>
      <c r="B385" s="24" t="s">
        <v>242</v>
      </c>
      <c r="C385" s="338">
        <v>42593.0</v>
      </c>
      <c r="D385" s="24" t="str">
        <f t="shared" si="3"/>
        <v>Aug-2016</v>
      </c>
      <c r="E385" s="24" t="s">
        <v>20</v>
      </c>
      <c r="F385" s="24" t="s">
        <v>35</v>
      </c>
      <c r="G385" s="23" t="s">
        <v>100</v>
      </c>
      <c r="H385" s="24" t="s">
        <v>9</v>
      </c>
      <c r="I385" s="24" t="s">
        <v>9</v>
      </c>
      <c r="J385" s="24" t="s">
        <v>30</v>
      </c>
      <c r="K385" s="24" t="s">
        <v>30</v>
      </c>
      <c r="L385" s="24" t="s">
        <v>98</v>
      </c>
    </row>
    <row r="386">
      <c r="A386" s="24">
        <f t="shared" si="1"/>
        <v>385</v>
      </c>
      <c r="B386" s="24" t="s">
        <v>242</v>
      </c>
      <c r="C386" s="338">
        <v>42593.0</v>
      </c>
      <c r="D386" s="24" t="str">
        <f t="shared" si="3"/>
        <v>Aug-2016</v>
      </c>
      <c r="E386" s="24" t="s">
        <v>25</v>
      </c>
      <c r="F386" s="24" t="s">
        <v>35</v>
      </c>
      <c r="G386" s="23" t="s">
        <v>100</v>
      </c>
      <c r="H386" s="24" t="s">
        <v>9</v>
      </c>
      <c r="I386" s="24" t="s">
        <v>9</v>
      </c>
      <c r="J386" s="24" t="s">
        <v>30</v>
      </c>
      <c r="K386" s="24"/>
      <c r="L386" s="24" t="s">
        <v>69</v>
      </c>
    </row>
    <row r="387">
      <c r="A387" s="24">
        <f t="shared" si="1"/>
        <v>386</v>
      </c>
      <c r="B387" s="24" t="s">
        <v>242</v>
      </c>
      <c r="C387" s="338">
        <v>42593.0</v>
      </c>
      <c r="D387" s="24" t="str">
        <f t="shared" si="3"/>
        <v>Aug-2016</v>
      </c>
      <c r="E387" s="24" t="s">
        <v>20</v>
      </c>
      <c r="F387" s="24" t="s">
        <v>35</v>
      </c>
      <c r="G387" s="23" t="s">
        <v>245</v>
      </c>
      <c r="H387" s="24" t="s">
        <v>27</v>
      </c>
      <c r="I387" s="24" t="s">
        <v>9</v>
      </c>
      <c r="J387" s="24" t="s">
        <v>30</v>
      </c>
      <c r="K387" s="24" t="s">
        <v>30</v>
      </c>
      <c r="L387" s="24" t="s">
        <v>98</v>
      </c>
    </row>
    <row r="388">
      <c r="A388" s="24">
        <f t="shared" si="1"/>
        <v>387</v>
      </c>
      <c r="B388" s="24" t="s">
        <v>242</v>
      </c>
      <c r="C388" s="338">
        <v>42593.0</v>
      </c>
      <c r="D388" s="24" t="str">
        <f t="shared" si="3"/>
        <v>Aug-2016</v>
      </c>
      <c r="E388" s="24" t="s">
        <v>25</v>
      </c>
      <c r="F388" s="24" t="s">
        <v>35</v>
      </c>
      <c r="G388" s="23" t="s">
        <v>245</v>
      </c>
      <c r="H388" s="24" t="s">
        <v>27</v>
      </c>
      <c r="I388" s="24" t="s">
        <v>9</v>
      </c>
      <c r="J388" s="24" t="s">
        <v>30</v>
      </c>
      <c r="K388" s="24"/>
      <c r="L388" s="24" t="s">
        <v>99</v>
      </c>
    </row>
    <row r="389">
      <c r="A389" s="24">
        <f t="shared" si="1"/>
        <v>388</v>
      </c>
      <c r="B389" s="24" t="s">
        <v>242</v>
      </c>
      <c r="C389" s="338">
        <v>42593.0</v>
      </c>
      <c r="D389" s="24" t="str">
        <f t="shared" si="3"/>
        <v>Aug-2016</v>
      </c>
      <c r="E389" s="24" t="s">
        <v>20</v>
      </c>
      <c r="F389" s="24" t="s">
        <v>35</v>
      </c>
      <c r="G389" s="23" t="s">
        <v>248</v>
      </c>
      <c r="H389" s="24" t="s">
        <v>9</v>
      </c>
      <c r="I389" s="24" t="s">
        <v>9</v>
      </c>
      <c r="J389" s="24" t="s">
        <v>30</v>
      </c>
      <c r="K389" s="24" t="s">
        <v>30</v>
      </c>
      <c r="L389" s="24" t="s">
        <v>98</v>
      </c>
    </row>
    <row r="390">
      <c r="A390" s="24">
        <f t="shared" si="1"/>
        <v>389</v>
      </c>
      <c r="B390" s="24" t="s">
        <v>242</v>
      </c>
      <c r="C390" s="338">
        <v>42593.0</v>
      </c>
      <c r="D390" s="24" t="str">
        <f t="shared" si="3"/>
        <v>Aug-2016</v>
      </c>
      <c r="E390" s="24" t="s">
        <v>25</v>
      </c>
      <c r="F390" s="24" t="s">
        <v>35</v>
      </c>
      <c r="G390" s="23" t="s">
        <v>248</v>
      </c>
      <c r="H390" s="24" t="s">
        <v>9</v>
      </c>
      <c r="I390" s="24" t="s">
        <v>9</v>
      </c>
      <c r="J390" s="24" t="s">
        <v>30</v>
      </c>
      <c r="K390" s="24"/>
      <c r="L390" s="24" t="s">
        <v>106</v>
      </c>
    </row>
    <row r="391">
      <c r="A391" s="24">
        <f t="shared" si="1"/>
        <v>390</v>
      </c>
      <c r="B391" s="24" t="s">
        <v>242</v>
      </c>
      <c r="C391" s="338">
        <v>42593.0</v>
      </c>
      <c r="D391" s="24" t="str">
        <f t="shared" si="3"/>
        <v>Aug-2016</v>
      </c>
      <c r="E391" s="24" t="s">
        <v>20</v>
      </c>
      <c r="F391" s="24" t="s">
        <v>35</v>
      </c>
      <c r="G391" s="23" t="s">
        <v>249</v>
      </c>
      <c r="H391" s="24" t="s">
        <v>71</v>
      </c>
      <c r="I391" s="24" t="s">
        <v>9</v>
      </c>
      <c r="J391" s="24" t="s">
        <v>24</v>
      </c>
      <c r="K391" s="24" t="s">
        <v>30</v>
      </c>
      <c r="L391" s="24" t="s">
        <v>37</v>
      </c>
    </row>
    <row r="392">
      <c r="A392" s="24">
        <f t="shared" si="1"/>
        <v>391</v>
      </c>
      <c r="B392" s="24" t="s">
        <v>242</v>
      </c>
      <c r="C392" s="338">
        <v>42593.0</v>
      </c>
      <c r="D392" s="24" t="str">
        <f t="shared" si="3"/>
        <v>Aug-2016</v>
      </c>
      <c r="E392" s="24" t="s">
        <v>25</v>
      </c>
      <c r="F392" s="24" t="s">
        <v>35</v>
      </c>
      <c r="G392" s="23" t="s">
        <v>249</v>
      </c>
      <c r="H392" s="24" t="s">
        <v>71</v>
      </c>
      <c r="I392" s="24" t="s">
        <v>9</v>
      </c>
      <c r="J392" s="24" t="s">
        <v>30</v>
      </c>
      <c r="K392" s="24"/>
      <c r="L392" s="24" t="s">
        <v>69</v>
      </c>
    </row>
    <row r="393">
      <c r="A393" s="24">
        <f t="shared" si="1"/>
        <v>392</v>
      </c>
      <c r="B393" s="24" t="s">
        <v>242</v>
      </c>
      <c r="C393" s="338">
        <v>42593.0</v>
      </c>
      <c r="D393" s="24" t="str">
        <f t="shared" si="3"/>
        <v>Aug-2016</v>
      </c>
      <c r="E393" s="24" t="s">
        <v>32</v>
      </c>
      <c r="F393" s="24" t="s">
        <v>35</v>
      </c>
      <c r="G393" s="23" t="s">
        <v>249</v>
      </c>
      <c r="H393" s="24" t="s">
        <v>71</v>
      </c>
      <c r="I393" s="24" t="s">
        <v>9</v>
      </c>
      <c r="J393" s="24" t="s">
        <v>30</v>
      </c>
      <c r="K393" s="24"/>
      <c r="L393" s="24" t="s">
        <v>99</v>
      </c>
    </row>
    <row r="394">
      <c r="A394" s="24">
        <f t="shared" si="1"/>
        <v>393</v>
      </c>
      <c r="B394" s="24" t="s">
        <v>242</v>
      </c>
      <c r="C394" s="338">
        <v>42593.0</v>
      </c>
      <c r="D394" s="24" t="str">
        <f t="shared" si="3"/>
        <v>Aug-2016</v>
      </c>
      <c r="E394" s="24" t="s">
        <v>20</v>
      </c>
      <c r="F394" s="24" t="s">
        <v>250</v>
      </c>
      <c r="G394" s="23" t="s">
        <v>190</v>
      </c>
      <c r="H394" s="24" t="s">
        <v>9</v>
      </c>
      <c r="I394" s="24" t="s">
        <v>9</v>
      </c>
      <c r="J394" s="24" t="s">
        <v>24</v>
      </c>
      <c r="K394" s="24" t="s">
        <v>24</v>
      </c>
      <c r="L394" s="24" t="s">
        <v>98</v>
      </c>
    </row>
    <row r="395">
      <c r="A395" s="24">
        <f t="shared" si="1"/>
        <v>394</v>
      </c>
      <c r="B395" s="24" t="s">
        <v>242</v>
      </c>
      <c r="C395" s="338">
        <v>42593.0</v>
      </c>
      <c r="D395" s="24" t="str">
        <f t="shared" si="3"/>
        <v>Aug-2016</v>
      </c>
      <c r="E395" s="24" t="s">
        <v>25</v>
      </c>
      <c r="F395" s="24" t="s">
        <v>250</v>
      </c>
      <c r="G395" s="23" t="s">
        <v>190</v>
      </c>
      <c r="H395" s="24" t="s">
        <v>9</v>
      </c>
      <c r="I395" s="24" t="s">
        <v>9</v>
      </c>
      <c r="J395" s="24" t="s">
        <v>24</v>
      </c>
      <c r="K395" s="24"/>
      <c r="L395" s="24" t="s">
        <v>37</v>
      </c>
    </row>
    <row r="396">
      <c r="A396" s="24">
        <f t="shared" si="1"/>
        <v>395</v>
      </c>
      <c r="B396" s="24" t="s">
        <v>251</v>
      </c>
      <c r="C396" s="275">
        <v>42595.0</v>
      </c>
      <c r="D396" s="24" t="str">
        <f t="shared" si="3"/>
        <v>Aug-2016</v>
      </c>
      <c r="E396" s="24" t="s">
        <v>20</v>
      </c>
      <c r="F396" s="24" t="s">
        <v>252</v>
      </c>
      <c r="G396" s="23" t="s">
        <v>253</v>
      </c>
      <c r="H396" s="24" t="s">
        <v>44</v>
      </c>
      <c r="I396" s="24" t="s">
        <v>9</v>
      </c>
      <c r="J396" s="24" t="s">
        <v>30</v>
      </c>
      <c r="K396" s="24" t="s">
        <v>30</v>
      </c>
      <c r="L396" s="24" t="s">
        <v>69</v>
      </c>
    </row>
    <row r="397">
      <c r="A397" s="24">
        <f t="shared" si="1"/>
        <v>396</v>
      </c>
      <c r="B397" s="24" t="s">
        <v>251</v>
      </c>
      <c r="C397" s="275">
        <v>42595.0</v>
      </c>
      <c r="D397" s="24" t="str">
        <f t="shared" si="3"/>
        <v>Aug-2016</v>
      </c>
      <c r="E397" s="24" t="s">
        <v>25</v>
      </c>
      <c r="F397" s="24" t="s">
        <v>252</v>
      </c>
      <c r="G397" s="23" t="s">
        <v>253</v>
      </c>
      <c r="H397" s="24" t="s">
        <v>44</v>
      </c>
      <c r="I397" s="24" t="s">
        <v>9</v>
      </c>
      <c r="J397" s="24" t="s">
        <v>30</v>
      </c>
      <c r="K397" s="24"/>
      <c r="L397" s="24" t="s">
        <v>69</v>
      </c>
    </row>
    <row r="398">
      <c r="A398" s="24">
        <f t="shared" si="1"/>
        <v>397</v>
      </c>
      <c r="B398" s="24" t="s">
        <v>251</v>
      </c>
      <c r="C398" s="275">
        <v>42595.0</v>
      </c>
      <c r="D398" s="24" t="str">
        <f t="shared" si="3"/>
        <v>Aug-2016</v>
      </c>
      <c r="E398" s="24" t="s">
        <v>20</v>
      </c>
      <c r="F398" s="24" t="s">
        <v>252</v>
      </c>
      <c r="G398" s="23" t="s">
        <v>255</v>
      </c>
      <c r="H398" s="24" t="s">
        <v>9</v>
      </c>
      <c r="I398" s="24" t="s">
        <v>9</v>
      </c>
      <c r="J398" s="24" t="s">
        <v>24</v>
      </c>
      <c r="K398" s="24" t="s">
        <v>24</v>
      </c>
      <c r="L398" s="24" t="s">
        <v>37</v>
      </c>
    </row>
    <row r="399">
      <c r="A399" s="24">
        <f t="shared" si="1"/>
        <v>398</v>
      </c>
      <c r="B399" s="24" t="s">
        <v>251</v>
      </c>
      <c r="C399" s="275">
        <v>42595.0</v>
      </c>
      <c r="D399" s="24" t="str">
        <f t="shared" si="3"/>
        <v>Aug-2016</v>
      </c>
      <c r="E399" s="24" t="s">
        <v>25</v>
      </c>
      <c r="F399" s="24" t="s">
        <v>252</v>
      </c>
      <c r="G399" s="23" t="s">
        <v>255</v>
      </c>
      <c r="H399" s="24" t="s">
        <v>9</v>
      </c>
      <c r="I399" s="24" t="s">
        <v>9</v>
      </c>
      <c r="J399" s="24" t="s">
        <v>24</v>
      </c>
      <c r="K399" s="24"/>
      <c r="L399" s="24" t="s">
        <v>106</v>
      </c>
    </row>
    <row r="400">
      <c r="A400" s="24">
        <f t="shared" si="1"/>
        <v>399</v>
      </c>
      <c r="B400" s="24" t="s">
        <v>251</v>
      </c>
      <c r="C400" s="275">
        <v>42595.0</v>
      </c>
      <c r="D400" s="24" t="str">
        <f t="shared" si="3"/>
        <v>Aug-2016</v>
      </c>
      <c r="E400" s="24" t="s">
        <v>20</v>
      </c>
      <c r="F400" s="24" t="s">
        <v>252</v>
      </c>
      <c r="G400" s="23" t="s">
        <v>256</v>
      </c>
      <c r="H400" s="24" t="s">
        <v>86</v>
      </c>
      <c r="I400" s="24" t="s">
        <v>9</v>
      </c>
      <c r="J400" s="24" t="s">
        <v>30</v>
      </c>
      <c r="K400" s="24" t="s">
        <v>30</v>
      </c>
      <c r="L400" s="24" t="s">
        <v>98</v>
      </c>
    </row>
    <row r="401">
      <c r="A401" s="24">
        <f t="shared" si="1"/>
        <v>400</v>
      </c>
      <c r="B401" s="24" t="s">
        <v>251</v>
      </c>
      <c r="C401" s="275">
        <v>42595.0</v>
      </c>
      <c r="D401" s="24" t="str">
        <f t="shared" si="3"/>
        <v>Aug-2016</v>
      </c>
      <c r="E401" s="24" t="s">
        <v>25</v>
      </c>
      <c r="F401" s="24" t="s">
        <v>252</v>
      </c>
      <c r="G401" s="23" t="s">
        <v>256</v>
      </c>
      <c r="H401" s="24" t="s">
        <v>86</v>
      </c>
      <c r="I401" s="24" t="s">
        <v>9</v>
      </c>
      <c r="J401" s="24" t="s">
        <v>30</v>
      </c>
      <c r="K401" s="24"/>
      <c r="L401" s="24" t="s">
        <v>69</v>
      </c>
    </row>
    <row r="402">
      <c r="A402" s="24">
        <f t="shared" si="1"/>
        <v>401</v>
      </c>
      <c r="B402" s="24" t="s">
        <v>251</v>
      </c>
      <c r="C402" s="275">
        <v>42595.0</v>
      </c>
      <c r="D402" s="24" t="str">
        <f t="shared" si="3"/>
        <v>Aug-2016</v>
      </c>
      <c r="E402" s="24" t="s">
        <v>20</v>
      </c>
      <c r="F402" s="24" t="s">
        <v>252</v>
      </c>
      <c r="G402" s="23" t="s">
        <v>257</v>
      </c>
      <c r="H402" s="24" t="s">
        <v>71</v>
      </c>
      <c r="I402" s="24" t="s">
        <v>9</v>
      </c>
      <c r="J402" s="24" t="s">
        <v>24</v>
      </c>
      <c r="K402" s="24" t="s">
        <v>24</v>
      </c>
      <c r="L402" s="24" t="s">
        <v>99</v>
      </c>
    </row>
    <row r="403">
      <c r="A403" s="24">
        <f t="shared" si="1"/>
        <v>402</v>
      </c>
      <c r="B403" s="24" t="s">
        <v>251</v>
      </c>
      <c r="C403" s="275">
        <v>42595.0</v>
      </c>
      <c r="D403" s="24" t="str">
        <f t="shared" si="3"/>
        <v>Aug-2016</v>
      </c>
      <c r="E403" s="24" t="s">
        <v>25</v>
      </c>
      <c r="F403" s="24" t="s">
        <v>252</v>
      </c>
      <c r="G403" s="23" t="s">
        <v>257</v>
      </c>
      <c r="H403" s="24" t="s">
        <v>71</v>
      </c>
      <c r="I403" s="24" t="s">
        <v>9</v>
      </c>
      <c r="J403" s="24" t="s">
        <v>24</v>
      </c>
      <c r="K403" s="24"/>
      <c r="L403" s="24" t="s">
        <v>69</v>
      </c>
    </row>
    <row r="404">
      <c r="A404" s="24">
        <f t="shared" si="1"/>
        <v>403</v>
      </c>
      <c r="B404" s="24" t="s">
        <v>251</v>
      </c>
      <c r="C404" s="275">
        <v>42595.0</v>
      </c>
      <c r="D404" s="24" t="str">
        <f t="shared" si="3"/>
        <v>Aug-2016</v>
      </c>
      <c r="E404" s="24" t="s">
        <v>20</v>
      </c>
      <c r="F404" s="24" t="s">
        <v>252</v>
      </c>
      <c r="G404" s="23" t="s">
        <v>111</v>
      </c>
      <c r="H404" s="24" t="s">
        <v>216</v>
      </c>
      <c r="I404" s="24" t="s">
        <v>9</v>
      </c>
      <c r="J404" s="24" t="s">
        <v>24</v>
      </c>
      <c r="K404" s="24" t="s">
        <v>24</v>
      </c>
      <c r="L404" s="24" t="s">
        <v>98</v>
      </c>
    </row>
    <row r="405">
      <c r="A405" s="24">
        <f t="shared" si="1"/>
        <v>404</v>
      </c>
      <c r="B405" s="24" t="s">
        <v>251</v>
      </c>
      <c r="C405" s="275">
        <v>42595.0</v>
      </c>
      <c r="D405" s="24" t="str">
        <f t="shared" si="3"/>
        <v>Aug-2016</v>
      </c>
      <c r="E405" s="24" t="s">
        <v>25</v>
      </c>
      <c r="F405" s="24" t="s">
        <v>252</v>
      </c>
      <c r="G405" s="23" t="s">
        <v>111</v>
      </c>
      <c r="H405" s="24" t="s">
        <v>216</v>
      </c>
      <c r="I405" s="24" t="s">
        <v>9</v>
      </c>
      <c r="J405" s="24" t="s">
        <v>24</v>
      </c>
      <c r="K405" s="24"/>
      <c r="L405" s="24" t="s">
        <v>99</v>
      </c>
    </row>
    <row r="406">
      <c r="A406" s="24">
        <f t="shared" si="1"/>
        <v>405</v>
      </c>
      <c r="B406" s="24" t="s">
        <v>251</v>
      </c>
      <c r="C406" s="275">
        <v>42595.0</v>
      </c>
      <c r="D406" s="24" t="str">
        <f t="shared" si="3"/>
        <v>Aug-2016</v>
      </c>
      <c r="E406" s="24" t="s">
        <v>20</v>
      </c>
      <c r="F406" s="24" t="s">
        <v>252</v>
      </c>
      <c r="G406" s="23" t="s">
        <v>161</v>
      </c>
      <c r="H406" s="24" t="s">
        <v>86</v>
      </c>
      <c r="I406" s="24" t="s">
        <v>9</v>
      </c>
      <c r="J406" s="24" t="s">
        <v>30</v>
      </c>
      <c r="K406" s="24" t="s">
        <v>30</v>
      </c>
      <c r="L406" s="24" t="s">
        <v>98</v>
      </c>
    </row>
    <row r="407">
      <c r="A407" s="24">
        <f t="shared" si="1"/>
        <v>406</v>
      </c>
      <c r="B407" s="24" t="s">
        <v>251</v>
      </c>
      <c r="C407" s="275">
        <v>42595.0</v>
      </c>
      <c r="D407" s="24" t="str">
        <f t="shared" si="3"/>
        <v>Aug-2016</v>
      </c>
      <c r="E407" s="24" t="s">
        <v>25</v>
      </c>
      <c r="F407" s="24" t="s">
        <v>252</v>
      </c>
      <c r="G407" s="23" t="s">
        <v>161</v>
      </c>
      <c r="H407" s="24" t="s">
        <v>86</v>
      </c>
      <c r="I407" s="24" t="s">
        <v>9</v>
      </c>
      <c r="J407" s="24" t="s">
        <v>30</v>
      </c>
      <c r="K407" s="24"/>
      <c r="L407" s="24" t="s">
        <v>69</v>
      </c>
    </row>
    <row r="408">
      <c r="A408" s="24">
        <f t="shared" si="1"/>
        <v>407</v>
      </c>
      <c r="B408" s="24" t="s">
        <v>258</v>
      </c>
      <c r="C408" s="275">
        <v>42596.0</v>
      </c>
      <c r="D408" s="24" t="str">
        <f t="shared" si="3"/>
        <v>Aug-2016</v>
      </c>
      <c r="E408" s="24" t="s">
        <v>20</v>
      </c>
      <c r="F408" s="24" t="s">
        <v>35</v>
      </c>
      <c r="G408" s="23" t="s">
        <v>259</v>
      </c>
      <c r="H408" s="24" t="s">
        <v>97</v>
      </c>
      <c r="I408" s="24" t="s">
        <v>9</v>
      </c>
      <c r="J408" s="24" t="s">
        <v>24</v>
      </c>
      <c r="K408" s="24" t="s">
        <v>24</v>
      </c>
      <c r="L408" s="24" t="s">
        <v>98</v>
      </c>
    </row>
    <row r="409">
      <c r="A409" s="24">
        <f t="shared" si="1"/>
        <v>408</v>
      </c>
      <c r="B409" s="24" t="s">
        <v>258</v>
      </c>
      <c r="C409" s="275">
        <v>42596.0</v>
      </c>
      <c r="D409" s="24" t="str">
        <f t="shared" si="3"/>
        <v>Aug-2016</v>
      </c>
      <c r="E409" s="24" t="s">
        <v>25</v>
      </c>
      <c r="F409" s="24" t="s">
        <v>35</v>
      </c>
      <c r="G409" s="23" t="s">
        <v>259</v>
      </c>
      <c r="H409" s="24" t="s">
        <v>97</v>
      </c>
      <c r="I409" s="24" t="s">
        <v>9</v>
      </c>
      <c r="J409" s="24" t="s">
        <v>24</v>
      </c>
      <c r="K409" s="24"/>
      <c r="L409" s="24" t="s">
        <v>29</v>
      </c>
    </row>
    <row r="410">
      <c r="A410" s="24">
        <f t="shared" si="1"/>
        <v>409</v>
      </c>
      <c r="B410" s="24" t="s">
        <v>258</v>
      </c>
      <c r="C410" s="275">
        <v>42596.0</v>
      </c>
      <c r="D410" s="24" t="str">
        <f t="shared" si="3"/>
        <v>Aug-2016</v>
      </c>
      <c r="E410" s="24" t="s">
        <v>20</v>
      </c>
      <c r="F410" s="24" t="s">
        <v>35</v>
      </c>
      <c r="G410" s="23" t="s">
        <v>260</v>
      </c>
      <c r="H410" s="24" t="s">
        <v>9</v>
      </c>
      <c r="I410" s="24" t="s">
        <v>9</v>
      </c>
      <c r="J410" s="24" t="s">
        <v>24</v>
      </c>
      <c r="K410" s="24" t="s">
        <v>24</v>
      </c>
      <c r="L410" s="24" t="s">
        <v>98</v>
      </c>
    </row>
    <row r="411">
      <c r="A411" s="24">
        <f t="shared" si="1"/>
        <v>410</v>
      </c>
      <c r="B411" s="24" t="s">
        <v>258</v>
      </c>
      <c r="C411" s="275">
        <v>42596.0</v>
      </c>
      <c r="D411" s="24" t="str">
        <f t="shared" si="3"/>
        <v>Aug-2016</v>
      </c>
      <c r="E411" s="24" t="s">
        <v>25</v>
      </c>
      <c r="F411" s="24" t="s">
        <v>35</v>
      </c>
      <c r="G411" s="23" t="s">
        <v>260</v>
      </c>
      <c r="H411" s="24" t="s">
        <v>9</v>
      </c>
      <c r="I411" s="24" t="s">
        <v>9</v>
      </c>
      <c r="J411" s="24" t="s">
        <v>24</v>
      </c>
      <c r="K411" s="24"/>
      <c r="L411" s="24" t="s">
        <v>98</v>
      </c>
    </row>
    <row r="412">
      <c r="A412" s="24">
        <f t="shared" si="1"/>
        <v>411</v>
      </c>
      <c r="B412" s="24" t="s">
        <v>261</v>
      </c>
      <c r="C412" s="338">
        <v>42599.0</v>
      </c>
      <c r="D412" s="24" t="str">
        <f t="shared" si="3"/>
        <v>Aug-2016</v>
      </c>
      <c r="E412" s="24" t="s">
        <v>20</v>
      </c>
      <c r="F412" s="24" t="s">
        <v>35</v>
      </c>
      <c r="G412" s="23" t="s">
        <v>135</v>
      </c>
      <c r="H412" s="24" t="s">
        <v>86</v>
      </c>
      <c r="I412" s="24" t="s">
        <v>9</v>
      </c>
      <c r="J412" s="24" t="s">
        <v>24</v>
      </c>
      <c r="K412" s="24" t="s">
        <v>24</v>
      </c>
      <c r="L412" s="24" t="s">
        <v>69</v>
      </c>
    </row>
    <row r="413">
      <c r="A413" s="24">
        <f t="shared" si="1"/>
        <v>412</v>
      </c>
      <c r="B413" s="24" t="s">
        <v>261</v>
      </c>
      <c r="C413" s="338">
        <v>42599.0</v>
      </c>
      <c r="D413" s="24" t="str">
        <f t="shared" si="3"/>
        <v>Aug-2016</v>
      </c>
      <c r="E413" s="24" t="s">
        <v>25</v>
      </c>
      <c r="F413" s="24" t="s">
        <v>35</v>
      </c>
      <c r="G413" s="23" t="s">
        <v>135</v>
      </c>
      <c r="H413" s="24" t="s">
        <v>86</v>
      </c>
      <c r="I413" s="24" t="s">
        <v>9</v>
      </c>
      <c r="J413" s="24" t="s">
        <v>24</v>
      </c>
      <c r="K413" s="24"/>
      <c r="L413" s="24" t="s">
        <v>99</v>
      </c>
    </row>
    <row r="414">
      <c r="A414" s="24">
        <f t="shared" si="1"/>
        <v>413</v>
      </c>
      <c r="B414" s="24" t="s">
        <v>261</v>
      </c>
      <c r="C414" s="338">
        <v>42599.0</v>
      </c>
      <c r="D414" s="24" t="str">
        <f t="shared" si="3"/>
        <v>Aug-2016</v>
      </c>
      <c r="E414" s="24" t="s">
        <v>20</v>
      </c>
      <c r="F414" s="24" t="s">
        <v>35</v>
      </c>
      <c r="G414" s="23" t="s">
        <v>217</v>
      </c>
      <c r="H414" s="24" t="s">
        <v>9</v>
      </c>
      <c r="I414" s="24" t="s">
        <v>9</v>
      </c>
      <c r="J414" s="24" t="s">
        <v>30</v>
      </c>
      <c r="K414" s="24" t="s">
        <v>30</v>
      </c>
      <c r="L414" s="24" t="s">
        <v>98</v>
      </c>
    </row>
    <row r="415">
      <c r="A415" s="24">
        <f t="shared" si="1"/>
        <v>414</v>
      </c>
      <c r="B415" s="24" t="s">
        <v>261</v>
      </c>
      <c r="C415" s="338">
        <v>42599.0</v>
      </c>
      <c r="D415" s="24" t="str">
        <f t="shared" si="3"/>
        <v>Aug-2016</v>
      </c>
      <c r="E415" s="24" t="s">
        <v>25</v>
      </c>
      <c r="F415" s="24" t="s">
        <v>35</v>
      </c>
      <c r="G415" s="23" t="s">
        <v>217</v>
      </c>
      <c r="H415" s="24" t="s">
        <v>9</v>
      </c>
      <c r="I415" s="24" t="s">
        <v>9</v>
      </c>
      <c r="J415" s="24" t="s">
        <v>30</v>
      </c>
      <c r="K415" s="24"/>
      <c r="L415" s="24" t="s">
        <v>106</v>
      </c>
    </row>
    <row r="416">
      <c r="A416" s="24">
        <f t="shared" si="1"/>
        <v>415</v>
      </c>
      <c r="B416" s="24" t="s">
        <v>261</v>
      </c>
      <c r="C416" s="338">
        <v>42599.0</v>
      </c>
      <c r="D416" s="24" t="str">
        <f t="shared" si="3"/>
        <v>Aug-2016</v>
      </c>
      <c r="E416" s="24" t="s">
        <v>20</v>
      </c>
      <c r="F416" s="24" t="s">
        <v>35</v>
      </c>
      <c r="G416" s="23" t="s">
        <v>262</v>
      </c>
      <c r="H416" s="24" t="s">
        <v>44</v>
      </c>
      <c r="I416" s="24" t="s">
        <v>9</v>
      </c>
      <c r="J416" s="24" t="s">
        <v>24</v>
      </c>
      <c r="K416" s="24" t="s">
        <v>30</v>
      </c>
      <c r="L416" s="24" t="s">
        <v>98</v>
      </c>
    </row>
    <row r="417">
      <c r="A417" s="24">
        <f t="shared" si="1"/>
        <v>416</v>
      </c>
      <c r="B417" s="24" t="s">
        <v>261</v>
      </c>
      <c r="C417" s="338">
        <v>42599.0</v>
      </c>
      <c r="D417" s="24" t="str">
        <f t="shared" si="3"/>
        <v>Aug-2016</v>
      </c>
      <c r="E417" s="24" t="s">
        <v>25</v>
      </c>
      <c r="F417" s="24" t="s">
        <v>35</v>
      </c>
      <c r="G417" s="23" t="s">
        <v>262</v>
      </c>
      <c r="H417" s="24" t="s">
        <v>44</v>
      </c>
      <c r="I417" s="24" t="s">
        <v>9</v>
      </c>
      <c r="J417" s="24" t="s">
        <v>30</v>
      </c>
      <c r="K417" s="24"/>
      <c r="L417" s="24" t="s">
        <v>98</v>
      </c>
    </row>
    <row r="418">
      <c r="A418" s="24">
        <f t="shared" si="1"/>
        <v>417</v>
      </c>
      <c r="B418" s="24" t="s">
        <v>261</v>
      </c>
      <c r="C418" s="338">
        <v>42599.0</v>
      </c>
      <c r="D418" s="24" t="str">
        <f t="shared" si="3"/>
        <v>Aug-2016</v>
      </c>
      <c r="E418" s="24" t="s">
        <v>32</v>
      </c>
      <c r="F418" s="24" t="s">
        <v>35</v>
      </c>
      <c r="G418" s="23" t="s">
        <v>262</v>
      </c>
      <c r="H418" s="24" t="s">
        <v>44</v>
      </c>
      <c r="I418" s="24" t="s">
        <v>9</v>
      </c>
      <c r="J418" s="24" t="s">
        <v>30</v>
      </c>
      <c r="K418" s="24"/>
      <c r="L418" s="24" t="s">
        <v>69</v>
      </c>
    </row>
    <row r="419">
      <c r="A419" s="24">
        <f t="shared" si="1"/>
        <v>418</v>
      </c>
      <c r="B419" s="24" t="s">
        <v>261</v>
      </c>
      <c r="C419" s="338">
        <v>42599.0</v>
      </c>
      <c r="D419" s="24" t="str">
        <f t="shared" si="3"/>
        <v>Aug-2016</v>
      </c>
      <c r="E419" s="24" t="s">
        <v>20</v>
      </c>
      <c r="F419" s="24" t="s">
        <v>35</v>
      </c>
      <c r="G419" s="23" t="s">
        <v>231</v>
      </c>
      <c r="H419" s="24" t="s">
        <v>86</v>
      </c>
      <c r="I419" s="24" t="s">
        <v>9</v>
      </c>
      <c r="J419" s="24" t="s">
        <v>24</v>
      </c>
      <c r="K419" s="24" t="s">
        <v>24</v>
      </c>
      <c r="L419" s="24" t="s">
        <v>69</v>
      </c>
    </row>
    <row r="420">
      <c r="A420" s="24">
        <f t="shared" si="1"/>
        <v>419</v>
      </c>
      <c r="B420" s="24" t="s">
        <v>261</v>
      </c>
      <c r="C420" s="338">
        <v>42599.0</v>
      </c>
      <c r="D420" s="24" t="str">
        <f t="shared" si="3"/>
        <v>Aug-2016</v>
      </c>
      <c r="E420" s="24" t="s">
        <v>25</v>
      </c>
      <c r="F420" s="24" t="s">
        <v>35</v>
      </c>
      <c r="G420" s="23" t="s">
        <v>231</v>
      </c>
      <c r="H420" s="24" t="s">
        <v>86</v>
      </c>
      <c r="I420" s="24" t="s">
        <v>9</v>
      </c>
      <c r="J420" s="24" t="s">
        <v>30</v>
      </c>
      <c r="K420" s="24"/>
      <c r="L420" s="24" t="s">
        <v>29</v>
      </c>
    </row>
    <row r="421">
      <c r="A421" s="24">
        <f t="shared" si="1"/>
        <v>420</v>
      </c>
      <c r="B421" s="24" t="s">
        <v>261</v>
      </c>
      <c r="C421" s="338">
        <v>42599.0</v>
      </c>
      <c r="D421" s="24" t="str">
        <f t="shared" si="3"/>
        <v>Aug-2016</v>
      </c>
      <c r="E421" s="24" t="s">
        <v>32</v>
      </c>
      <c r="F421" s="24" t="s">
        <v>35</v>
      </c>
      <c r="G421" s="23" t="s">
        <v>231</v>
      </c>
      <c r="H421" s="24" t="s">
        <v>86</v>
      </c>
      <c r="I421" s="24" t="s">
        <v>9</v>
      </c>
      <c r="J421" s="24" t="s">
        <v>24</v>
      </c>
      <c r="K421" s="24"/>
      <c r="L421" s="24" t="s">
        <v>98</v>
      </c>
    </row>
    <row r="422">
      <c r="A422" s="24">
        <f t="shared" si="1"/>
        <v>421</v>
      </c>
      <c r="B422" s="24" t="s">
        <v>263</v>
      </c>
      <c r="C422" s="338">
        <v>42600.0</v>
      </c>
      <c r="D422" s="24" t="str">
        <f t="shared" si="3"/>
        <v>Aug-2016</v>
      </c>
      <c r="E422" s="24" t="s">
        <v>20</v>
      </c>
      <c r="F422" s="24" t="s">
        <v>35</v>
      </c>
      <c r="G422" s="23" t="s">
        <v>103</v>
      </c>
      <c r="H422" s="24" t="s">
        <v>9</v>
      </c>
      <c r="I422" s="24" t="s">
        <v>9</v>
      </c>
      <c r="J422" s="24" t="s">
        <v>30</v>
      </c>
      <c r="K422" s="24" t="s">
        <v>30</v>
      </c>
      <c r="L422" s="24" t="s">
        <v>98</v>
      </c>
    </row>
    <row r="423">
      <c r="A423" s="24">
        <f t="shared" si="1"/>
        <v>422</v>
      </c>
      <c r="B423" s="24" t="s">
        <v>263</v>
      </c>
      <c r="C423" s="338">
        <v>42600.0</v>
      </c>
      <c r="D423" s="24" t="str">
        <f t="shared" si="3"/>
        <v>Aug-2016</v>
      </c>
      <c r="E423" s="24" t="s">
        <v>25</v>
      </c>
      <c r="F423" s="24" t="s">
        <v>35</v>
      </c>
      <c r="G423" s="23" t="s">
        <v>103</v>
      </c>
      <c r="H423" s="24" t="s">
        <v>9</v>
      </c>
      <c r="I423" s="24" t="s">
        <v>9</v>
      </c>
      <c r="J423" s="24" t="s">
        <v>30</v>
      </c>
      <c r="K423" s="24"/>
      <c r="L423" s="24" t="s">
        <v>99</v>
      </c>
    </row>
    <row r="424">
      <c r="A424" s="24">
        <f t="shared" si="1"/>
        <v>423</v>
      </c>
      <c r="B424" s="24" t="s">
        <v>263</v>
      </c>
      <c r="C424" s="338">
        <v>42600.0</v>
      </c>
      <c r="D424" s="24" t="str">
        <f t="shared" si="3"/>
        <v>Aug-2016</v>
      </c>
      <c r="E424" s="24" t="s">
        <v>20</v>
      </c>
      <c r="F424" s="24" t="s">
        <v>35</v>
      </c>
      <c r="G424" s="23" t="s">
        <v>239</v>
      </c>
      <c r="H424" s="24" t="s">
        <v>27</v>
      </c>
      <c r="I424" s="24" t="s">
        <v>9</v>
      </c>
      <c r="J424" s="24" t="s">
        <v>24</v>
      </c>
      <c r="K424" s="24" t="s">
        <v>24</v>
      </c>
      <c r="L424" s="24" t="s">
        <v>98</v>
      </c>
    </row>
    <row r="425">
      <c r="A425" s="24">
        <f t="shared" si="1"/>
        <v>424</v>
      </c>
      <c r="B425" s="24" t="s">
        <v>263</v>
      </c>
      <c r="C425" s="338">
        <v>42600.0</v>
      </c>
      <c r="D425" s="24" t="str">
        <f t="shared" si="3"/>
        <v>Aug-2016</v>
      </c>
      <c r="E425" s="24" t="s">
        <v>25</v>
      </c>
      <c r="F425" s="24" t="s">
        <v>35</v>
      </c>
      <c r="G425" s="23" t="s">
        <v>239</v>
      </c>
      <c r="H425" s="24" t="s">
        <v>27</v>
      </c>
      <c r="I425" s="24" t="s">
        <v>9</v>
      </c>
      <c r="J425" s="24" t="s">
        <v>24</v>
      </c>
      <c r="K425" s="24"/>
      <c r="L425" s="24" t="s">
        <v>98</v>
      </c>
    </row>
    <row r="426">
      <c r="A426" s="24">
        <f t="shared" si="1"/>
        <v>425</v>
      </c>
      <c r="B426" s="24" t="s">
        <v>263</v>
      </c>
      <c r="C426" s="338">
        <v>42600.0</v>
      </c>
      <c r="D426" s="24" t="str">
        <f t="shared" si="3"/>
        <v>Aug-2016</v>
      </c>
      <c r="E426" s="24" t="s">
        <v>20</v>
      </c>
      <c r="F426" s="24" t="s">
        <v>35</v>
      </c>
      <c r="G426" s="23" t="s">
        <v>264</v>
      </c>
      <c r="H426" s="24" t="s">
        <v>102</v>
      </c>
      <c r="I426" s="24" t="s">
        <v>9</v>
      </c>
      <c r="J426" s="24" t="s">
        <v>24</v>
      </c>
      <c r="K426" s="24" t="s">
        <v>24</v>
      </c>
      <c r="L426" s="24" t="s">
        <v>69</v>
      </c>
    </row>
    <row r="427">
      <c r="A427" s="24">
        <f t="shared" si="1"/>
        <v>426</v>
      </c>
      <c r="B427" s="24" t="s">
        <v>263</v>
      </c>
      <c r="C427" s="338">
        <v>42600.0</v>
      </c>
      <c r="D427" s="24" t="str">
        <f t="shared" si="3"/>
        <v>Aug-2016</v>
      </c>
      <c r="E427" s="24" t="s">
        <v>25</v>
      </c>
      <c r="F427" s="24" t="s">
        <v>35</v>
      </c>
      <c r="G427" s="23" t="s">
        <v>264</v>
      </c>
      <c r="H427" s="24" t="s">
        <v>102</v>
      </c>
      <c r="I427" s="24" t="s">
        <v>9</v>
      </c>
      <c r="J427" s="24" t="s">
        <v>24</v>
      </c>
      <c r="K427" s="24"/>
      <c r="L427" s="24" t="s">
        <v>69</v>
      </c>
    </row>
    <row r="428">
      <c r="A428" s="24">
        <f t="shared" si="1"/>
        <v>427</v>
      </c>
      <c r="B428" s="24" t="s">
        <v>265</v>
      </c>
      <c r="C428" s="338">
        <v>42606.0</v>
      </c>
      <c r="D428" s="24" t="str">
        <f t="shared" si="3"/>
        <v>Aug-2016</v>
      </c>
      <c r="E428" s="24" t="s">
        <v>20</v>
      </c>
      <c r="F428" s="24" t="s">
        <v>35</v>
      </c>
      <c r="G428" s="23" t="s">
        <v>186</v>
      </c>
      <c r="H428" s="24" t="s">
        <v>102</v>
      </c>
      <c r="I428" s="24" t="s">
        <v>9</v>
      </c>
      <c r="J428" s="24" t="s">
        <v>30</v>
      </c>
      <c r="K428" s="24" t="s">
        <v>30</v>
      </c>
      <c r="L428" s="24" t="s">
        <v>69</v>
      </c>
    </row>
    <row r="429">
      <c r="A429" s="24">
        <f t="shared" si="1"/>
        <v>428</v>
      </c>
      <c r="B429" s="24" t="s">
        <v>265</v>
      </c>
      <c r="C429" s="338">
        <v>42606.0</v>
      </c>
      <c r="D429" s="24" t="str">
        <f t="shared" si="3"/>
        <v>Aug-2016</v>
      </c>
      <c r="E429" s="24" t="s">
        <v>25</v>
      </c>
      <c r="F429" s="24" t="s">
        <v>35</v>
      </c>
      <c r="G429" s="23" t="s">
        <v>186</v>
      </c>
      <c r="H429" s="24" t="s">
        <v>102</v>
      </c>
      <c r="I429" s="24" t="s">
        <v>9</v>
      </c>
      <c r="J429" s="24" t="s">
        <v>30</v>
      </c>
      <c r="K429" s="24"/>
      <c r="L429" s="24" t="s">
        <v>98</v>
      </c>
    </row>
    <row r="430">
      <c r="A430" s="24">
        <f t="shared" si="1"/>
        <v>429</v>
      </c>
      <c r="B430" s="24" t="s">
        <v>265</v>
      </c>
      <c r="C430" s="338">
        <v>42606.0</v>
      </c>
      <c r="D430" s="24" t="str">
        <f t="shared" si="3"/>
        <v>Aug-2016</v>
      </c>
      <c r="E430" s="24" t="s">
        <v>20</v>
      </c>
      <c r="F430" s="24" t="s">
        <v>35</v>
      </c>
      <c r="G430" s="23" t="s">
        <v>266</v>
      </c>
      <c r="H430" s="24" t="s">
        <v>27</v>
      </c>
      <c r="I430" s="24" t="s">
        <v>9</v>
      </c>
      <c r="J430" s="24" t="s">
        <v>30</v>
      </c>
      <c r="K430" s="24" t="s">
        <v>30</v>
      </c>
      <c r="L430" s="24" t="s">
        <v>29</v>
      </c>
    </row>
    <row r="431">
      <c r="A431" s="24">
        <f t="shared" si="1"/>
        <v>430</v>
      </c>
      <c r="B431" s="24" t="s">
        <v>265</v>
      </c>
      <c r="C431" s="338">
        <v>42606.0</v>
      </c>
      <c r="D431" s="24" t="str">
        <f t="shared" si="3"/>
        <v>Aug-2016</v>
      </c>
      <c r="E431" s="24" t="s">
        <v>25</v>
      </c>
      <c r="F431" s="24" t="s">
        <v>35</v>
      </c>
      <c r="G431" s="23" t="s">
        <v>266</v>
      </c>
      <c r="H431" s="24" t="s">
        <v>27</v>
      </c>
      <c r="I431" s="24" t="s">
        <v>9</v>
      </c>
      <c r="J431" s="24" t="s">
        <v>24</v>
      </c>
      <c r="K431" s="24"/>
      <c r="L431" s="24" t="s">
        <v>106</v>
      </c>
    </row>
    <row r="432">
      <c r="A432" s="24">
        <f t="shared" si="1"/>
        <v>431</v>
      </c>
      <c r="B432" s="24" t="s">
        <v>265</v>
      </c>
      <c r="C432" s="338">
        <v>42606.0</v>
      </c>
      <c r="D432" s="24" t="str">
        <f t="shared" si="3"/>
        <v>Aug-2016</v>
      </c>
      <c r="E432" s="24" t="s">
        <v>32</v>
      </c>
      <c r="F432" s="24" t="s">
        <v>35</v>
      </c>
      <c r="G432" s="23" t="s">
        <v>266</v>
      </c>
      <c r="H432" s="24" t="s">
        <v>27</v>
      </c>
      <c r="I432" s="24" t="s">
        <v>9</v>
      </c>
      <c r="J432" s="24" t="s">
        <v>30</v>
      </c>
      <c r="K432" s="24"/>
      <c r="L432" s="24" t="s">
        <v>37</v>
      </c>
    </row>
    <row r="433">
      <c r="A433" s="24">
        <f t="shared" si="1"/>
        <v>432</v>
      </c>
      <c r="B433" s="24" t="s">
        <v>265</v>
      </c>
      <c r="C433" s="338">
        <v>42606.0</v>
      </c>
      <c r="D433" s="24" t="str">
        <f t="shared" si="3"/>
        <v>Aug-2016</v>
      </c>
      <c r="E433" s="24" t="s">
        <v>20</v>
      </c>
      <c r="F433" s="24" t="s">
        <v>35</v>
      </c>
      <c r="G433" s="23" t="s">
        <v>194</v>
      </c>
      <c r="H433" s="24" t="s">
        <v>23</v>
      </c>
      <c r="I433" s="24" t="s">
        <v>9</v>
      </c>
      <c r="J433" s="24" t="s">
        <v>24</v>
      </c>
      <c r="K433" s="24" t="s">
        <v>24</v>
      </c>
      <c r="L433" s="24" t="s">
        <v>98</v>
      </c>
    </row>
    <row r="434">
      <c r="A434" s="24">
        <f t="shared" si="1"/>
        <v>433</v>
      </c>
      <c r="B434" s="24" t="s">
        <v>265</v>
      </c>
      <c r="C434" s="338">
        <v>42606.0</v>
      </c>
      <c r="D434" s="24" t="str">
        <f t="shared" si="3"/>
        <v>Aug-2016</v>
      </c>
      <c r="E434" s="24" t="s">
        <v>25</v>
      </c>
      <c r="F434" s="24" t="s">
        <v>35</v>
      </c>
      <c r="G434" s="23" t="s">
        <v>194</v>
      </c>
      <c r="H434" s="24" t="s">
        <v>23</v>
      </c>
      <c r="I434" s="24" t="s">
        <v>9</v>
      </c>
      <c r="J434" s="24" t="s">
        <v>24</v>
      </c>
      <c r="K434" s="24"/>
      <c r="L434" s="24" t="s">
        <v>29</v>
      </c>
    </row>
    <row r="435">
      <c r="A435" s="24">
        <f t="shared" si="1"/>
        <v>434</v>
      </c>
      <c r="B435" s="24" t="s">
        <v>265</v>
      </c>
      <c r="C435" s="338">
        <v>42606.0</v>
      </c>
      <c r="D435" s="24" t="str">
        <f t="shared" si="3"/>
        <v>Aug-2016</v>
      </c>
      <c r="E435" s="24" t="s">
        <v>20</v>
      </c>
      <c r="F435" s="24" t="s">
        <v>35</v>
      </c>
      <c r="G435" s="23" t="s">
        <v>267</v>
      </c>
      <c r="H435" s="24" t="s">
        <v>9</v>
      </c>
      <c r="I435" s="24" t="s">
        <v>9</v>
      </c>
      <c r="J435" s="24" t="s">
        <v>24</v>
      </c>
      <c r="K435" s="24" t="s">
        <v>24</v>
      </c>
      <c r="L435" s="24" t="s">
        <v>37</v>
      </c>
    </row>
    <row r="436">
      <c r="A436" s="24">
        <f t="shared" si="1"/>
        <v>435</v>
      </c>
      <c r="B436" s="24" t="s">
        <v>265</v>
      </c>
      <c r="C436" s="338">
        <v>42606.0</v>
      </c>
      <c r="D436" s="24" t="str">
        <f t="shared" si="3"/>
        <v>Aug-2016</v>
      </c>
      <c r="E436" s="24" t="s">
        <v>25</v>
      </c>
      <c r="F436" s="24" t="s">
        <v>35</v>
      </c>
      <c r="G436" s="23" t="s">
        <v>267</v>
      </c>
      <c r="H436" s="24" t="s">
        <v>9</v>
      </c>
      <c r="I436" s="24" t="s">
        <v>9</v>
      </c>
      <c r="J436" s="24" t="s">
        <v>24</v>
      </c>
      <c r="K436" s="24"/>
      <c r="L436" s="24" t="s">
        <v>99</v>
      </c>
    </row>
    <row r="437">
      <c r="A437" s="24">
        <f t="shared" si="1"/>
        <v>436</v>
      </c>
      <c r="B437" s="24" t="s">
        <v>268</v>
      </c>
      <c r="C437" s="338">
        <v>42613.0</v>
      </c>
      <c r="D437" s="24" t="str">
        <f t="shared" si="3"/>
        <v>Aug-2016</v>
      </c>
      <c r="E437" s="24" t="s">
        <v>20</v>
      </c>
      <c r="F437" s="24" t="s">
        <v>35</v>
      </c>
      <c r="G437" s="23" t="s">
        <v>164</v>
      </c>
      <c r="H437" s="24" t="s">
        <v>9</v>
      </c>
      <c r="I437" s="24" t="s">
        <v>9</v>
      </c>
      <c r="J437" s="24" t="s">
        <v>30</v>
      </c>
      <c r="K437" s="24" t="s">
        <v>30</v>
      </c>
      <c r="L437" s="24" t="s">
        <v>99</v>
      </c>
    </row>
    <row r="438">
      <c r="A438" s="24">
        <f t="shared" si="1"/>
        <v>437</v>
      </c>
      <c r="B438" s="24" t="s">
        <v>268</v>
      </c>
      <c r="C438" s="338">
        <v>42613.0</v>
      </c>
      <c r="D438" s="24" t="str">
        <f t="shared" si="3"/>
        <v>Aug-2016</v>
      </c>
      <c r="E438" s="24" t="s">
        <v>25</v>
      </c>
      <c r="F438" s="24" t="s">
        <v>35</v>
      </c>
      <c r="G438" s="23" t="s">
        <v>164</v>
      </c>
      <c r="H438" s="24" t="s">
        <v>9</v>
      </c>
      <c r="I438" s="24" t="s">
        <v>9</v>
      </c>
      <c r="J438" s="24" t="s">
        <v>30</v>
      </c>
      <c r="K438" s="24"/>
      <c r="L438" s="24" t="s">
        <v>106</v>
      </c>
    </row>
    <row r="439">
      <c r="A439" s="24">
        <f t="shared" si="1"/>
        <v>438</v>
      </c>
      <c r="B439" s="24" t="s">
        <v>268</v>
      </c>
      <c r="C439" s="338">
        <v>42613.0</v>
      </c>
      <c r="D439" s="24" t="str">
        <f t="shared" si="3"/>
        <v>Aug-2016</v>
      </c>
      <c r="E439" s="24" t="s">
        <v>20</v>
      </c>
      <c r="F439" s="24" t="s">
        <v>35</v>
      </c>
      <c r="G439" s="23" t="s">
        <v>226</v>
      </c>
      <c r="H439" s="24" t="s">
        <v>216</v>
      </c>
      <c r="I439" s="24" t="s">
        <v>9</v>
      </c>
      <c r="J439" s="24" t="s">
        <v>24</v>
      </c>
      <c r="K439" s="24" t="s">
        <v>24</v>
      </c>
      <c r="L439" s="24" t="s">
        <v>98</v>
      </c>
    </row>
    <row r="440">
      <c r="A440" s="24">
        <f t="shared" si="1"/>
        <v>439</v>
      </c>
      <c r="B440" s="24" t="s">
        <v>268</v>
      </c>
      <c r="C440" s="338">
        <v>42613.0</v>
      </c>
      <c r="D440" s="24" t="str">
        <f t="shared" si="3"/>
        <v>Aug-2016</v>
      </c>
      <c r="E440" s="24" t="s">
        <v>25</v>
      </c>
      <c r="F440" s="24" t="s">
        <v>35</v>
      </c>
      <c r="G440" s="23" t="s">
        <v>226</v>
      </c>
      <c r="H440" s="24" t="s">
        <v>216</v>
      </c>
      <c r="I440" s="24" t="s">
        <v>9</v>
      </c>
      <c r="J440" s="24" t="s">
        <v>24</v>
      </c>
      <c r="K440" s="24"/>
      <c r="L440" s="24" t="s">
        <v>37</v>
      </c>
    </row>
    <row r="441">
      <c r="A441" s="24">
        <f t="shared" si="1"/>
        <v>440</v>
      </c>
      <c r="B441" s="24" t="s">
        <v>268</v>
      </c>
      <c r="C441" s="338">
        <v>42613.0</v>
      </c>
      <c r="D441" s="24" t="str">
        <f t="shared" si="3"/>
        <v>Aug-2016</v>
      </c>
      <c r="E441" s="24" t="s">
        <v>20</v>
      </c>
      <c r="F441" s="24" t="s">
        <v>35</v>
      </c>
      <c r="G441" s="23" t="s">
        <v>269</v>
      </c>
      <c r="H441" s="24" t="s">
        <v>23</v>
      </c>
      <c r="I441" s="24" t="s">
        <v>9</v>
      </c>
      <c r="J441" s="24" t="s">
        <v>30</v>
      </c>
      <c r="K441" s="24" t="s">
        <v>30</v>
      </c>
      <c r="L441" s="24" t="s">
        <v>37</v>
      </c>
    </row>
    <row r="442">
      <c r="A442" s="24">
        <f t="shared" si="1"/>
        <v>441</v>
      </c>
      <c r="B442" s="24" t="s">
        <v>268</v>
      </c>
      <c r="C442" s="338">
        <v>42613.0</v>
      </c>
      <c r="D442" s="24" t="str">
        <f t="shared" si="3"/>
        <v>Aug-2016</v>
      </c>
      <c r="E442" s="24" t="s">
        <v>25</v>
      </c>
      <c r="F442" s="24" t="s">
        <v>35</v>
      </c>
      <c r="G442" s="23" t="s">
        <v>269</v>
      </c>
      <c r="H442" s="24" t="s">
        <v>23</v>
      </c>
      <c r="I442" s="24" t="s">
        <v>9</v>
      </c>
      <c r="J442" s="24" t="s">
        <v>30</v>
      </c>
      <c r="K442" s="24"/>
      <c r="L442" s="24" t="s">
        <v>69</v>
      </c>
    </row>
    <row r="443">
      <c r="A443" s="24">
        <f t="shared" si="1"/>
        <v>442</v>
      </c>
      <c r="B443" s="24" t="s">
        <v>268</v>
      </c>
      <c r="C443" s="338">
        <v>42613.0</v>
      </c>
      <c r="D443" s="24" t="str">
        <f t="shared" si="3"/>
        <v>Aug-2016</v>
      </c>
      <c r="E443" s="24" t="s">
        <v>20</v>
      </c>
      <c r="F443" s="24" t="s">
        <v>35</v>
      </c>
      <c r="G443" s="23" t="s">
        <v>270</v>
      </c>
      <c r="H443" s="24" t="s">
        <v>27</v>
      </c>
      <c r="I443" s="24" t="s">
        <v>9</v>
      </c>
      <c r="J443" s="24" t="s">
        <v>24</v>
      </c>
      <c r="K443" s="24" t="s">
        <v>24</v>
      </c>
      <c r="L443" s="24" t="s">
        <v>98</v>
      </c>
    </row>
    <row r="444">
      <c r="A444" s="24">
        <f t="shared" si="1"/>
        <v>443</v>
      </c>
      <c r="B444" s="24" t="s">
        <v>268</v>
      </c>
      <c r="C444" s="338">
        <v>42613.0</v>
      </c>
      <c r="D444" s="24" t="str">
        <f t="shared" si="3"/>
        <v>Aug-2016</v>
      </c>
      <c r="E444" s="24" t="s">
        <v>25</v>
      </c>
      <c r="F444" s="24" t="s">
        <v>35</v>
      </c>
      <c r="G444" s="23" t="s">
        <v>270</v>
      </c>
      <c r="H444" s="24" t="s">
        <v>27</v>
      </c>
      <c r="I444" s="24" t="s">
        <v>9</v>
      </c>
      <c r="J444" s="24" t="s">
        <v>24</v>
      </c>
      <c r="K444" s="24"/>
      <c r="L444" s="24" t="s">
        <v>37</v>
      </c>
    </row>
    <row r="445">
      <c r="A445" s="24">
        <f t="shared" si="1"/>
        <v>444</v>
      </c>
      <c r="B445" s="24" t="s">
        <v>271</v>
      </c>
      <c r="C445" s="339">
        <v>42623.0</v>
      </c>
      <c r="D445" s="24" t="str">
        <f t="shared" si="3"/>
        <v>Sep-2016</v>
      </c>
      <c r="E445" s="24" t="s">
        <v>20</v>
      </c>
      <c r="F445" s="24" t="s">
        <v>273</v>
      </c>
      <c r="G445" s="23" t="s">
        <v>274</v>
      </c>
      <c r="H445" s="24" t="s">
        <v>71</v>
      </c>
      <c r="I445" s="24" t="s">
        <v>9</v>
      </c>
      <c r="J445" s="24" t="s">
        <v>24</v>
      </c>
      <c r="K445" s="24" t="s">
        <v>24</v>
      </c>
      <c r="L445" s="24" t="s">
        <v>99</v>
      </c>
    </row>
    <row r="446">
      <c r="A446" s="24">
        <f t="shared" si="1"/>
        <v>445</v>
      </c>
      <c r="B446" s="24" t="s">
        <v>271</v>
      </c>
      <c r="C446" s="339">
        <v>42623.0</v>
      </c>
      <c r="D446" s="24" t="str">
        <f t="shared" si="3"/>
        <v>Sep-2016</v>
      </c>
      <c r="E446" s="24" t="s">
        <v>25</v>
      </c>
      <c r="F446" s="24" t="s">
        <v>273</v>
      </c>
      <c r="G446" s="23" t="s">
        <v>274</v>
      </c>
      <c r="H446" s="24" t="s">
        <v>71</v>
      </c>
      <c r="I446" s="24" t="s">
        <v>9</v>
      </c>
      <c r="J446" s="24" t="s">
        <v>24</v>
      </c>
      <c r="K446" s="24"/>
      <c r="L446" s="24" t="s">
        <v>69</v>
      </c>
    </row>
    <row r="447">
      <c r="A447" s="24">
        <f t="shared" si="1"/>
        <v>446</v>
      </c>
      <c r="B447" s="24" t="s">
        <v>271</v>
      </c>
      <c r="C447" s="339">
        <v>42623.0</v>
      </c>
      <c r="D447" s="24" t="str">
        <f t="shared" si="3"/>
        <v>Sep-2016</v>
      </c>
      <c r="E447" s="24" t="s">
        <v>20</v>
      </c>
      <c r="F447" s="24" t="s">
        <v>273</v>
      </c>
      <c r="G447" s="23" t="s">
        <v>276</v>
      </c>
      <c r="H447" s="24" t="s">
        <v>48</v>
      </c>
      <c r="I447" s="24" t="s">
        <v>9</v>
      </c>
      <c r="J447" s="24" t="s">
        <v>30</v>
      </c>
      <c r="K447" s="24" t="s">
        <v>30</v>
      </c>
      <c r="L447" s="24" t="s">
        <v>98</v>
      </c>
    </row>
    <row r="448">
      <c r="A448" s="24">
        <f t="shared" si="1"/>
        <v>447</v>
      </c>
      <c r="B448" s="24" t="s">
        <v>271</v>
      </c>
      <c r="C448" s="339">
        <v>42623.0</v>
      </c>
      <c r="D448" s="24" t="str">
        <f t="shared" si="3"/>
        <v>Sep-2016</v>
      </c>
      <c r="E448" s="24" t="s">
        <v>25</v>
      </c>
      <c r="F448" s="24" t="s">
        <v>273</v>
      </c>
      <c r="G448" s="23" t="s">
        <v>276</v>
      </c>
      <c r="H448" s="24" t="s">
        <v>48</v>
      </c>
      <c r="I448" s="24" t="s">
        <v>9</v>
      </c>
      <c r="J448" s="24" t="s">
        <v>30</v>
      </c>
      <c r="K448" s="24"/>
      <c r="L448" s="24" t="s">
        <v>99</v>
      </c>
    </row>
    <row r="449">
      <c r="A449" s="24">
        <f t="shared" si="1"/>
        <v>448</v>
      </c>
      <c r="B449" s="24" t="s">
        <v>271</v>
      </c>
      <c r="C449" s="339">
        <v>42623.0</v>
      </c>
      <c r="D449" s="24" t="str">
        <f t="shared" si="3"/>
        <v>Sep-2016</v>
      </c>
      <c r="E449" s="24" t="s">
        <v>20</v>
      </c>
      <c r="F449" s="24" t="s">
        <v>273</v>
      </c>
      <c r="G449" s="23" t="s">
        <v>148</v>
      </c>
      <c r="H449" s="24" t="s">
        <v>27</v>
      </c>
      <c r="I449" s="24" t="s">
        <v>9</v>
      </c>
      <c r="J449" s="24" t="s">
        <v>24</v>
      </c>
      <c r="K449" s="24" t="s">
        <v>24</v>
      </c>
      <c r="L449" s="24" t="s">
        <v>99</v>
      </c>
    </row>
    <row r="450">
      <c r="A450" s="24">
        <f t="shared" si="1"/>
        <v>449</v>
      </c>
      <c r="B450" s="24" t="s">
        <v>271</v>
      </c>
      <c r="C450" s="339">
        <v>42623.0</v>
      </c>
      <c r="D450" s="24" t="str">
        <f t="shared" si="3"/>
        <v>Sep-2016</v>
      </c>
      <c r="E450" s="24" t="s">
        <v>25</v>
      </c>
      <c r="F450" s="24" t="s">
        <v>273</v>
      </c>
      <c r="G450" s="23" t="s">
        <v>148</v>
      </c>
      <c r="H450" s="24" t="s">
        <v>27</v>
      </c>
      <c r="I450" s="24" t="s">
        <v>9</v>
      </c>
      <c r="J450" s="24" t="s">
        <v>24</v>
      </c>
      <c r="K450" s="24"/>
      <c r="L450" s="24" t="s">
        <v>29</v>
      </c>
    </row>
    <row r="451">
      <c r="A451" s="24">
        <f t="shared" si="1"/>
        <v>450</v>
      </c>
      <c r="B451" s="24" t="s">
        <v>271</v>
      </c>
      <c r="C451" s="339">
        <v>42623.0</v>
      </c>
      <c r="D451" s="24" t="str">
        <f t="shared" si="3"/>
        <v>Sep-2016</v>
      </c>
      <c r="E451" s="24" t="s">
        <v>20</v>
      </c>
      <c r="F451" s="24" t="s">
        <v>278</v>
      </c>
      <c r="G451" s="23" t="s">
        <v>279</v>
      </c>
      <c r="H451" s="24" t="s">
        <v>9</v>
      </c>
      <c r="I451" s="24" t="s">
        <v>9</v>
      </c>
      <c r="J451" s="24" t="s">
        <v>30</v>
      </c>
      <c r="K451" s="24" t="s">
        <v>30</v>
      </c>
      <c r="L451" s="24" t="s">
        <v>98</v>
      </c>
    </row>
    <row r="452">
      <c r="A452" s="24">
        <f t="shared" si="1"/>
        <v>451</v>
      </c>
      <c r="B452" s="24" t="s">
        <v>271</v>
      </c>
      <c r="C452" s="339">
        <v>42623.0</v>
      </c>
      <c r="D452" s="24" t="str">
        <f t="shared" si="3"/>
        <v>Sep-2016</v>
      </c>
      <c r="E452" s="24" t="s">
        <v>25</v>
      </c>
      <c r="F452" s="24" t="s">
        <v>278</v>
      </c>
      <c r="G452" s="23" t="s">
        <v>279</v>
      </c>
      <c r="H452" s="24" t="s">
        <v>9</v>
      </c>
      <c r="I452" s="24" t="s">
        <v>9</v>
      </c>
      <c r="J452" s="24" t="s">
        <v>30</v>
      </c>
      <c r="K452" s="24"/>
      <c r="L452" s="24" t="s">
        <v>69</v>
      </c>
    </row>
    <row r="453">
      <c r="A453" s="24">
        <f t="shared" si="1"/>
        <v>452</v>
      </c>
      <c r="B453" s="24" t="s">
        <v>271</v>
      </c>
      <c r="C453" s="339">
        <v>42623.0</v>
      </c>
      <c r="D453" s="24" t="str">
        <f t="shared" si="3"/>
        <v>Sep-2016</v>
      </c>
      <c r="E453" s="24" t="s">
        <v>20</v>
      </c>
      <c r="F453" s="24" t="s">
        <v>278</v>
      </c>
      <c r="G453" s="23" t="s">
        <v>114</v>
      </c>
      <c r="H453" s="24" t="s">
        <v>27</v>
      </c>
      <c r="I453" s="24" t="s">
        <v>9</v>
      </c>
      <c r="J453" s="24" t="s">
        <v>30</v>
      </c>
      <c r="K453" s="24" t="s">
        <v>30</v>
      </c>
      <c r="L453" s="24" t="s">
        <v>29</v>
      </c>
    </row>
    <row r="454">
      <c r="A454" s="24">
        <f t="shared" si="1"/>
        <v>453</v>
      </c>
      <c r="B454" s="24" t="s">
        <v>271</v>
      </c>
      <c r="C454" s="339">
        <v>42623.0</v>
      </c>
      <c r="D454" s="24" t="str">
        <f t="shared" si="3"/>
        <v>Sep-2016</v>
      </c>
      <c r="E454" s="24" t="s">
        <v>25</v>
      </c>
      <c r="F454" s="24" t="s">
        <v>278</v>
      </c>
      <c r="G454" s="23" t="s">
        <v>114</v>
      </c>
      <c r="H454" s="24" t="s">
        <v>27</v>
      </c>
      <c r="I454" s="24" t="s">
        <v>9</v>
      </c>
      <c r="J454" s="24" t="s">
        <v>30</v>
      </c>
      <c r="K454" s="24"/>
      <c r="L454" s="24" t="s">
        <v>69</v>
      </c>
    </row>
    <row r="455">
      <c r="A455" s="24">
        <f t="shared" si="1"/>
        <v>454</v>
      </c>
      <c r="B455" s="24" t="s">
        <v>271</v>
      </c>
      <c r="C455" s="339">
        <v>42623.0</v>
      </c>
      <c r="D455" s="24" t="str">
        <f t="shared" si="3"/>
        <v>Sep-2016</v>
      </c>
      <c r="E455" s="24" t="s">
        <v>20</v>
      </c>
      <c r="F455" s="24" t="s">
        <v>278</v>
      </c>
      <c r="G455" s="23" t="s">
        <v>117</v>
      </c>
      <c r="H455" s="24" t="s">
        <v>44</v>
      </c>
      <c r="I455" s="24" t="s">
        <v>9</v>
      </c>
      <c r="J455" s="24" t="s">
        <v>30</v>
      </c>
      <c r="K455" s="24" t="s">
        <v>30</v>
      </c>
      <c r="L455" s="24" t="s">
        <v>98</v>
      </c>
    </row>
    <row r="456">
      <c r="A456" s="24">
        <f t="shared" si="1"/>
        <v>455</v>
      </c>
      <c r="B456" s="24" t="s">
        <v>271</v>
      </c>
      <c r="C456" s="339">
        <v>42623.0</v>
      </c>
      <c r="D456" s="24" t="str">
        <f t="shared" si="3"/>
        <v>Sep-2016</v>
      </c>
      <c r="E456" s="24" t="s">
        <v>25</v>
      </c>
      <c r="F456" s="24" t="s">
        <v>278</v>
      </c>
      <c r="G456" s="23" t="s">
        <v>117</v>
      </c>
      <c r="H456" s="24" t="s">
        <v>44</v>
      </c>
      <c r="I456" s="24" t="s">
        <v>9</v>
      </c>
      <c r="J456" s="24" t="s">
        <v>30</v>
      </c>
      <c r="K456" s="24"/>
      <c r="L456" s="24" t="s">
        <v>69</v>
      </c>
    </row>
    <row r="457">
      <c r="A457" s="24">
        <f t="shared" si="1"/>
        <v>456</v>
      </c>
      <c r="B457" s="24" t="s">
        <v>271</v>
      </c>
      <c r="C457" s="339">
        <v>42623.0</v>
      </c>
      <c r="D457" s="24" t="str">
        <f t="shared" si="3"/>
        <v>Sep-2016</v>
      </c>
      <c r="E457" s="24" t="s">
        <v>20</v>
      </c>
      <c r="F457" s="24" t="s">
        <v>278</v>
      </c>
      <c r="G457" s="23" t="s">
        <v>282</v>
      </c>
      <c r="H457" s="24" t="s">
        <v>48</v>
      </c>
      <c r="I457" s="24" t="s">
        <v>9</v>
      </c>
      <c r="J457" s="24" t="s">
        <v>30</v>
      </c>
      <c r="K457" s="24" t="s">
        <v>30</v>
      </c>
      <c r="L457" s="24" t="s">
        <v>98</v>
      </c>
    </row>
    <row r="458">
      <c r="A458" s="24">
        <f t="shared" si="1"/>
        <v>457</v>
      </c>
      <c r="B458" s="24" t="s">
        <v>271</v>
      </c>
      <c r="C458" s="339">
        <v>42623.0</v>
      </c>
      <c r="D458" s="24" t="str">
        <f t="shared" si="3"/>
        <v>Sep-2016</v>
      </c>
      <c r="E458" s="24" t="s">
        <v>25</v>
      </c>
      <c r="F458" s="24" t="s">
        <v>278</v>
      </c>
      <c r="G458" s="23" t="s">
        <v>282</v>
      </c>
      <c r="H458" s="24" t="s">
        <v>48</v>
      </c>
      <c r="I458" s="24" t="s">
        <v>9</v>
      </c>
      <c r="J458" s="24" t="s">
        <v>30</v>
      </c>
      <c r="K458" s="24"/>
      <c r="L458" s="24" t="s">
        <v>29</v>
      </c>
    </row>
    <row r="459">
      <c r="A459" s="24">
        <f t="shared" si="1"/>
        <v>458</v>
      </c>
      <c r="B459" s="24" t="s">
        <v>271</v>
      </c>
      <c r="C459" s="339">
        <v>42623.0</v>
      </c>
      <c r="D459" s="24" t="str">
        <f t="shared" si="3"/>
        <v>Sep-2016</v>
      </c>
      <c r="E459" s="24" t="s">
        <v>20</v>
      </c>
      <c r="F459" s="24" t="s">
        <v>283</v>
      </c>
      <c r="G459" s="23" t="s">
        <v>284</v>
      </c>
      <c r="H459" s="24" t="s">
        <v>23</v>
      </c>
      <c r="I459" s="24" t="s">
        <v>9</v>
      </c>
      <c r="J459" s="24" t="s">
        <v>24</v>
      </c>
      <c r="K459" s="24" t="s">
        <v>24</v>
      </c>
      <c r="L459" s="24" t="s">
        <v>98</v>
      </c>
    </row>
    <row r="460">
      <c r="A460" s="24">
        <f t="shared" si="1"/>
        <v>459</v>
      </c>
      <c r="B460" s="24" t="s">
        <v>271</v>
      </c>
      <c r="C460" s="339">
        <v>42623.0</v>
      </c>
      <c r="D460" s="24" t="str">
        <f t="shared" si="3"/>
        <v>Sep-2016</v>
      </c>
      <c r="E460" s="24" t="s">
        <v>25</v>
      </c>
      <c r="F460" s="24" t="s">
        <v>283</v>
      </c>
      <c r="G460" s="23" t="s">
        <v>284</v>
      </c>
      <c r="H460" s="24" t="s">
        <v>23</v>
      </c>
      <c r="I460" s="24" t="s">
        <v>9</v>
      </c>
      <c r="J460" s="24" t="s">
        <v>24</v>
      </c>
      <c r="K460" s="24"/>
      <c r="L460" s="24" t="s">
        <v>106</v>
      </c>
    </row>
    <row r="461">
      <c r="A461" s="24">
        <f t="shared" si="1"/>
        <v>460</v>
      </c>
      <c r="B461" s="24" t="s">
        <v>271</v>
      </c>
      <c r="C461" s="339">
        <v>42623.0</v>
      </c>
      <c r="D461" s="24" t="str">
        <f t="shared" si="3"/>
        <v>Sep-2016</v>
      </c>
      <c r="E461" s="24" t="s">
        <v>20</v>
      </c>
      <c r="F461" s="24" t="s">
        <v>285</v>
      </c>
      <c r="G461" s="23" t="s">
        <v>274</v>
      </c>
      <c r="H461" s="24" t="s">
        <v>71</v>
      </c>
      <c r="I461" s="24" t="s">
        <v>9</v>
      </c>
      <c r="J461" s="24" t="s">
        <v>24</v>
      </c>
      <c r="K461" s="24" t="s">
        <v>24</v>
      </c>
      <c r="L461" s="24" t="s">
        <v>37</v>
      </c>
    </row>
    <row r="462">
      <c r="A462" s="24">
        <f t="shared" si="1"/>
        <v>461</v>
      </c>
      <c r="B462" s="24" t="s">
        <v>271</v>
      </c>
      <c r="C462" s="339">
        <v>42623.0</v>
      </c>
      <c r="D462" s="24" t="str">
        <f t="shared" si="3"/>
        <v>Sep-2016</v>
      </c>
      <c r="E462" s="24" t="s">
        <v>25</v>
      </c>
      <c r="F462" s="24" t="s">
        <v>285</v>
      </c>
      <c r="G462" s="23" t="s">
        <v>274</v>
      </c>
      <c r="H462" s="24" t="s">
        <v>71</v>
      </c>
      <c r="I462" s="24" t="s">
        <v>9</v>
      </c>
      <c r="J462" s="24" t="s">
        <v>24</v>
      </c>
      <c r="K462" s="24"/>
      <c r="L462" s="24" t="s">
        <v>69</v>
      </c>
    </row>
    <row r="463">
      <c r="A463" s="24">
        <f t="shared" si="1"/>
        <v>462</v>
      </c>
      <c r="B463" s="24" t="s">
        <v>286</v>
      </c>
      <c r="C463" s="275">
        <v>42630.0</v>
      </c>
      <c r="D463" s="24" t="str">
        <f t="shared" si="3"/>
        <v>Sep-2016</v>
      </c>
      <c r="E463" s="24" t="s">
        <v>20</v>
      </c>
      <c r="F463" s="24" t="s">
        <v>287</v>
      </c>
      <c r="G463" s="23" t="s">
        <v>288</v>
      </c>
      <c r="H463" s="24" t="s">
        <v>27</v>
      </c>
      <c r="I463" s="24" t="s">
        <v>9</v>
      </c>
      <c r="J463" s="24" t="s">
        <v>30</v>
      </c>
      <c r="K463" s="24" t="s">
        <v>30</v>
      </c>
      <c r="L463" s="24" t="s">
        <v>29</v>
      </c>
    </row>
    <row r="464">
      <c r="A464" s="24">
        <f t="shared" si="1"/>
        <v>463</v>
      </c>
      <c r="B464" s="24" t="s">
        <v>286</v>
      </c>
      <c r="C464" s="275">
        <v>42630.0</v>
      </c>
      <c r="D464" s="24" t="str">
        <f t="shared" si="3"/>
        <v>Sep-2016</v>
      </c>
      <c r="E464" s="24" t="s">
        <v>25</v>
      </c>
      <c r="F464" s="24" t="s">
        <v>287</v>
      </c>
      <c r="G464" s="23" t="s">
        <v>288</v>
      </c>
      <c r="H464" s="24" t="s">
        <v>27</v>
      </c>
      <c r="I464" s="24" t="s">
        <v>9</v>
      </c>
      <c r="J464" s="24" t="s">
        <v>30</v>
      </c>
      <c r="K464" s="24"/>
      <c r="L464" s="24" t="s">
        <v>98</v>
      </c>
    </row>
    <row r="465">
      <c r="A465" s="24">
        <f t="shared" si="1"/>
        <v>464</v>
      </c>
      <c r="B465" s="24" t="s">
        <v>286</v>
      </c>
      <c r="C465" s="275">
        <v>42630.0</v>
      </c>
      <c r="D465" s="24" t="str">
        <f t="shared" si="3"/>
        <v>Sep-2016</v>
      </c>
      <c r="E465" s="24" t="s">
        <v>20</v>
      </c>
      <c r="F465" s="24" t="s">
        <v>287</v>
      </c>
      <c r="G465" s="23" t="s">
        <v>194</v>
      </c>
      <c r="H465" s="24" t="s">
        <v>23</v>
      </c>
      <c r="I465" s="24" t="s">
        <v>9</v>
      </c>
      <c r="J465" s="24" t="s">
        <v>24</v>
      </c>
      <c r="K465" s="24" t="s">
        <v>24</v>
      </c>
      <c r="L465" s="24" t="s">
        <v>98</v>
      </c>
    </row>
    <row r="466">
      <c r="A466" s="24">
        <f t="shared" si="1"/>
        <v>465</v>
      </c>
      <c r="B466" s="24" t="s">
        <v>286</v>
      </c>
      <c r="C466" s="275">
        <v>42630.0</v>
      </c>
      <c r="D466" s="24" t="str">
        <f t="shared" si="3"/>
        <v>Sep-2016</v>
      </c>
      <c r="E466" s="24" t="s">
        <v>25</v>
      </c>
      <c r="F466" s="24" t="s">
        <v>287</v>
      </c>
      <c r="G466" s="23" t="s">
        <v>194</v>
      </c>
      <c r="H466" s="24" t="s">
        <v>23</v>
      </c>
      <c r="I466" s="24" t="s">
        <v>9</v>
      </c>
      <c r="J466" s="24" t="s">
        <v>24</v>
      </c>
      <c r="K466" s="24"/>
      <c r="L466" s="24" t="s">
        <v>69</v>
      </c>
    </row>
    <row r="467">
      <c r="A467" s="24">
        <f t="shared" si="1"/>
        <v>466</v>
      </c>
      <c r="B467" s="24" t="s">
        <v>286</v>
      </c>
      <c r="C467" s="275">
        <v>42630.0</v>
      </c>
      <c r="D467" s="24" t="str">
        <f t="shared" si="3"/>
        <v>Sep-2016</v>
      </c>
      <c r="E467" s="24" t="s">
        <v>20</v>
      </c>
      <c r="F467" s="24" t="s">
        <v>287</v>
      </c>
      <c r="G467" s="23" t="s">
        <v>290</v>
      </c>
      <c r="H467" s="24" t="s">
        <v>44</v>
      </c>
      <c r="I467" s="24" t="s">
        <v>9</v>
      </c>
      <c r="J467" s="24" t="s">
        <v>30</v>
      </c>
      <c r="K467" s="24" t="s">
        <v>30</v>
      </c>
      <c r="L467" s="24" t="s">
        <v>98</v>
      </c>
    </row>
    <row r="468">
      <c r="A468" s="24">
        <f t="shared" si="1"/>
        <v>467</v>
      </c>
      <c r="B468" s="24" t="s">
        <v>286</v>
      </c>
      <c r="C468" s="275">
        <v>42630.0</v>
      </c>
      <c r="D468" s="24" t="str">
        <f t="shared" si="3"/>
        <v>Sep-2016</v>
      </c>
      <c r="E468" s="24" t="s">
        <v>25</v>
      </c>
      <c r="F468" s="24" t="s">
        <v>287</v>
      </c>
      <c r="G468" s="23" t="s">
        <v>290</v>
      </c>
      <c r="H468" s="24" t="s">
        <v>44</v>
      </c>
      <c r="I468" s="24" t="s">
        <v>9</v>
      </c>
      <c r="J468" s="24" t="s">
        <v>30</v>
      </c>
      <c r="K468" s="24"/>
      <c r="L468" s="24" t="s">
        <v>98</v>
      </c>
    </row>
    <row r="469">
      <c r="A469" s="24">
        <f t="shared" si="1"/>
        <v>468</v>
      </c>
      <c r="B469" s="24" t="s">
        <v>286</v>
      </c>
      <c r="C469" s="275">
        <v>42630.0</v>
      </c>
      <c r="D469" s="24" t="str">
        <f t="shared" si="3"/>
        <v>Sep-2016</v>
      </c>
      <c r="E469" s="24" t="s">
        <v>20</v>
      </c>
      <c r="F469" s="24" t="s">
        <v>287</v>
      </c>
      <c r="G469" s="23" t="s">
        <v>229</v>
      </c>
      <c r="H469" s="24" t="s">
        <v>71</v>
      </c>
      <c r="I469" s="24" t="s">
        <v>9</v>
      </c>
      <c r="J469" s="24" t="s">
        <v>30</v>
      </c>
      <c r="K469" s="24" t="s">
        <v>30</v>
      </c>
      <c r="L469" s="24" t="s">
        <v>98</v>
      </c>
    </row>
    <row r="470">
      <c r="A470" s="24">
        <f t="shared" si="1"/>
        <v>469</v>
      </c>
      <c r="B470" s="24" t="s">
        <v>286</v>
      </c>
      <c r="C470" s="275">
        <v>42630.0</v>
      </c>
      <c r="D470" s="24" t="str">
        <f t="shared" si="3"/>
        <v>Sep-2016</v>
      </c>
      <c r="E470" s="24" t="s">
        <v>25</v>
      </c>
      <c r="F470" s="24" t="s">
        <v>287</v>
      </c>
      <c r="G470" s="23" t="s">
        <v>229</v>
      </c>
      <c r="H470" s="24" t="s">
        <v>71</v>
      </c>
      <c r="I470" s="24" t="s">
        <v>9</v>
      </c>
      <c r="J470" s="24" t="s">
        <v>30</v>
      </c>
      <c r="K470" s="24"/>
      <c r="L470" s="24" t="s">
        <v>99</v>
      </c>
    </row>
    <row r="471">
      <c r="A471" s="24">
        <f t="shared" si="1"/>
        <v>470</v>
      </c>
      <c r="B471" s="24" t="s">
        <v>286</v>
      </c>
      <c r="C471" s="275">
        <v>42630.0</v>
      </c>
      <c r="D471" s="24" t="str">
        <f t="shared" si="3"/>
        <v>Sep-2016</v>
      </c>
      <c r="E471" s="24" t="s">
        <v>20</v>
      </c>
      <c r="F471" s="24" t="s">
        <v>35</v>
      </c>
      <c r="G471" s="23" t="s">
        <v>101</v>
      </c>
      <c r="H471" s="24" t="s">
        <v>102</v>
      </c>
      <c r="I471" s="24" t="s">
        <v>9</v>
      </c>
      <c r="J471" s="24" t="s">
        <v>24</v>
      </c>
      <c r="K471" s="24" t="s">
        <v>24</v>
      </c>
      <c r="L471" s="24" t="s">
        <v>98</v>
      </c>
    </row>
    <row r="472">
      <c r="A472" s="24">
        <f t="shared" si="1"/>
        <v>471</v>
      </c>
      <c r="B472" s="24" t="s">
        <v>286</v>
      </c>
      <c r="C472" s="275">
        <v>42630.0</v>
      </c>
      <c r="D472" s="24" t="str">
        <f t="shared" si="3"/>
        <v>Sep-2016</v>
      </c>
      <c r="E472" s="24" t="s">
        <v>25</v>
      </c>
      <c r="F472" s="24" t="s">
        <v>35</v>
      </c>
      <c r="G472" s="23" t="s">
        <v>101</v>
      </c>
      <c r="H472" s="24" t="s">
        <v>102</v>
      </c>
      <c r="I472" s="24" t="s">
        <v>9</v>
      </c>
      <c r="J472" s="24" t="s">
        <v>24</v>
      </c>
      <c r="K472" s="24"/>
      <c r="L472" s="24" t="s">
        <v>106</v>
      </c>
    </row>
    <row r="473">
      <c r="A473" s="24">
        <f t="shared" si="1"/>
        <v>472</v>
      </c>
      <c r="B473" s="24" t="s">
        <v>286</v>
      </c>
      <c r="C473" s="275">
        <v>42630.0</v>
      </c>
      <c r="D473" s="24" t="str">
        <f t="shared" si="3"/>
        <v>Sep-2016</v>
      </c>
      <c r="E473" s="24" t="s">
        <v>20</v>
      </c>
      <c r="F473" s="24" t="s">
        <v>35</v>
      </c>
      <c r="G473" s="23" t="s">
        <v>291</v>
      </c>
      <c r="H473" s="24" t="s">
        <v>44</v>
      </c>
      <c r="I473" s="24" t="s">
        <v>9</v>
      </c>
      <c r="J473" s="24" t="s">
        <v>30</v>
      </c>
      <c r="K473" s="24" t="s">
        <v>30</v>
      </c>
      <c r="L473" s="24" t="s">
        <v>69</v>
      </c>
    </row>
    <row r="474">
      <c r="A474" s="24">
        <f t="shared" si="1"/>
        <v>473</v>
      </c>
      <c r="B474" s="24" t="s">
        <v>286</v>
      </c>
      <c r="C474" s="275">
        <v>42630.0</v>
      </c>
      <c r="D474" s="24" t="str">
        <f t="shared" si="3"/>
        <v>Sep-2016</v>
      </c>
      <c r="E474" s="24" t="s">
        <v>25</v>
      </c>
      <c r="F474" s="24" t="s">
        <v>35</v>
      </c>
      <c r="G474" s="23" t="s">
        <v>291</v>
      </c>
      <c r="H474" s="24" t="s">
        <v>44</v>
      </c>
      <c r="I474" s="24" t="s">
        <v>9</v>
      </c>
      <c r="J474" s="24" t="s">
        <v>30</v>
      </c>
      <c r="K474" s="24"/>
      <c r="L474" s="24" t="s">
        <v>69</v>
      </c>
    </row>
    <row r="475">
      <c r="A475" s="24">
        <f t="shared" si="1"/>
        <v>474</v>
      </c>
      <c r="B475" s="24" t="s">
        <v>286</v>
      </c>
      <c r="C475" s="275">
        <v>42630.0</v>
      </c>
      <c r="D475" s="24" t="str">
        <f t="shared" si="3"/>
        <v>Sep-2016</v>
      </c>
      <c r="E475" s="24" t="s">
        <v>20</v>
      </c>
      <c r="F475" s="24" t="s">
        <v>35</v>
      </c>
      <c r="G475" s="23" t="s">
        <v>238</v>
      </c>
      <c r="H475" s="24" t="s">
        <v>216</v>
      </c>
      <c r="I475" s="24" t="s">
        <v>9</v>
      </c>
      <c r="J475" s="24" t="s">
        <v>24</v>
      </c>
      <c r="K475" s="24" t="s">
        <v>24</v>
      </c>
      <c r="L475" s="24" t="s">
        <v>37</v>
      </c>
    </row>
    <row r="476">
      <c r="A476" s="24">
        <f t="shared" si="1"/>
        <v>475</v>
      </c>
      <c r="B476" s="24" t="s">
        <v>286</v>
      </c>
      <c r="C476" s="275">
        <v>42630.0</v>
      </c>
      <c r="D476" s="24" t="str">
        <f t="shared" si="3"/>
        <v>Sep-2016</v>
      </c>
      <c r="E476" s="24" t="s">
        <v>25</v>
      </c>
      <c r="F476" s="24" t="s">
        <v>35</v>
      </c>
      <c r="G476" s="23" t="s">
        <v>238</v>
      </c>
      <c r="H476" s="24" t="s">
        <v>216</v>
      </c>
      <c r="I476" s="24" t="s">
        <v>9</v>
      </c>
      <c r="J476" s="24" t="s">
        <v>24</v>
      </c>
      <c r="K476" s="24"/>
      <c r="L476" s="24" t="s">
        <v>98</v>
      </c>
    </row>
    <row r="477">
      <c r="A477" s="24">
        <f t="shared" si="1"/>
        <v>476</v>
      </c>
      <c r="B477" s="24" t="s">
        <v>292</v>
      </c>
      <c r="C477" s="338">
        <v>42632.0</v>
      </c>
      <c r="D477" s="24" t="str">
        <f t="shared" si="3"/>
        <v>Sep-2016</v>
      </c>
      <c r="E477" s="24" t="s">
        <v>20</v>
      </c>
      <c r="F477" s="24" t="s">
        <v>35</v>
      </c>
      <c r="G477" s="23" t="s">
        <v>269</v>
      </c>
      <c r="H477" s="24" t="s">
        <v>23</v>
      </c>
      <c r="I477" s="24" t="s">
        <v>9</v>
      </c>
      <c r="J477" s="24" t="s">
        <v>30</v>
      </c>
      <c r="K477" s="24" t="s">
        <v>30</v>
      </c>
      <c r="L477" s="24" t="s">
        <v>37</v>
      </c>
    </row>
    <row r="478">
      <c r="A478" s="24">
        <f t="shared" si="1"/>
        <v>477</v>
      </c>
      <c r="B478" s="24" t="s">
        <v>292</v>
      </c>
      <c r="C478" s="338">
        <v>42632.0</v>
      </c>
      <c r="D478" s="24" t="str">
        <f t="shared" si="3"/>
        <v>Sep-2016</v>
      </c>
      <c r="E478" s="24" t="s">
        <v>25</v>
      </c>
      <c r="F478" s="24" t="s">
        <v>35</v>
      </c>
      <c r="G478" s="23" t="s">
        <v>269</v>
      </c>
      <c r="H478" s="24" t="s">
        <v>23</v>
      </c>
      <c r="I478" s="24" t="s">
        <v>9</v>
      </c>
      <c r="J478" s="24" t="s">
        <v>30</v>
      </c>
      <c r="K478" s="24"/>
      <c r="L478" s="24" t="s">
        <v>106</v>
      </c>
    </row>
    <row r="479">
      <c r="A479" s="24">
        <f t="shared" si="1"/>
        <v>478</v>
      </c>
      <c r="B479" s="24" t="s">
        <v>292</v>
      </c>
      <c r="C479" s="338">
        <v>42632.0</v>
      </c>
      <c r="D479" s="24" t="str">
        <f t="shared" si="3"/>
        <v>Sep-2016</v>
      </c>
      <c r="E479" s="24" t="s">
        <v>20</v>
      </c>
      <c r="F479" s="24" t="s">
        <v>35</v>
      </c>
      <c r="G479" s="23" t="s">
        <v>36</v>
      </c>
      <c r="H479" s="24" t="s">
        <v>23</v>
      </c>
      <c r="I479" s="24" t="s">
        <v>9</v>
      </c>
      <c r="J479" s="24" t="s">
        <v>24</v>
      </c>
      <c r="K479" s="24" t="s">
        <v>24</v>
      </c>
      <c r="L479" s="24" t="s">
        <v>98</v>
      </c>
    </row>
    <row r="480">
      <c r="A480" s="24">
        <f t="shared" si="1"/>
        <v>479</v>
      </c>
      <c r="B480" s="24" t="s">
        <v>292</v>
      </c>
      <c r="C480" s="338">
        <v>42632.0</v>
      </c>
      <c r="D480" s="24" t="str">
        <f t="shared" si="3"/>
        <v>Sep-2016</v>
      </c>
      <c r="E480" s="24" t="s">
        <v>25</v>
      </c>
      <c r="F480" s="24" t="s">
        <v>35</v>
      </c>
      <c r="G480" s="23" t="s">
        <v>36</v>
      </c>
      <c r="H480" s="24" t="s">
        <v>23</v>
      </c>
      <c r="I480" s="24" t="s">
        <v>9</v>
      </c>
      <c r="J480" s="24" t="s">
        <v>24</v>
      </c>
      <c r="K480" s="24"/>
      <c r="L480" s="24" t="s">
        <v>69</v>
      </c>
    </row>
    <row r="481">
      <c r="A481" s="24">
        <f t="shared" si="1"/>
        <v>480</v>
      </c>
      <c r="B481" s="24" t="s">
        <v>292</v>
      </c>
      <c r="C481" s="338">
        <v>42632.0</v>
      </c>
      <c r="D481" s="24" t="str">
        <f t="shared" si="3"/>
        <v>Sep-2016</v>
      </c>
      <c r="E481" s="24" t="s">
        <v>20</v>
      </c>
      <c r="F481" s="24" t="s">
        <v>35</v>
      </c>
      <c r="G481" s="23" t="s">
        <v>294</v>
      </c>
      <c r="H481" s="24" t="s">
        <v>27</v>
      </c>
      <c r="I481" s="24" t="s">
        <v>9</v>
      </c>
      <c r="J481" s="24" t="s">
        <v>24</v>
      </c>
      <c r="K481" s="24" t="s">
        <v>24</v>
      </c>
      <c r="L481" s="24" t="s">
        <v>98</v>
      </c>
    </row>
    <row r="482">
      <c r="A482" s="24">
        <f t="shared" si="1"/>
        <v>481</v>
      </c>
      <c r="B482" s="24" t="s">
        <v>292</v>
      </c>
      <c r="C482" s="338">
        <v>42632.0</v>
      </c>
      <c r="D482" s="24" t="str">
        <f t="shared" si="3"/>
        <v>Sep-2016</v>
      </c>
      <c r="E482" s="24" t="s">
        <v>25</v>
      </c>
      <c r="F482" s="24" t="s">
        <v>35</v>
      </c>
      <c r="G482" s="23" t="s">
        <v>294</v>
      </c>
      <c r="H482" s="24" t="s">
        <v>27</v>
      </c>
      <c r="I482" s="24" t="s">
        <v>9</v>
      </c>
      <c r="J482" s="24" t="s">
        <v>24</v>
      </c>
      <c r="K482" s="24"/>
      <c r="L482" s="24" t="s">
        <v>29</v>
      </c>
    </row>
    <row r="483">
      <c r="A483" s="24">
        <f t="shared" si="1"/>
        <v>482</v>
      </c>
      <c r="B483" s="24" t="s">
        <v>295</v>
      </c>
      <c r="C483" s="275">
        <v>42642.0</v>
      </c>
      <c r="D483" s="24" t="str">
        <f t="shared" si="3"/>
        <v>Sep-2016</v>
      </c>
      <c r="E483" s="24" t="s">
        <v>20</v>
      </c>
      <c r="F483" s="24" t="s">
        <v>35</v>
      </c>
      <c r="G483" s="23" t="s">
        <v>296</v>
      </c>
      <c r="H483" s="24" t="s">
        <v>9</v>
      </c>
      <c r="I483" s="24" t="s">
        <v>9</v>
      </c>
      <c r="J483" s="24" t="s">
        <v>30</v>
      </c>
      <c r="K483" s="24" t="s">
        <v>24</v>
      </c>
      <c r="L483" s="24" t="s">
        <v>98</v>
      </c>
    </row>
    <row r="484">
      <c r="A484" s="24">
        <f t="shared" si="1"/>
        <v>483</v>
      </c>
      <c r="B484" s="24" t="s">
        <v>295</v>
      </c>
      <c r="C484" s="275">
        <v>42642.0</v>
      </c>
      <c r="D484" s="24" t="str">
        <f t="shared" si="3"/>
        <v>Sep-2016</v>
      </c>
      <c r="E484" s="24" t="s">
        <v>25</v>
      </c>
      <c r="F484" s="24" t="s">
        <v>35</v>
      </c>
      <c r="G484" s="23" t="s">
        <v>296</v>
      </c>
      <c r="H484" s="24" t="s">
        <v>9</v>
      </c>
      <c r="I484" s="24" t="s">
        <v>9</v>
      </c>
      <c r="J484" s="24" t="s">
        <v>24</v>
      </c>
      <c r="K484" s="24"/>
      <c r="L484" s="24" t="s">
        <v>106</v>
      </c>
    </row>
    <row r="485">
      <c r="A485" s="24">
        <f t="shared" si="1"/>
        <v>484</v>
      </c>
      <c r="B485" s="24" t="s">
        <v>295</v>
      </c>
      <c r="C485" s="275">
        <v>42642.0</v>
      </c>
      <c r="D485" s="24" t="str">
        <f t="shared" si="3"/>
        <v>Sep-2016</v>
      </c>
      <c r="E485" s="24" t="s">
        <v>32</v>
      </c>
      <c r="F485" s="24" t="s">
        <v>35</v>
      </c>
      <c r="G485" s="23" t="s">
        <v>296</v>
      </c>
      <c r="H485" s="24" t="s">
        <v>9</v>
      </c>
      <c r="I485" s="24" t="s">
        <v>9</v>
      </c>
      <c r="J485" s="24" t="s">
        <v>24</v>
      </c>
      <c r="K485" s="24"/>
      <c r="L485" s="24" t="s">
        <v>69</v>
      </c>
    </row>
    <row r="486">
      <c r="A486" s="24">
        <f t="shared" si="1"/>
        <v>485</v>
      </c>
      <c r="B486" s="24" t="s">
        <v>295</v>
      </c>
      <c r="C486" s="275">
        <v>42642.0</v>
      </c>
      <c r="D486" s="24" t="str">
        <f t="shared" si="3"/>
        <v>Sep-2016</v>
      </c>
      <c r="E486" s="24" t="s">
        <v>20</v>
      </c>
      <c r="F486" s="24" t="s">
        <v>35</v>
      </c>
      <c r="G486" s="23" t="s">
        <v>298</v>
      </c>
      <c r="H486" s="24" t="s">
        <v>9</v>
      </c>
      <c r="I486" s="24" t="s">
        <v>9</v>
      </c>
      <c r="J486" s="24" t="s">
        <v>30</v>
      </c>
      <c r="K486" s="24" t="s">
        <v>30</v>
      </c>
      <c r="L486" s="24" t="s">
        <v>69</v>
      </c>
    </row>
    <row r="487">
      <c r="A487" s="24">
        <f t="shared" si="1"/>
        <v>486</v>
      </c>
      <c r="B487" s="24" t="s">
        <v>295</v>
      </c>
      <c r="C487" s="275">
        <v>42642.0</v>
      </c>
      <c r="D487" s="24" t="str">
        <f t="shared" si="3"/>
        <v>Sep-2016</v>
      </c>
      <c r="E487" s="24" t="s">
        <v>25</v>
      </c>
      <c r="F487" s="24" t="s">
        <v>35</v>
      </c>
      <c r="G487" s="23" t="s">
        <v>298</v>
      </c>
      <c r="H487" s="24" t="s">
        <v>9</v>
      </c>
      <c r="I487" s="24" t="s">
        <v>9</v>
      </c>
      <c r="J487" s="24" t="s">
        <v>30</v>
      </c>
      <c r="K487" s="24"/>
      <c r="L487" s="24" t="s">
        <v>29</v>
      </c>
    </row>
    <row r="488">
      <c r="A488" s="24">
        <f t="shared" si="1"/>
        <v>487</v>
      </c>
      <c r="B488" s="24" t="s">
        <v>295</v>
      </c>
      <c r="C488" s="275">
        <v>42642.0</v>
      </c>
      <c r="D488" s="24" t="str">
        <f t="shared" si="3"/>
        <v>Sep-2016</v>
      </c>
      <c r="E488" s="24" t="s">
        <v>20</v>
      </c>
      <c r="F488" s="24" t="s">
        <v>35</v>
      </c>
      <c r="G488" s="23" t="s">
        <v>607</v>
      </c>
      <c r="H488" s="24" t="s">
        <v>71</v>
      </c>
      <c r="I488" s="24" t="s">
        <v>9</v>
      </c>
      <c r="J488" s="24" t="s">
        <v>30</v>
      </c>
      <c r="K488" s="24" t="s">
        <v>30</v>
      </c>
      <c r="L488" s="24" t="s">
        <v>71</v>
      </c>
    </row>
    <row r="489">
      <c r="A489" s="24">
        <f t="shared" si="1"/>
        <v>488</v>
      </c>
      <c r="B489" s="24" t="s">
        <v>295</v>
      </c>
      <c r="C489" s="275">
        <v>42642.0</v>
      </c>
      <c r="D489" s="24" t="str">
        <f t="shared" si="3"/>
        <v>Sep-2016</v>
      </c>
      <c r="E489" s="24" t="s">
        <v>25</v>
      </c>
      <c r="F489" s="24" t="s">
        <v>35</v>
      </c>
      <c r="G489" s="23" t="s">
        <v>607</v>
      </c>
      <c r="H489" s="24" t="s">
        <v>9</v>
      </c>
      <c r="I489" s="24" t="s">
        <v>9</v>
      </c>
      <c r="J489" s="24" t="s">
        <v>30</v>
      </c>
      <c r="K489" s="24"/>
      <c r="L489" s="24" t="s">
        <v>9</v>
      </c>
    </row>
    <row r="490">
      <c r="A490" s="24">
        <f t="shared" si="1"/>
        <v>489</v>
      </c>
      <c r="B490" s="24" t="s">
        <v>295</v>
      </c>
      <c r="C490" s="275">
        <v>42642.0</v>
      </c>
      <c r="D490" s="24" t="str">
        <f t="shared" si="3"/>
        <v>Sep-2016</v>
      </c>
      <c r="E490" s="24" t="s">
        <v>20</v>
      </c>
      <c r="F490" s="24" t="s">
        <v>35</v>
      </c>
      <c r="G490" s="23" t="s">
        <v>300</v>
      </c>
      <c r="H490" s="24" t="s">
        <v>44</v>
      </c>
      <c r="I490" s="24" t="s">
        <v>9</v>
      </c>
      <c r="J490" s="24" t="s">
        <v>30</v>
      </c>
      <c r="K490" s="24" t="s">
        <v>30</v>
      </c>
      <c r="L490" s="24" t="s">
        <v>37</v>
      </c>
    </row>
    <row r="491">
      <c r="A491" s="24">
        <f t="shared" si="1"/>
        <v>490</v>
      </c>
      <c r="B491" s="24" t="s">
        <v>295</v>
      </c>
      <c r="C491" s="275">
        <v>42642.0</v>
      </c>
      <c r="D491" s="24" t="str">
        <f t="shared" si="3"/>
        <v>Sep-2016</v>
      </c>
      <c r="E491" s="24" t="s">
        <v>25</v>
      </c>
      <c r="F491" s="24" t="s">
        <v>35</v>
      </c>
      <c r="G491" s="23" t="s">
        <v>300</v>
      </c>
      <c r="H491" s="24" t="s">
        <v>44</v>
      </c>
      <c r="I491" s="24" t="s">
        <v>9</v>
      </c>
      <c r="J491" s="24" t="s">
        <v>30</v>
      </c>
      <c r="K491" s="24"/>
      <c r="L491" s="24" t="s">
        <v>69</v>
      </c>
    </row>
    <row r="492">
      <c r="A492" s="24">
        <f t="shared" si="1"/>
        <v>491</v>
      </c>
      <c r="B492" s="24" t="s">
        <v>295</v>
      </c>
      <c r="C492" s="275">
        <v>42642.0</v>
      </c>
      <c r="D492" s="24" t="str">
        <f t="shared" si="3"/>
        <v>Sep-2016</v>
      </c>
      <c r="E492" s="24" t="s">
        <v>20</v>
      </c>
      <c r="F492" s="24" t="s">
        <v>35</v>
      </c>
      <c r="G492" s="23" t="s">
        <v>296</v>
      </c>
      <c r="H492" s="24" t="s">
        <v>9</v>
      </c>
      <c r="I492" s="24" t="s">
        <v>9</v>
      </c>
      <c r="J492" s="24" t="s">
        <v>24</v>
      </c>
      <c r="K492" s="24" t="s">
        <v>24</v>
      </c>
      <c r="L492" s="24" t="s">
        <v>9</v>
      </c>
    </row>
    <row r="493">
      <c r="A493" s="24">
        <f t="shared" si="1"/>
        <v>492</v>
      </c>
      <c r="B493" s="24" t="s">
        <v>295</v>
      </c>
      <c r="C493" s="275">
        <v>42642.0</v>
      </c>
      <c r="D493" s="24" t="str">
        <f t="shared" si="3"/>
        <v>Sep-2016</v>
      </c>
      <c r="E493" s="24" t="s">
        <v>25</v>
      </c>
      <c r="F493" s="24" t="s">
        <v>35</v>
      </c>
      <c r="G493" s="23" t="s">
        <v>296</v>
      </c>
      <c r="H493" s="24" t="s">
        <v>9</v>
      </c>
      <c r="I493" s="24" t="s">
        <v>9</v>
      </c>
      <c r="J493" s="24" t="s">
        <v>24</v>
      </c>
      <c r="K493" s="24"/>
      <c r="L493" s="24" t="s">
        <v>29</v>
      </c>
    </row>
    <row r="494">
      <c r="A494" s="24">
        <f t="shared" si="1"/>
        <v>493</v>
      </c>
      <c r="B494" s="24" t="s">
        <v>301</v>
      </c>
      <c r="C494" s="339">
        <v>42646.0</v>
      </c>
      <c r="D494" s="24" t="str">
        <f t="shared" si="3"/>
        <v>Oct-2016</v>
      </c>
      <c r="E494" s="24" t="s">
        <v>20</v>
      </c>
      <c r="F494" s="24" t="s">
        <v>35</v>
      </c>
      <c r="G494" s="23" t="s">
        <v>302</v>
      </c>
      <c r="H494" s="24" t="s">
        <v>27</v>
      </c>
      <c r="I494" s="24" t="s">
        <v>9</v>
      </c>
      <c r="J494" s="24" t="s">
        <v>30</v>
      </c>
      <c r="K494" s="24" t="s">
        <v>30</v>
      </c>
      <c r="L494" s="24" t="s">
        <v>29</v>
      </c>
    </row>
    <row r="495">
      <c r="A495" s="24">
        <f t="shared" si="1"/>
        <v>494</v>
      </c>
      <c r="B495" s="24" t="s">
        <v>301</v>
      </c>
      <c r="C495" s="339">
        <v>42646.0</v>
      </c>
      <c r="D495" s="24" t="str">
        <f t="shared" si="3"/>
        <v>Oct-2016</v>
      </c>
      <c r="E495" s="24" t="s">
        <v>25</v>
      </c>
      <c r="F495" s="24" t="s">
        <v>35</v>
      </c>
      <c r="G495" s="23" t="s">
        <v>302</v>
      </c>
      <c r="H495" s="24" t="s">
        <v>27</v>
      </c>
      <c r="I495" s="24" t="s">
        <v>9</v>
      </c>
      <c r="J495" s="24" t="s">
        <v>30</v>
      </c>
      <c r="K495" s="24"/>
      <c r="L495" s="24" t="s">
        <v>106</v>
      </c>
    </row>
    <row r="496">
      <c r="A496" s="24">
        <f t="shared" si="1"/>
        <v>495</v>
      </c>
      <c r="B496" s="24" t="s">
        <v>301</v>
      </c>
      <c r="C496" s="339">
        <v>42646.0</v>
      </c>
      <c r="D496" s="24" t="str">
        <f t="shared" si="3"/>
        <v>Oct-2016</v>
      </c>
      <c r="E496" s="24" t="s">
        <v>20</v>
      </c>
      <c r="F496" s="24" t="s">
        <v>35</v>
      </c>
      <c r="G496" s="23" t="s">
        <v>304</v>
      </c>
      <c r="H496" s="24" t="s">
        <v>86</v>
      </c>
      <c r="I496" s="24" t="s">
        <v>9</v>
      </c>
      <c r="J496" s="24" t="s">
        <v>24</v>
      </c>
      <c r="K496" s="24" t="s">
        <v>24</v>
      </c>
      <c r="L496" s="24" t="s">
        <v>69</v>
      </c>
    </row>
    <row r="497">
      <c r="A497" s="24">
        <f t="shared" si="1"/>
        <v>496</v>
      </c>
      <c r="B497" s="24" t="s">
        <v>301</v>
      </c>
      <c r="C497" s="339">
        <v>42646.0</v>
      </c>
      <c r="D497" s="24" t="str">
        <f t="shared" si="3"/>
        <v>Oct-2016</v>
      </c>
      <c r="E497" s="24" t="s">
        <v>25</v>
      </c>
      <c r="F497" s="24" t="s">
        <v>35</v>
      </c>
      <c r="G497" s="23" t="s">
        <v>304</v>
      </c>
      <c r="H497" s="24" t="s">
        <v>44</v>
      </c>
      <c r="I497" s="24" t="s">
        <v>9</v>
      </c>
      <c r="J497" s="24" t="s">
        <v>24</v>
      </c>
      <c r="K497" s="24"/>
      <c r="L497" s="24" t="s">
        <v>29</v>
      </c>
    </row>
    <row r="498">
      <c r="A498" s="24">
        <f t="shared" si="1"/>
        <v>497</v>
      </c>
      <c r="B498" s="24" t="s">
        <v>301</v>
      </c>
      <c r="C498" s="339">
        <v>42646.0</v>
      </c>
      <c r="D498" s="24" t="str">
        <f t="shared" si="3"/>
        <v>Oct-2016</v>
      </c>
      <c r="E498" s="24" t="s">
        <v>20</v>
      </c>
      <c r="F498" s="24" t="s">
        <v>35</v>
      </c>
      <c r="G498" s="23" t="s">
        <v>305</v>
      </c>
      <c r="H498" s="24" t="s">
        <v>27</v>
      </c>
      <c r="I498" s="24" t="s">
        <v>9</v>
      </c>
      <c r="J498" s="24" t="s">
        <v>30</v>
      </c>
      <c r="K498" s="24" t="s">
        <v>30</v>
      </c>
      <c r="L498" s="24" t="s">
        <v>98</v>
      </c>
    </row>
    <row r="499">
      <c r="A499" s="24">
        <f t="shared" si="1"/>
        <v>498</v>
      </c>
      <c r="B499" s="24" t="s">
        <v>301</v>
      </c>
      <c r="C499" s="339">
        <v>42646.0</v>
      </c>
      <c r="D499" s="24" t="str">
        <f t="shared" si="3"/>
        <v>Oct-2016</v>
      </c>
      <c r="E499" s="24" t="s">
        <v>25</v>
      </c>
      <c r="F499" s="24" t="s">
        <v>35</v>
      </c>
      <c r="G499" s="23" t="s">
        <v>305</v>
      </c>
      <c r="H499" s="24" t="s">
        <v>27</v>
      </c>
      <c r="I499" s="24" t="s">
        <v>9</v>
      </c>
      <c r="J499" s="24" t="s">
        <v>30</v>
      </c>
      <c r="K499" s="24"/>
      <c r="L499" s="24" t="s">
        <v>106</v>
      </c>
    </row>
    <row r="500">
      <c r="A500" s="24">
        <f t="shared" si="1"/>
        <v>499</v>
      </c>
      <c r="B500" s="24" t="s">
        <v>301</v>
      </c>
      <c r="C500" s="339">
        <v>42646.0</v>
      </c>
      <c r="D500" s="24" t="str">
        <f t="shared" si="3"/>
        <v>Oct-2016</v>
      </c>
      <c r="E500" s="24" t="s">
        <v>20</v>
      </c>
      <c r="F500" s="24" t="s">
        <v>35</v>
      </c>
      <c r="G500" s="23" t="s">
        <v>306</v>
      </c>
      <c r="H500" s="24" t="s">
        <v>44</v>
      </c>
      <c r="I500" s="24" t="s">
        <v>9</v>
      </c>
      <c r="J500" s="24" t="s">
        <v>30</v>
      </c>
      <c r="K500" s="24" t="s">
        <v>24</v>
      </c>
      <c r="L500" s="24" t="s">
        <v>98</v>
      </c>
    </row>
    <row r="501">
      <c r="A501" s="24">
        <f t="shared" si="1"/>
        <v>500</v>
      </c>
      <c r="B501" s="24" t="s">
        <v>301</v>
      </c>
      <c r="C501" s="339">
        <v>42646.0</v>
      </c>
      <c r="D501" s="24" t="str">
        <f t="shared" si="3"/>
        <v>Oct-2016</v>
      </c>
      <c r="E501" s="24" t="s">
        <v>25</v>
      </c>
      <c r="F501" s="24" t="s">
        <v>35</v>
      </c>
      <c r="G501" s="23" t="s">
        <v>306</v>
      </c>
      <c r="H501" s="24" t="s">
        <v>44</v>
      </c>
      <c r="I501" s="24" t="s">
        <v>9</v>
      </c>
      <c r="J501" s="24" t="s">
        <v>24</v>
      </c>
      <c r="K501" s="24"/>
      <c r="L501" s="24" t="s">
        <v>106</v>
      </c>
    </row>
    <row r="502">
      <c r="A502" s="24">
        <f t="shared" si="1"/>
        <v>501</v>
      </c>
      <c r="B502" s="24" t="s">
        <v>301</v>
      </c>
      <c r="C502" s="339">
        <v>42646.0</v>
      </c>
      <c r="D502" s="24" t="str">
        <f t="shared" si="3"/>
        <v>Oct-2016</v>
      </c>
      <c r="E502" s="24" t="s">
        <v>32</v>
      </c>
      <c r="F502" s="24" t="s">
        <v>35</v>
      </c>
      <c r="G502" s="23" t="s">
        <v>306</v>
      </c>
      <c r="H502" s="24" t="s">
        <v>44</v>
      </c>
      <c r="I502" s="24" t="s">
        <v>9</v>
      </c>
      <c r="J502" s="24" t="s">
        <v>24</v>
      </c>
      <c r="K502" s="24"/>
      <c r="L502" s="24" t="s">
        <v>69</v>
      </c>
    </row>
    <row r="503">
      <c r="A503" s="24">
        <f t="shared" si="1"/>
        <v>502</v>
      </c>
      <c r="B503" s="24" t="s">
        <v>307</v>
      </c>
      <c r="C503" s="95">
        <v>42650.0</v>
      </c>
      <c r="D503" s="24" t="str">
        <f t="shared" si="3"/>
        <v>Oct-2016</v>
      </c>
      <c r="E503" s="24" t="s">
        <v>20</v>
      </c>
      <c r="F503" s="24" t="s">
        <v>309</v>
      </c>
      <c r="G503" s="23" t="s">
        <v>310</v>
      </c>
      <c r="H503" s="24" t="s">
        <v>48</v>
      </c>
      <c r="I503" s="24" t="s">
        <v>9</v>
      </c>
      <c r="J503" s="24" t="s">
        <v>24</v>
      </c>
      <c r="K503" s="24" t="s">
        <v>24</v>
      </c>
      <c r="L503" s="24" t="s">
        <v>98</v>
      </c>
    </row>
    <row r="504">
      <c r="A504" s="24">
        <f t="shared" si="1"/>
        <v>503</v>
      </c>
      <c r="B504" s="24" t="s">
        <v>307</v>
      </c>
      <c r="C504" s="95">
        <v>42650.0</v>
      </c>
      <c r="D504" s="24" t="str">
        <f t="shared" si="3"/>
        <v>Oct-2016</v>
      </c>
      <c r="E504" s="24" t="s">
        <v>25</v>
      </c>
      <c r="F504" s="24" t="s">
        <v>309</v>
      </c>
      <c r="G504" s="23" t="s">
        <v>310</v>
      </c>
      <c r="H504" s="24" t="s">
        <v>48</v>
      </c>
      <c r="I504" s="24" t="s">
        <v>9</v>
      </c>
      <c r="J504" s="24" t="s">
        <v>24</v>
      </c>
      <c r="K504" s="24"/>
      <c r="L504" s="24" t="s">
        <v>69</v>
      </c>
    </row>
    <row r="505">
      <c r="A505" s="24">
        <f t="shared" si="1"/>
        <v>504</v>
      </c>
      <c r="B505" s="24" t="s">
        <v>307</v>
      </c>
      <c r="C505" s="95">
        <v>42650.0</v>
      </c>
      <c r="D505" s="24" t="str">
        <f t="shared" si="3"/>
        <v>Oct-2016</v>
      </c>
      <c r="E505" s="24" t="s">
        <v>20</v>
      </c>
      <c r="F505" s="24" t="s">
        <v>309</v>
      </c>
      <c r="G505" s="23" t="s">
        <v>312</v>
      </c>
      <c r="H505" s="24" t="s">
        <v>44</v>
      </c>
      <c r="I505" s="24" t="s">
        <v>9</v>
      </c>
      <c r="J505" s="24" t="s">
        <v>30</v>
      </c>
      <c r="K505" s="24" t="s">
        <v>30</v>
      </c>
      <c r="L505" s="24" t="s">
        <v>98</v>
      </c>
    </row>
    <row r="506">
      <c r="A506" s="24">
        <f t="shared" si="1"/>
        <v>505</v>
      </c>
      <c r="B506" s="24" t="s">
        <v>307</v>
      </c>
      <c r="C506" s="95">
        <v>42650.0</v>
      </c>
      <c r="D506" s="24" t="str">
        <f t="shared" si="3"/>
        <v>Oct-2016</v>
      </c>
      <c r="E506" s="24" t="s">
        <v>25</v>
      </c>
      <c r="F506" s="24" t="s">
        <v>309</v>
      </c>
      <c r="G506" s="23" t="s">
        <v>312</v>
      </c>
      <c r="H506" s="24" t="s">
        <v>44</v>
      </c>
      <c r="I506" s="24" t="s">
        <v>9</v>
      </c>
      <c r="J506" s="24" t="s">
        <v>30</v>
      </c>
      <c r="K506" s="24"/>
      <c r="L506" s="24" t="s">
        <v>69</v>
      </c>
    </row>
    <row r="507">
      <c r="A507" s="24">
        <f t="shared" si="1"/>
        <v>506</v>
      </c>
      <c r="B507" s="24" t="s">
        <v>307</v>
      </c>
      <c r="C507" s="95">
        <v>42650.0</v>
      </c>
      <c r="D507" s="24" t="str">
        <f t="shared" si="3"/>
        <v>Oct-2016</v>
      </c>
      <c r="E507" s="24" t="s">
        <v>20</v>
      </c>
      <c r="F507" s="24" t="s">
        <v>309</v>
      </c>
      <c r="G507" s="23" t="s">
        <v>315</v>
      </c>
      <c r="H507" s="24" t="s">
        <v>9</v>
      </c>
      <c r="I507" s="24" t="s">
        <v>9</v>
      </c>
      <c r="J507" s="24" t="s">
        <v>24</v>
      </c>
      <c r="K507" s="24" t="s">
        <v>30</v>
      </c>
      <c r="L507" s="24" t="s">
        <v>37</v>
      </c>
    </row>
    <row r="508">
      <c r="A508" s="24">
        <f t="shared" si="1"/>
        <v>507</v>
      </c>
      <c r="B508" s="24" t="s">
        <v>307</v>
      </c>
      <c r="C508" s="95">
        <v>42650.0</v>
      </c>
      <c r="D508" s="24" t="str">
        <f t="shared" si="3"/>
        <v>Oct-2016</v>
      </c>
      <c r="E508" s="24" t="s">
        <v>25</v>
      </c>
      <c r="F508" s="24" t="s">
        <v>309</v>
      </c>
      <c r="G508" s="23" t="s">
        <v>315</v>
      </c>
      <c r="H508" s="24" t="s">
        <v>9</v>
      </c>
      <c r="I508" s="24" t="s">
        <v>9</v>
      </c>
      <c r="J508" s="24" t="s">
        <v>30</v>
      </c>
      <c r="K508" s="24"/>
      <c r="L508" s="24" t="s">
        <v>98</v>
      </c>
    </row>
    <row r="509">
      <c r="A509" s="24">
        <f t="shared" si="1"/>
        <v>508</v>
      </c>
      <c r="B509" s="24" t="s">
        <v>307</v>
      </c>
      <c r="C509" s="95">
        <v>42650.0</v>
      </c>
      <c r="D509" s="24" t="str">
        <f t="shared" si="3"/>
        <v>Oct-2016</v>
      </c>
      <c r="E509" s="24" t="s">
        <v>32</v>
      </c>
      <c r="F509" s="24" t="s">
        <v>309</v>
      </c>
      <c r="G509" s="23" t="s">
        <v>315</v>
      </c>
      <c r="H509" s="24" t="s">
        <v>9</v>
      </c>
      <c r="I509" s="24" t="s">
        <v>9</v>
      </c>
      <c r="J509" s="24" t="s">
        <v>30</v>
      </c>
      <c r="K509" s="24"/>
      <c r="L509" s="24" t="s">
        <v>98</v>
      </c>
    </row>
    <row r="510">
      <c r="A510" s="24">
        <f t="shared" si="1"/>
        <v>509</v>
      </c>
      <c r="B510" s="24" t="s">
        <v>307</v>
      </c>
      <c r="C510" s="95">
        <v>42650.0</v>
      </c>
      <c r="D510" s="24" t="str">
        <f t="shared" si="3"/>
        <v>Oct-2016</v>
      </c>
      <c r="E510" s="24" t="s">
        <v>20</v>
      </c>
      <c r="F510" s="24" t="s">
        <v>309</v>
      </c>
      <c r="G510" s="23" t="s">
        <v>317</v>
      </c>
      <c r="H510" s="24" t="s">
        <v>318</v>
      </c>
      <c r="I510" s="24" t="s">
        <v>9</v>
      </c>
      <c r="J510" s="24" t="s">
        <v>24</v>
      </c>
      <c r="K510" s="24" t="s">
        <v>30</v>
      </c>
      <c r="L510" s="24" t="s">
        <v>98</v>
      </c>
    </row>
    <row r="511">
      <c r="A511" s="24">
        <f t="shared" si="1"/>
        <v>510</v>
      </c>
      <c r="B511" s="24" t="s">
        <v>307</v>
      </c>
      <c r="C511" s="95">
        <v>42650.0</v>
      </c>
      <c r="D511" s="24" t="str">
        <f t="shared" si="3"/>
        <v>Oct-2016</v>
      </c>
      <c r="E511" s="24" t="s">
        <v>25</v>
      </c>
      <c r="F511" s="24" t="s">
        <v>309</v>
      </c>
      <c r="G511" s="23" t="s">
        <v>317</v>
      </c>
      <c r="H511" s="24" t="s">
        <v>318</v>
      </c>
      <c r="I511" s="24" t="s">
        <v>9</v>
      </c>
      <c r="J511" s="24" t="s">
        <v>30</v>
      </c>
      <c r="K511" s="24"/>
      <c r="L511" s="24" t="s">
        <v>106</v>
      </c>
    </row>
    <row r="512">
      <c r="A512" s="24">
        <f t="shared" si="1"/>
        <v>511</v>
      </c>
      <c r="B512" s="24" t="s">
        <v>307</v>
      </c>
      <c r="C512" s="95">
        <v>42650.0</v>
      </c>
      <c r="D512" s="24" t="str">
        <f t="shared" si="3"/>
        <v>Oct-2016</v>
      </c>
      <c r="E512" s="24" t="s">
        <v>32</v>
      </c>
      <c r="F512" s="24" t="s">
        <v>309</v>
      </c>
      <c r="G512" s="23" t="s">
        <v>317</v>
      </c>
      <c r="H512" s="24" t="s">
        <v>318</v>
      </c>
      <c r="I512" s="24" t="s">
        <v>9</v>
      </c>
      <c r="J512" s="24" t="s">
        <v>30</v>
      </c>
      <c r="K512" s="24"/>
      <c r="L512" s="24" t="s">
        <v>69</v>
      </c>
    </row>
    <row r="513">
      <c r="A513" s="24">
        <f t="shared" si="1"/>
        <v>512</v>
      </c>
      <c r="B513" s="24" t="s">
        <v>307</v>
      </c>
      <c r="C513" s="95">
        <v>42650.0</v>
      </c>
      <c r="D513" s="24" t="str">
        <f t="shared" si="3"/>
        <v>Oct-2016</v>
      </c>
      <c r="E513" s="24" t="s">
        <v>20</v>
      </c>
      <c r="F513" s="24" t="s">
        <v>309</v>
      </c>
      <c r="G513" s="23" t="s">
        <v>310</v>
      </c>
      <c r="H513" s="24" t="s">
        <v>48</v>
      </c>
      <c r="I513" s="24" t="s">
        <v>9</v>
      </c>
      <c r="J513" s="24" t="s">
        <v>24</v>
      </c>
      <c r="K513" s="24" t="s">
        <v>24</v>
      </c>
      <c r="L513" s="24" t="s">
        <v>98</v>
      </c>
    </row>
    <row r="514">
      <c r="A514" s="24">
        <f t="shared" si="1"/>
        <v>513</v>
      </c>
      <c r="B514" s="24" t="s">
        <v>307</v>
      </c>
      <c r="C514" s="95">
        <v>42650.0</v>
      </c>
      <c r="D514" s="24" t="str">
        <f t="shared" si="3"/>
        <v>Oct-2016</v>
      </c>
      <c r="E514" s="24" t="s">
        <v>25</v>
      </c>
      <c r="F514" s="24" t="s">
        <v>309</v>
      </c>
      <c r="G514" s="23" t="s">
        <v>310</v>
      </c>
      <c r="H514" s="24" t="s">
        <v>48</v>
      </c>
      <c r="I514" s="24" t="s">
        <v>27</v>
      </c>
      <c r="J514" s="24" t="s">
        <v>30</v>
      </c>
      <c r="K514" s="24"/>
      <c r="L514" s="24" t="s">
        <v>106</v>
      </c>
    </row>
    <row r="515">
      <c r="A515" s="24">
        <f t="shared" si="1"/>
        <v>514</v>
      </c>
      <c r="B515" s="24" t="s">
        <v>307</v>
      </c>
      <c r="C515" s="95">
        <v>42650.0</v>
      </c>
      <c r="D515" s="24" t="str">
        <f t="shared" si="3"/>
        <v>Oct-2016</v>
      </c>
      <c r="E515" s="24" t="s">
        <v>32</v>
      </c>
      <c r="F515" s="24" t="s">
        <v>309</v>
      </c>
      <c r="G515" s="23" t="s">
        <v>310</v>
      </c>
      <c r="H515" s="24" t="s">
        <v>48</v>
      </c>
      <c r="I515" s="24" t="s">
        <v>27</v>
      </c>
      <c r="J515" s="24" t="s">
        <v>24</v>
      </c>
      <c r="K515" s="24"/>
      <c r="L515" s="24" t="s">
        <v>99</v>
      </c>
    </row>
    <row r="516">
      <c r="A516" s="24">
        <f t="shared" si="1"/>
        <v>515</v>
      </c>
      <c r="B516" s="24" t="s">
        <v>320</v>
      </c>
      <c r="C516" s="95">
        <v>42665.0</v>
      </c>
      <c r="D516" s="24" t="str">
        <f t="shared" si="3"/>
        <v>Oct-2016</v>
      </c>
      <c r="E516" s="24" t="s">
        <v>20</v>
      </c>
      <c r="F516" s="24" t="s">
        <v>287</v>
      </c>
      <c r="G516" s="23" t="s">
        <v>181</v>
      </c>
      <c r="H516" s="24" t="s">
        <v>27</v>
      </c>
      <c r="I516" s="24" t="s">
        <v>9</v>
      </c>
      <c r="J516" s="24" t="s">
        <v>24</v>
      </c>
      <c r="K516" s="24" t="s">
        <v>24</v>
      </c>
      <c r="L516" s="24" t="s">
        <v>29</v>
      </c>
    </row>
    <row r="517">
      <c r="A517" s="24">
        <f t="shared" si="1"/>
        <v>516</v>
      </c>
      <c r="B517" s="24" t="s">
        <v>320</v>
      </c>
      <c r="C517" s="95">
        <v>42665.0</v>
      </c>
      <c r="D517" s="24" t="str">
        <f t="shared" si="3"/>
        <v>Oct-2016</v>
      </c>
      <c r="E517" s="24" t="s">
        <v>25</v>
      </c>
      <c r="F517" s="24" t="s">
        <v>287</v>
      </c>
      <c r="G517" s="23" t="s">
        <v>181</v>
      </c>
      <c r="H517" s="24" t="s">
        <v>27</v>
      </c>
      <c r="I517" s="24" t="s">
        <v>9</v>
      </c>
      <c r="J517" s="24" t="s">
        <v>24</v>
      </c>
      <c r="K517" s="24"/>
      <c r="L517" s="24" t="s">
        <v>98</v>
      </c>
    </row>
    <row r="518">
      <c r="A518" s="24">
        <f t="shared" si="1"/>
        <v>517</v>
      </c>
      <c r="B518" s="24" t="s">
        <v>320</v>
      </c>
      <c r="C518" s="95">
        <v>42665.0</v>
      </c>
      <c r="D518" s="24" t="str">
        <f t="shared" si="3"/>
        <v>Oct-2016</v>
      </c>
      <c r="E518" s="24" t="s">
        <v>20</v>
      </c>
      <c r="F518" s="24" t="s">
        <v>287</v>
      </c>
      <c r="G518" s="23" t="s">
        <v>322</v>
      </c>
      <c r="H518" s="24" t="s">
        <v>27</v>
      </c>
      <c r="I518" s="24" t="s">
        <v>9</v>
      </c>
      <c r="J518" s="24" t="s">
        <v>24</v>
      </c>
      <c r="K518" s="24" t="s">
        <v>24</v>
      </c>
      <c r="L518" s="24" t="s">
        <v>29</v>
      </c>
    </row>
    <row r="519">
      <c r="A519" s="24">
        <f t="shared" si="1"/>
        <v>518</v>
      </c>
      <c r="B519" s="24" t="s">
        <v>320</v>
      </c>
      <c r="C519" s="95">
        <v>42665.0</v>
      </c>
      <c r="D519" s="24" t="str">
        <f t="shared" si="3"/>
        <v>Oct-2016</v>
      </c>
      <c r="E519" s="24" t="s">
        <v>25</v>
      </c>
      <c r="F519" s="24" t="s">
        <v>287</v>
      </c>
      <c r="G519" s="23" t="s">
        <v>322</v>
      </c>
      <c r="H519" s="24" t="s">
        <v>27</v>
      </c>
      <c r="I519" s="24" t="s">
        <v>9</v>
      </c>
      <c r="J519" s="24" t="s">
        <v>24</v>
      </c>
      <c r="K519" s="24"/>
      <c r="L519" s="24" t="s">
        <v>98</v>
      </c>
    </row>
    <row r="520">
      <c r="A520" s="24">
        <f t="shared" si="1"/>
        <v>519</v>
      </c>
      <c r="B520" s="24" t="s">
        <v>320</v>
      </c>
      <c r="C520" s="95">
        <v>42665.0</v>
      </c>
      <c r="D520" s="24" t="str">
        <f t="shared" si="3"/>
        <v>Oct-2016</v>
      </c>
      <c r="E520" s="24" t="s">
        <v>20</v>
      </c>
      <c r="F520" s="24" t="s">
        <v>287</v>
      </c>
      <c r="G520" s="23" t="s">
        <v>323</v>
      </c>
      <c r="H520" s="24" t="s">
        <v>9</v>
      </c>
      <c r="I520" s="24" t="s">
        <v>9</v>
      </c>
      <c r="J520" s="24" t="s">
        <v>30</v>
      </c>
      <c r="K520" s="24" t="s">
        <v>30</v>
      </c>
      <c r="L520" s="24" t="s">
        <v>98</v>
      </c>
    </row>
    <row r="521">
      <c r="A521" s="24">
        <f t="shared" si="1"/>
        <v>520</v>
      </c>
      <c r="B521" s="24" t="s">
        <v>320</v>
      </c>
      <c r="C521" s="95">
        <v>42665.0</v>
      </c>
      <c r="D521" s="24" t="str">
        <f t="shared" si="3"/>
        <v>Oct-2016</v>
      </c>
      <c r="E521" s="24" t="s">
        <v>25</v>
      </c>
      <c r="F521" s="24" t="s">
        <v>287</v>
      </c>
      <c r="G521" s="23" t="s">
        <v>324</v>
      </c>
      <c r="H521" s="24" t="s">
        <v>9</v>
      </c>
      <c r="I521" s="24" t="s">
        <v>9</v>
      </c>
      <c r="J521" s="24" t="s">
        <v>30</v>
      </c>
      <c r="K521" s="24"/>
      <c r="L521" s="24" t="s">
        <v>106</v>
      </c>
    </row>
    <row r="522">
      <c r="A522" s="24">
        <f t="shared" si="1"/>
        <v>521</v>
      </c>
      <c r="B522" s="24" t="s">
        <v>320</v>
      </c>
      <c r="C522" s="95">
        <v>42665.0</v>
      </c>
      <c r="D522" s="24" t="str">
        <f t="shared" si="3"/>
        <v>Oct-2016</v>
      </c>
      <c r="E522" s="24" t="s">
        <v>20</v>
      </c>
      <c r="F522" s="24" t="s">
        <v>287</v>
      </c>
      <c r="G522" s="23" t="s">
        <v>325</v>
      </c>
      <c r="H522" s="24" t="s">
        <v>86</v>
      </c>
      <c r="I522" s="24" t="s">
        <v>9</v>
      </c>
      <c r="J522" s="24" t="s">
        <v>24</v>
      </c>
      <c r="K522" s="24" t="s">
        <v>24</v>
      </c>
      <c r="L522" s="24" t="s">
        <v>69</v>
      </c>
    </row>
    <row r="523">
      <c r="A523" s="24">
        <f t="shared" si="1"/>
        <v>522</v>
      </c>
      <c r="B523" s="24" t="s">
        <v>320</v>
      </c>
      <c r="C523" s="95">
        <v>42665.0</v>
      </c>
      <c r="D523" s="24" t="str">
        <f t="shared" si="3"/>
        <v>Oct-2016</v>
      </c>
      <c r="E523" s="24" t="s">
        <v>25</v>
      </c>
      <c r="F523" s="24" t="s">
        <v>287</v>
      </c>
      <c r="G523" s="23" t="s">
        <v>325</v>
      </c>
      <c r="H523" s="24" t="s">
        <v>86</v>
      </c>
      <c r="I523" s="24" t="s">
        <v>9</v>
      </c>
      <c r="J523" s="24" t="s">
        <v>30</v>
      </c>
      <c r="K523" s="24"/>
      <c r="L523" s="24" t="s">
        <v>99</v>
      </c>
    </row>
    <row r="524">
      <c r="A524" s="24">
        <f t="shared" si="1"/>
        <v>523</v>
      </c>
      <c r="B524" s="24" t="s">
        <v>320</v>
      </c>
      <c r="C524" s="95">
        <v>42665.0</v>
      </c>
      <c r="D524" s="24" t="str">
        <f t="shared" si="3"/>
        <v>Oct-2016</v>
      </c>
      <c r="E524" s="24" t="s">
        <v>32</v>
      </c>
      <c r="F524" s="24" t="s">
        <v>287</v>
      </c>
      <c r="G524" s="23" t="s">
        <v>325</v>
      </c>
      <c r="H524" s="24" t="s">
        <v>86</v>
      </c>
      <c r="I524" s="24" t="s">
        <v>9</v>
      </c>
      <c r="J524" s="24" t="s">
        <v>24</v>
      </c>
      <c r="K524" s="24"/>
      <c r="L524" s="24" t="s">
        <v>106</v>
      </c>
    </row>
    <row r="525">
      <c r="A525" s="24">
        <f t="shared" si="1"/>
        <v>524</v>
      </c>
      <c r="B525" s="24" t="s">
        <v>320</v>
      </c>
      <c r="C525" s="95">
        <v>42665.0</v>
      </c>
      <c r="D525" s="24" t="str">
        <f t="shared" si="3"/>
        <v>Oct-2016</v>
      </c>
      <c r="E525" s="24" t="s">
        <v>20</v>
      </c>
      <c r="F525" s="24" t="s">
        <v>287</v>
      </c>
      <c r="G525" s="23" t="s">
        <v>326</v>
      </c>
      <c r="H525" s="24" t="s">
        <v>9</v>
      </c>
      <c r="I525" s="24" t="s">
        <v>9</v>
      </c>
      <c r="J525" s="24" t="s">
        <v>30</v>
      </c>
      <c r="K525" s="24" t="s">
        <v>30</v>
      </c>
      <c r="L525" s="24" t="s">
        <v>98</v>
      </c>
    </row>
    <row r="526">
      <c r="A526" s="24">
        <f t="shared" si="1"/>
        <v>525</v>
      </c>
      <c r="B526" s="24" t="s">
        <v>320</v>
      </c>
      <c r="C526" s="95">
        <v>42665.0</v>
      </c>
      <c r="D526" s="24" t="str">
        <f t="shared" si="3"/>
        <v>Oct-2016</v>
      </c>
      <c r="E526" s="24" t="s">
        <v>25</v>
      </c>
      <c r="F526" s="24" t="s">
        <v>287</v>
      </c>
      <c r="G526" s="23" t="s">
        <v>326</v>
      </c>
      <c r="H526" s="24" t="s">
        <v>102</v>
      </c>
      <c r="I526" s="24" t="s">
        <v>9</v>
      </c>
      <c r="J526" s="24" t="s">
        <v>30</v>
      </c>
      <c r="K526" s="24"/>
      <c r="L526" s="24" t="s">
        <v>98</v>
      </c>
    </row>
    <row r="527">
      <c r="A527" s="24">
        <f t="shared" si="1"/>
        <v>526</v>
      </c>
      <c r="B527" s="24" t="s">
        <v>320</v>
      </c>
      <c r="C527" s="95">
        <v>42665.0</v>
      </c>
      <c r="D527" s="24" t="str">
        <f t="shared" si="3"/>
        <v>Oct-2016</v>
      </c>
      <c r="E527" s="24" t="s">
        <v>20</v>
      </c>
      <c r="F527" s="24" t="s">
        <v>327</v>
      </c>
      <c r="G527" s="23" t="s">
        <v>328</v>
      </c>
      <c r="H527" s="24" t="s">
        <v>86</v>
      </c>
      <c r="I527" s="24" t="s">
        <v>9</v>
      </c>
      <c r="J527" s="24" t="s">
        <v>24</v>
      </c>
      <c r="K527" s="24" t="s">
        <v>24</v>
      </c>
      <c r="L527" s="24" t="s">
        <v>29</v>
      </c>
    </row>
    <row r="528">
      <c r="A528" s="24">
        <f t="shared" si="1"/>
        <v>527</v>
      </c>
      <c r="B528" s="24" t="s">
        <v>320</v>
      </c>
      <c r="C528" s="95">
        <v>42665.0</v>
      </c>
      <c r="D528" s="24" t="str">
        <f t="shared" si="3"/>
        <v>Oct-2016</v>
      </c>
      <c r="E528" s="24" t="s">
        <v>25</v>
      </c>
      <c r="F528" s="24" t="s">
        <v>327</v>
      </c>
      <c r="G528" s="23" t="s">
        <v>328</v>
      </c>
      <c r="H528" s="24" t="s">
        <v>86</v>
      </c>
      <c r="I528" s="24" t="s">
        <v>9</v>
      </c>
      <c r="J528" s="24" t="s">
        <v>24</v>
      </c>
      <c r="K528" s="24"/>
      <c r="L528" s="24" t="s">
        <v>98</v>
      </c>
    </row>
    <row r="529">
      <c r="A529" s="24">
        <f t="shared" si="1"/>
        <v>528</v>
      </c>
      <c r="B529" s="24" t="s">
        <v>320</v>
      </c>
      <c r="C529" s="95">
        <v>42665.0</v>
      </c>
      <c r="D529" s="24" t="str">
        <f t="shared" si="3"/>
        <v>Oct-2016</v>
      </c>
      <c r="E529" s="24" t="s">
        <v>20</v>
      </c>
      <c r="F529" s="24" t="s">
        <v>327</v>
      </c>
      <c r="G529" s="23" t="s">
        <v>329</v>
      </c>
      <c r="H529" s="24" t="s">
        <v>44</v>
      </c>
      <c r="I529" s="24" t="s">
        <v>9</v>
      </c>
      <c r="J529" s="24" t="s">
        <v>24</v>
      </c>
      <c r="K529" s="24" t="s">
        <v>24</v>
      </c>
      <c r="L529" s="24" t="s">
        <v>98</v>
      </c>
    </row>
    <row r="530">
      <c r="A530" s="24">
        <f t="shared" si="1"/>
        <v>529</v>
      </c>
      <c r="B530" s="24" t="s">
        <v>320</v>
      </c>
      <c r="C530" s="95">
        <v>42665.0</v>
      </c>
      <c r="D530" s="24" t="str">
        <f t="shared" si="3"/>
        <v>Oct-2016</v>
      </c>
      <c r="E530" s="24" t="s">
        <v>25</v>
      </c>
      <c r="F530" s="24" t="s">
        <v>327</v>
      </c>
      <c r="G530" s="23" t="s">
        <v>329</v>
      </c>
      <c r="H530" s="24" t="s">
        <v>44</v>
      </c>
      <c r="I530" s="24" t="s">
        <v>9</v>
      </c>
      <c r="J530" s="24" t="s">
        <v>24</v>
      </c>
      <c r="K530" s="24"/>
      <c r="L530" s="24" t="s">
        <v>98</v>
      </c>
    </row>
    <row r="531">
      <c r="A531" s="24">
        <f t="shared" si="1"/>
        <v>530</v>
      </c>
      <c r="B531" s="24" t="s">
        <v>330</v>
      </c>
      <c r="C531" s="339">
        <v>42674.0</v>
      </c>
      <c r="D531" s="24" t="str">
        <f t="shared" si="3"/>
        <v>Oct-2016</v>
      </c>
      <c r="E531" s="24" t="s">
        <v>20</v>
      </c>
      <c r="F531" s="24" t="s">
        <v>35</v>
      </c>
      <c r="G531" s="23" t="s">
        <v>164</v>
      </c>
      <c r="H531" s="24" t="s">
        <v>9</v>
      </c>
      <c r="I531" s="24" t="s">
        <v>9</v>
      </c>
      <c r="J531" s="24" t="s">
        <v>30</v>
      </c>
      <c r="K531" s="24" t="s">
        <v>30</v>
      </c>
      <c r="L531" s="24" t="s">
        <v>98</v>
      </c>
    </row>
    <row r="532">
      <c r="A532" s="24">
        <f t="shared" si="1"/>
        <v>531</v>
      </c>
      <c r="B532" s="24" t="s">
        <v>330</v>
      </c>
      <c r="C532" s="339">
        <v>42674.0</v>
      </c>
      <c r="D532" s="24" t="str">
        <f t="shared" si="3"/>
        <v>Oct-2016</v>
      </c>
      <c r="E532" s="24" t="s">
        <v>25</v>
      </c>
      <c r="F532" s="24" t="s">
        <v>35</v>
      </c>
      <c r="G532" s="23" t="s">
        <v>164</v>
      </c>
      <c r="H532" s="24" t="s">
        <v>9</v>
      </c>
      <c r="I532" s="24" t="s">
        <v>9</v>
      </c>
      <c r="J532" s="24" t="s">
        <v>30</v>
      </c>
      <c r="K532" s="24"/>
      <c r="L532" s="24" t="s">
        <v>106</v>
      </c>
    </row>
    <row r="533">
      <c r="A533" s="24">
        <f t="shared" si="1"/>
        <v>532</v>
      </c>
      <c r="B533" s="24" t="s">
        <v>330</v>
      </c>
      <c r="C533" s="339">
        <v>42674.0</v>
      </c>
      <c r="D533" s="24" t="str">
        <f t="shared" si="3"/>
        <v>Oct-2016</v>
      </c>
      <c r="E533" s="24" t="s">
        <v>20</v>
      </c>
      <c r="F533" s="24" t="s">
        <v>35</v>
      </c>
      <c r="G533" s="23" t="s">
        <v>142</v>
      </c>
      <c r="H533" s="24" t="s">
        <v>44</v>
      </c>
      <c r="I533" s="24" t="s">
        <v>9</v>
      </c>
      <c r="J533" s="24" t="s">
        <v>30</v>
      </c>
      <c r="K533" s="24" t="s">
        <v>24</v>
      </c>
      <c r="L533" s="24" t="s">
        <v>98</v>
      </c>
    </row>
    <row r="534">
      <c r="A534" s="24">
        <f t="shared" si="1"/>
        <v>533</v>
      </c>
      <c r="B534" s="24" t="s">
        <v>330</v>
      </c>
      <c r="C534" s="339">
        <v>42674.0</v>
      </c>
      <c r="D534" s="24" t="str">
        <f t="shared" si="3"/>
        <v>Oct-2016</v>
      </c>
      <c r="E534" s="24" t="s">
        <v>25</v>
      </c>
      <c r="F534" s="24" t="s">
        <v>35</v>
      </c>
      <c r="G534" s="23" t="s">
        <v>142</v>
      </c>
      <c r="H534" s="24" t="s">
        <v>44</v>
      </c>
      <c r="I534" s="24" t="s">
        <v>9</v>
      </c>
      <c r="J534" s="24" t="s">
        <v>24</v>
      </c>
      <c r="K534" s="24"/>
      <c r="L534" s="24" t="s">
        <v>98</v>
      </c>
    </row>
    <row r="535">
      <c r="A535" s="24">
        <f t="shared" si="1"/>
        <v>534</v>
      </c>
      <c r="B535" s="24" t="s">
        <v>330</v>
      </c>
      <c r="C535" s="339">
        <v>42674.0</v>
      </c>
      <c r="D535" s="24" t="str">
        <f t="shared" si="3"/>
        <v>Oct-2016</v>
      </c>
      <c r="E535" s="24" t="s">
        <v>32</v>
      </c>
      <c r="F535" s="24" t="s">
        <v>35</v>
      </c>
      <c r="G535" s="23" t="s">
        <v>142</v>
      </c>
      <c r="H535" s="24" t="s">
        <v>44</v>
      </c>
      <c r="I535" s="24" t="s">
        <v>9</v>
      </c>
      <c r="J535" s="24" t="s">
        <v>24</v>
      </c>
      <c r="K535" s="24"/>
      <c r="L535" s="24" t="s">
        <v>99</v>
      </c>
    </row>
    <row r="536">
      <c r="A536" s="24">
        <f t="shared" si="1"/>
        <v>535</v>
      </c>
      <c r="B536" s="24" t="s">
        <v>330</v>
      </c>
      <c r="C536" s="339">
        <v>42674.0</v>
      </c>
      <c r="D536" s="24" t="str">
        <f t="shared" si="3"/>
        <v>Oct-2016</v>
      </c>
      <c r="E536" s="24" t="s">
        <v>20</v>
      </c>
      <c r="F536" s="24" t="s">
        <v>35</v>
      </c>
      <c r="G536" s="23" t="s">
        <v>332</v>
      </c>
      <c r="H536" s="24" t="s">
        <v>86</v>
      </c>
      <c r="I536" s="24" t="s">
        <v>9</v>
      </c>
      <c r="J536" s="24" t="s">
        <v>30</v>
      </c>
      <c r="K536" s="24" t="s">
        <v>30</v>
      </c>
      <c r="L536" s="24" t="s">
        <v>98</v>
      </c>
    </row>
    <row r="537">
      <c r="A537" s="24">
        <f t="shared" si="1"/>
        <v>536</v>
      </c>
      <c r="B537" s="24" t="s">
        <v>330</v>
      </c>
      <c r="C537" s="339">
        <v>42674.0</v>
      </c>
      <c r="D537" s="24" t="str">
        <f t="shared" si="3"/>
        <v>Oct-2016</v>
      </c>
      <c r="E537" s="24" t="s">
        <v>25</v>
      </c>
      <c r="F537" s="24" t="s">
        <v>35</v>
      </c>
      <c r="G537" s="23" t="s">
        <v>332</v>
      </c>
      <c r="H537" s="24" t="s">
        <v>86</v>
      </c>
      <c r="I537" s="24" t="s">
        <v>9</v>
      </c>
      <c r="J537" s="24" t="s">
        <v>30</v>
      </c>
      <c r="K537" s="24"/>
      <c r="L537" s="24" t="s">
        <v>106</v>
      </c>
    </row>
    <row r="538">
      <c r="A538" s="24">
        <f t="shared" si="1"/>
        <v>537</v>
      </c>
      <c r="B538" s="24" t="s">
        <v>330</v>
      </c>
      <c r="C538" s="339">
        <v>42674.0</v>
      </c>
      <c r="D538" s="24" t="str">
        <f t="shared" si="3"/>
        <v>Oct-2016</v>
      </c>
      <c r="E538" s="24" t="s">
        <v>20</v>
      </c>
      <c r="F538" s="24" t="s">
        <v>35</v>
      </c>
      <c r="G538" s="23" t="s">
        <v>333</v>
      </c>
      <c r="H538" s="24" t="s">
        <v>64</v>
      </c>
      <c r="I538" s="24" t="s">
        <v>9</v>
      </c>
      <c r="J538" s="24" t="s">
        <v>24</v>
      </c>
      <c r="K538" s="24" t="s">
        <v>24</v>
      </c>
      <c r="L538" s="24" t="s">
        <v>98</v>
      </c>
    </row>
    <row r="539">
      <c r="A539" s="24">
        <f t="shared" si="1"/>
        <v>538</v>
      </c>
      <c r="B539" s="24" t="s">
        <v>330</v>
      </c>
      <c r="C539" s="339">
        <v>42674.0</v>
      </c>
      <c r="D539" s="24" t="str">
        <f t="shared" si="3"/>
        <v>Oct-2016</v>
      </c>
      <c r="E539" s="24" t="s">
        <v>25</v>
      </c>
      <c r="F539" s="24" t="s">
        <v>35</v>
      </c>
      <c r="G539" s="23" t="s">
        <v>333</v>
      </c>
      <c r="H539" s="24" t="s">
        <v>64</v>
      </c>
      <c r="I539" s="24" t="s">
        <v>9</v>
      </c>
      <c r="J539" s="24" t="s">
        <v>24</v>
      </c>
      <c r="K539" s="24"/>
      <c r="L539" s="24" t="s">
        <v>106</v>
      </c>
    </row>
    <row r="540">
      <c r="A540" s="24">
        <f t="shared" si="1"/>
        <v>539</v>
      </c>
      <c r="B540" s="24" t="s">
        <v>334</v>
      </c>
      <c r="C540" s="339">
        <v>42679.0</v>
      </c>
      <c r="D540" s="24" t="str">
        <f t="shared" si="3"/>
        <v>Nov-2016</v>
      </c>
      <c r="E540" s="24" t="s">
        <v>20</v>
      </c>
      <c r="F540" s="24" t="s">
        <v>35</v>
      </c>
      <c r="G540" s="23" t="s">
        <v>335</v>
      </c>
      <c r="H540" s="24" t="s">
        <v>23</v>
      </c>
      <c r="I540" s="24" t="s">
        <v>9</v>
      </c>
      <c r="J540" s="24" t="s">
        <v>30</v>
      </c>
      <c r="K540" s="24" t="s">
        <v>30</v>
      </c>
      <c r="L540" s="24" t="s">
        <v>98</v>
      </c>
    </row>
    <row r="541">
      <c r="A541" s="24">
        <f t="shared" si="1"/>
        <v>540</v>
      </c>
      <c r="B541" s="24" t="s">
        <v>334</v>
      </c>
      <c r="C541" s="339">
        <v>42679.0</v>
      </c>
      <c r="D541" s="24" t="str">
        <f t="shared" si="3"/>
        <v>Nov-2016</v>
      </c>
      <c r="E541" s="24" t="s">
        <v>25</v>
      </c>
      <c r="F541" s="24" t="s">
        <v>35</v>
      </c>
      <c r="G541" s="23" t="s">
        <v>335</v>
      </c>
      <c r="H541" s="24" t="s">
        <v>23</v>
      </c>
      <c r="I541" s="24" t="s">
        <v>9</v>
      </c>
      <c r="J541" s="24" t="s">
        <v>30</v>
      </c>
      <c r="K541" s="24"/>
      <c r="L541" s="24" t="s">
        <v>37</v>
      </c>
    </row>
    <row r="542">
      <c r="A542" s="24">
        <f t="shared" si="1"/>
        <v>541</v>
      </c>
      <c r="B542" s="24" t="s">
        <v>334</v>
      </c>
      <c r="C542" s="339">
        <v>42679.0</v>
      </c>
      <c r="D542" s="24" t="str">
        <f t="shared" si="3"/>
        <v>Nov-2016</v>
      </c>
      <c r="E542" s="24" t="s">
        <v>20</v>
      </c>
      <c r="F542" s="24" t="s">
        <v>35</v>
      </c>
      <c r="G542" s="23" t="s">
        <v>337</v>
      </c>
      <c r="H542" s="24" t="s">
        <v>338</v>
      </c>
      <c r="I542" s="24" t="s">
        <v>9</v>
      </c>
      <c r="J542" s="24" t="s">
        <v>30</v>
      </c>
      <c r="K542" s="24" t="s">
        <v>30</v>
      </c>
      <c r="L542" s="24" t="s">
        <v>98</v>
      </c>
    </row>
    <row r="543">
      <c r="A543" s="24">
        <f t="shared" si="1"/>
        <v>542</v>
      </c>
      <c r="B543" s="24" t="s">
        <v>334</v>
      </c>
      <c r="C543" s="339">
        <v>42679.0</v>
      </c>
      <c r="D543" s="24" t="str">
        <f t="shared" si="3"/>
        <v>Nov-2016</v>
      </c>
      <c r="E543" s="24" t="s">
        <v>25</v>
      </c>
      <c r="F543" s="24" t="s">
        <v>35</v>
      </c>
      <c r="G543" s="23" t="s">
        <v>337</v>
      </c>
      <c r="H543" s="24" t="s">
        <v>71</v>
      </c>
      <c r="I543" s="24" t="s">
        <v>9</v>
      </c>
      <c r="J543" s="24" t="s">
        <v>30</v>
      </c>
      <c r="K543" s="24"/>
      <c r="L543" s="24" t="s">
        <v>98</v>
      </c>
    </row>
    <row r="544">
      <c r="A544" s="24">
        <f t="shared" si="1"/>
        <v>543</v>
      </c>
      <c r="B544" s="24" t="s">
        <v>334</v>
      </c>
      <c r="C544" s="339">
        <v>42679.0</v>
      </c>
      <c r="D544" s="24" t="str">
        <f t="shared" si="3"/>
        <v>Nov-2016</v>
      </c>
      <c r="E544" s="24" t="s">
        <v>20</v>
      </c>
      <c r="F544" s="24" t="s">
        <v>35</v>
      </c>
      <c r="G544" s="23" t="s">
        <v>184</v>
      </c>
      <c r="H544" s="24" t="s">
        <v>9</v>
      </c>
      <c r="I544" s="24" t="s">
        <v>9</v>
      </c>
      <c r="J544" s="24" t="s">
        <v>24</v>
      </c>
      <c r="K544" s="24" t="s">
        <v>24</v>
      </c>
      <c r="L544" s="24" t="s">
        <v>98</v>
      </c>
    </row>
    <row r="545">
      <c r="A545" s="24">
        <f t="shared" si="1"/>
        <v>544</v>
      </c>
      <c r="B545" s="24" t="s">
        <v>334</v>
      </c>
      <c r="C545" s="339">
        <v>42679.0</v>
      </c>
      <c r="D545" s="24" t="str">
        <f t="shared" si="3"/>
        <v>Nov-2016</v>
      </c>
      <c r="E545" s="24" t="s">
        <v>25</v>
      </c>
      <c r="F545" s="24" t="s">
        <v>35</v>
      </c>
      <c r="G545" s="23" t="s">
        <v>184</v>
      </c>
      <c r="H545" s="24" t="s">
        <v>9</v>
      </c>
      <c r="I545" s="24" t="s">
        <v>9</v>
      </c>
      <c r="J545" s="24" t="s">
        <v>30</v>
      </c>
      <c r="K545" s="24"/>
      <c r="L545" s="24" t="s">
        <v>99</v>
      </c>
    </row>
    <row r="546">
      <c r="A546" s="24">
        <f t="shared" si="1"/>
        <v>545</v>
      </c>
      <c r="B546" s="24" t="s">
        <v>334</v>
      </c>
      <c r="C546" s="339">
        <v>42679.0</v>
      </c>
      <c r="D546" s="24" t="str">
        <f t="shared" si="3"/>
        <v>Nov-2016</v>
      </c>
      <c r="E546" s="24" t="s">
        <v>32</v>
      </c>
      <c r="F546" s="24" t="s">
        <v>35</v>
      </c>
      <c r="G546" s="23" t="s">
        <v>184</v>
      </c>
      <c r="H546" s="24" t="s">
        <v>44</v>
      </c>
      <c r="I546" s="24" t="s">
        <v>9</v>
      </c>
      <c r="J546" s="24" t="s">
        <v>24</v>
      </c>
      <c r="K546" s="24"/>
      <c r="L546" s="24" t="s">
        <v>69</v>
      </c>
    </row>
    <row r="547">
      <c r="A547" s="24">
        <f t="shared" si="1"/>
        <v>546</v>
      </c>
      <c r="B547" s="24" t="s">
        <v>334</v>
      </c>
      <c r="C547" s="339">
        <v>42679.0</v>
      </c>
      <c r="D547" s="24" t="str">
        <f t="shared" si="3"/>
        <v>Nov-2016</v>
      </c>
      <c r="E547" s="24" t="s">
        <v>20</v>
      </c>
      <c r="F547" s="24" t="s">
        <v>35</v>
      </c>
      <c r="G547" s="23" t="s">
        <v>339</v>
      </c>
      <c r="H547" s="24" t="s">
        <v>27</v>
      </c>
      <c r="I547" s="24" t="s">
        <v>9</v>
      </c>
      <c r="J547" s="24" t="s">
        <v>30</v>
      </c>
      <c r="K547" s="24" t="s">
        <v>30</v>
      </c>
      <c r="L547" s="24" t="s">
        <v>29</v>
      </c>
    </row>
    <row r="548">
      <c r="A548" s="24">
        <f t="shared" si="1"/>
        <v>547</v>
      </c>
      <c r="B548" s="24" t="s">
        <v>334</v>
      </c>
      <c r="C548" s="339">
        <v>42679.0</v>
      </c>
      <c r="D548" s="24" t="str">
        <f t="shared" si="3"/>
        <v>Nov-2016</v>
      </c>
      <c r="E548" s="24" t="s">
        <v>25</v>
      </c>
      <c r="F548" s="24" t="s">
        <v>35</v>
      </c>
      <c r="G548" s="23" t="s">
        <v>339</v>
      </c>
      <c r="H548" s="24" t="s">
        <v>44</v>
      </c>
      <c r="I548" s="24" t="s">
        <v>9</v>
      </c>
      <c r="J548" s="24" t="s">
        <v>30</v>
      </c>
      <c r="K548" s="24"/>
      <c r="L548" s="24" t="s">
        <v>98</v>
      </c>
    </row>
    <row r="549">
      <c r="A549" s="24">
        <f t="shared" si="1"/>
        <v>548</v>
      </c>
      <c r="B549" s="24" t="s">
        <v>334</v>
      </c>
      <c r="C549" s="339">
        <v>42679.0</v>
      </c>
      <c r="D549" s="24" t="str">
        <f t="shared" si="3"/>
        <v>Nov-2016</v>
      </c>
      <c r="E549" s="24" t="s">
        <v>20</v>
      </c>
      <c r="F549" s="24" t="s">
        <v>35</v>
      </c>
      <c r="G549" s="23" t="s">
        <v>340</v>
      </c>
      <c r="H549" s="24" t="s">
        <v>23</v>
      </c>
      <c r="I549" s="24" t="s">
        <v>9</v>
      </c>
      <c r="J549" s="24" t="s">
        <v>30</v>
      </c>
      <c r="K549" s="24" t="s">
        <v>30</v>
      </c>
      <c r="L549" s="24" t="s">
        <v>29</v>
      </c>
    </row>
    <row r="550">
      <c r="A550" s="24">
        <f t="shared" si="1"/>
        <v>549</v>
      </c>
      <c r="B550" s="24" t="s">
        <v>334</v>
      </c>
      <c r="C550" s="339">
        <v>42679.0</v>
      </c>
      <c r="D550" s="24" t="str">
        <f t="shared" si="3"/>
        <v>Nov-2016</v>
      </c>
      <c r="E550" s="24" t="s">
        <v>25</v>
      </c>
      <c r="F550" s="24" t="s">
        <v>35</v>
      </c>
      <c r="G550" s="23" t="s">
        <v>340</v>
      </c>
      <c r="H550" s="24" t="s">
        <v>71</v>
      </c>
      <c r="I550" s="24" t="s">
        <v>9</v>
      </c>
      <c r="J550" s="24" t="s">
        <v>30</v>
      </c>
      <c r="K550" s="24"/>
      <c r="L550" s="24" t="s">
        <v>69</v>
      </c>
    </row>
    <row r="551">
      <c r="A551" s="24">
        <f t="shared" si="1"/>
        <v>550</v>
      </c>
      <c r="B551" s="24" t="s">
        <v>334</v>
      </c>
      <c r="C551" s="339">
        <v>42679.0</v>
      </c>
      <c r="D551" s="24" t="str">
        <f t="shared" si="3"/>
        <v>Nov-2016</v>
      </c>
      <c r="E551" s="24" t="s">
        <v>20</v>
      </c>
      <c r="F551" s="24" t="s">
        <v>35</v>
      </c>
      <c r="G551" s="23" t="s">
        <v>267</v>
      </c>
      <c r="H551" s="24" t="s">
        <v>9</v>
      </c>
      <c r="I551" s="24" t="s">
        <v>9</v>
      </c>
      <c r="J551" s="24" t="s">
        <v>24</v>
      </c>
      <c r="K551" s="24" t="s">
        <v>24</v>
      </c>
      <c r="L551" s="24" t="s">
        <v>99</v>
      </c>
    </row>
    <row r="552">
      <c r="A552" s="24">
        <f t="shared" si="1"/>
        <v>551</v>
      </c>
      <c r="B552" s="24" t="s">
        <v>334</v>
      </c>
      <c r="C552" s="339">
        <v>42679.0</v>
      </c>
      <c r="D552" s="24" t="str">
        <f t="shared" si="3"/>
        <v>Nov-2016</v>
      </c>
      <c r="E552" s="24" t="s">
        <v>25</v>
      </c>
      <c r="F552" s="24" t="s">
        <v>35</v>
      </c>
      <c r="G552" s="23" t="s">
        <v>267</v>
      </c>
      <c r="H552" s="24" t="s">
        <v>9</v>
      </c>
      <c r="I552" s="24" t="s">
        <v>9</v>
      </c>
      <c r="J552" s="24" t="s">
        <v>24</v>
      </c>
      <c r="K552" s="24"/>
      <c r="L552" s="24" t="s">
        <v>99</v>
      </c>
    </row>
    <row r="553">
      <c r="A553" s="24">
        <f t="shared" si="1"/>
        <v>552</v>
      </c>
      <c r="B553" s="24" t="s">
        <v>341</v>
      </c>
      <c r="C553" s="339">
        <v>42686.0</v>
      </c>
      <c r="D553" s="24" t="str">
        <f t="shared" si="3"/>
        <v>Nov-2016</v>
      </c>
      <c r="E553" s="24" t="s">
        <v>20</v>
      </c>
      <c r="F553" s="24" t="s">
        <v>35</v>
      </c>
      <c r="G553" s="23" t="s">
        <v>342</v>
      </c>
      <c r="H553" s="24" t="s">
        <v>86</v>
      </c>
      <c r="I553" s="24" t="s">
        <v>9</v>
      </c>
      <c r="J553" s="24" t="s">
        <v>30</v>
      </c>
      <c r="K553" s="24" t="s">
        <v>24</v>
      </c>
      <c r="L553" s="24" t="s">
        <v>98</v>
      </c>
    </row>
    <row r="554">
      <c r="A554" s="24">
        <f t="shared" si="1"/>
        <v>553</v>
      </c>
      <c r="B554" s="24" t="s">
        <v>341</v>
      </c>
      <c r="C554" s="339">
        <v>42686.0</v>
      </c>
      <c r="D554" s="24" t="str">
        <f t="shared" si="3"/>
        <v>Nov-2016</v>
      </c>
      <c r="E554" s="24" t="s">
        <v>25</v>
      </c>
      <c r="F554" s="24" t="s">
        <v>35</v>
      </c>
      <c r="G554" s="23" t="s">
        <v>342</v>
      </c>
      <c r="H554" s="24" t="s">
        <v>86</v>
      </c>
      <c r="I554" s="24" t="s">
        <v>9</v>
      </c>
      <c r="J554" s="24" t="s">
        <v>24</v>
      </c>
      <c r="K554" s="24"/>
      <c r="L554" s="24" t="s">
        <v>98</v>
      </c>
    </row>
    <row r="555">
      <c r="A555" s="24">
        <f t="shared" si="1"/>
        <v>554</v>
      </c>
      <c r="B555" s="24" t="s">
        <v>341</v>
      </c>
      <c r="C555" s="339">
        <v>42686.0</v>
      </c>
      <c r="D555" s="24" t="str">
        <f t="shared" si="3"/>
        <v>Nov-2016</v>
      </c>
      <c r="E555" s="24" t="s">
        <v>32</v>
      </c>
      <c r="F555" s="24" t="s">
        <v>35</v>
      </c>
      <c r="G555" s="23" t="s">
        <v>342</v>
      </c>
      <c r="H555" s="24" t="s">
        <v>86</v>
      </c>
      <c r="I555" s="24" t="s">
        <v>9</v>
      </c>
      <c r="J555" s="24" t="s">
        <v>24</v>
      </c>
      <c r="K555" s="24"/>
      <c r="L555" s="24" t="s">
        <v>29</v>
      </c>
    </row>
    <row r="556">
      <c r="A556" s="24">
        <f t="shared" si="1"/>
        <v>555</v>
      </c>
      <c r="B556" s="24" t="s">
        <v>341</v>
      </c>
      <c r="C556" s="339">
        <v>42686.0</v>
      </c>
      <c r="D556" s="24" t="str">
        <f t="shared" si="3"/>
        <v>Nov-2016</v>
      </c>
      <c r="E556" s="24" t="s">
        <v>20</v>
      </c>
      <c r="F556" s="24" t="s">
        <v>35</v>
      </c>
      <c r="G556" s="23" t="s">
        <v>343</v>
      </c>
      <c r="H556" s="24" t="s">
        <v>9</v>
      </c>
      <c r="I556" s="24" t="s">
        <v>9</v>
      </c>
      <c r="J556" s="24" t="s">
        <v>24</v>
      </c>
      <c r="K556" s="24" t="s">
        <v>24</v>
      </c>
      <c r="L556" s="24" t="s">
        <v>98</v>
      </c>
    </row>
    <row r="557">
      <c r="A557" s="24">
        <f t="shared" si="1"/>
        <v>556</v>
      </c>
      <c r="B557" s="24" t="s">
        <v>341</v>
      </c>
      <c r="C557" s="339">
        <v>42686.0</v>
      </c>
      <c r="D557" s="24" t="str">
        <f t="shared" si="3"/>
        <v>Nov-2016</v>
      </c>
      <c r="E557" s="24" t="s">
        <v>25</v>
      </c>
      <c r="F557" s="24" t="s">
        <v>35</v>
      </c>
      <c r="G557" s="23" t="s">
        <v>343</v>
      </c>
      <c r="H557" s="24" t="s">
        <v>9</v>
      </c>
      <c r="I557" s="24" t="s">
        <v>9</v>
      </c>
      <c r="J557" s="24" t="s">
        <v>24</v>
      </c>
      <c r="K557" s="24"/>
      <c r="L557" s="24" t="s">
        <v>99</v>
      </c>
    </row>
    <row r="558">
      <c r="A558" s="24">
        <f t="shared" si="1"/>
        <v>557</v>
      </c>
      <c r="B558" s="24" t="s">
        <v>341</v>
      </c>
      <c r="C558" s="339">
        <v>42686.0</v>
      </c>
      <c r="D558" s="24" t="str">
        <f t="shared" si="3"/>
        <v>Nov-2016</v>
      </c>
      <c r="E558" s="24" t="s">
        <v>20</v>
      </c>
      <c r="F558" s="24" t="s">
        <v>35</v>
      </c>
      <c r="G558" s="23" t="s">
        <v>288</v>
      </c>
      <c r="H558" s="24" t="s">
        <v>27</v>
      </c>
      <c r="I558" s="24" t="s">
        <v>9</v>
      </c>
      <c r="J558" s="24" t="s">
        <v>30</v>
      </c>
      <c r="K558" s="24" t="s">
        <v>30</v>
      </c>
      <c r="L558" s="24" t="s">
        <v>98</v>
      </c>
    </row>
    <row r="559">
      <c r="A559" s="24">
        <f t="shared" si="1"/>
        <v>558</v>
      </c>
      <c r="B559" s="24" t="s">
        <v>341</v>
      </c>
      <c r="C559" s="339">
        <v>42686.0</v>
      </c>
      <c r="D559" s="24" t="str">
        <f t="shared" si="3"/>
        <v>Nov-2016</v>
      </c>
      <c r="E559" s="24" t="s">
        <v>25</v>
      </c>
      <c r="F559" s="24" t="s">
        <v>35</v>
      </c>
      <c r="G559" s="23" t="s">
        <v>288</v>
      </c>
      <c r="H559" s="24" t="s">
        <v>27</v>
      </c>
      <c r="I559" s="24" t="s">
        <v>9</v>
      </c>
      <c r="J559" s="24" t="s">
        <v>30</v>
      </c>
      <c r="K559" s="24"/>
      <c r="L559" s="24" t="s">
        <v>69</v>
      </c>
    </row>
    <row r="560">
      <c r="A560" s="24">
        <f t="shared" si="1"/>
        <v>559</v>
      </c>
      <c r="B560" s="24" t="s">
        <v>341</v>
      </c>
      <c r="C560" s="339">
        <v>42686.0</v>
      </c>
      <c r="D560" s="24" t="str">
        <f t="shared" si="3"/>
        <v>Nov-2016</v>
      </c>
      <c r="E560" s="24" t="s">
        <v>20</v>
      </c>
      <c r="F560" s="24" t="s">
        <v>35</v>
      </c>
      <c r="G560" s="23" t="s">
        <v>112</v>
      </c>
      <c r="H560" s="24" t="s">
        <v>86</v>
      </c>
      <c r="I560" s="24" t="s">
        <v>9</v>
      </c>
      <c r="J560" s="24" t="s">
        <v>24</v>
      </c>
      <c r="K560" s="24" t="s">
        <v>24</v>
      </c>
      <c r="L560" s="24" t="s">
        <v>29</v>
      </c>
    </row>
    <row r="561">
      <c r="A561" s="24">
        <f t="shared" si="1"/>
        <v>560</v>
      </c>
      <c r="B561" s="24" t="s">
        <v>341</v>
      </c>
      <c r="C561" s="339">
        <v>42686.0</v>
      </c>
      <c r="D561" s="24" t="str">
        <f t="shared" si="3"/>
        <v>Nov-2016</v>
      </c>
      <c r="E561" s="24" t="s">
        <v>25</v>
      </c>
      <c r="F561" s="24" t="s">
        <v>35</v>
      </c>
      <c r="G561" s="23" t="s">
        <v>112</v>
      </c>
      <c r="H561" s="24" t="s">
        <v>86</v>
      </c>
      <c r="I561" s="24" t="s">
        <v>9</v>
      </c>
      <c r="J561" s="24" t="s">
        <v>24</v>
      </c>
      <c r="K561" s="24"/>
      <c r="L561" s="24" t="s">
        <v>69</v>
      </c>
    </row>
    <row r="562">
      <c r="A562" s="24">
        <f t="shared" si="1"/>
        <v>561</v>
      </c>
      <c r="B562" s="24" t="s">
        <v>341</v>
      </c>
      <c r="C562" s="339">
        <v>42686.0</v>
      </c>
      <c r="D562" s="24" t="str">
        <f t="shared" si="3"/>
        <v>Nov-2016</v>
      </c>
      <c r="E562" s="24" t="s">
        <v>20</v>
      </c>
      <c r="F562" s="24" t="s">
        <v>35</v>
      </c>
      <c r="G562" s="23" t="s">
        <v>103</v>
      </c>
      <c r="H562" s="24" t="s">
        <v>9</v>
      </c>
      <c r="I562" s="24" t="s">
        <v>9</v>
      </c>
      <c r="J562" s="24" t="s">
        <v>30</v>
      </c>
      <c r="K562" s="24" t="s">
        <v>24</v>
      </c>
      <c r="L562" s="24" t="s">
        <v>98</v>
      </c>
    </row>
    <row r="563">
      <c r="A563" s="24">
        <f t="shared" si="1"/>
        <v>562</v>
      </c>
      <c r="B563" s="24" t="s">
        <v>341</v>
      </c>
      <c r="C563" s="339">
        <v>42686.0</v>
      </c>
      <c r="D563" s="24" t="str">
        <f t="shared" si="3"/>
        <v>Nov-2016</v>
      </c>
      <c r="E563" s="24" t="s">
        <v>25</v>
      </c>
      <c r="F563" s="24" t="s">
        <v>35</v>
      </c>
      <c r="G563" s="23" t="s">
        <v>103</v>
      </c>
      <c r="H563" s="24" t="s">
        <v>9</v>
      </c>
      <c r="I563" s="24" t="s">
        <v>9</v>
      </c>
      <c r="J563" s="24" t="s">
        <v>24</v>
      </c>
      <c r="K563" s="24"/>
      <c r="L563" s="24" t="s">
        <v>69</v>
      </c>
    </row>
    <row r="564">
      <c r="A564" s="24">
        <f t="shared" si="1"/>
        <v>563</v>
      </c>
      <c r="B564" s="24" t="s">
        <v>341</v>
      </c>
      <c r="C564" s="339">
        <v>42686.0</v>
      </c>
      <c r="D564" s="24" t="str">
        <f t="shared" si="3"/>
        <v>Nov-2016</v>
      </c>
      <c r="E564" s="24" t="s">
        <v>32</v>
      </c>
      <c r="F564" s="24" t="s">
        <v>35</v>
      </c>
      <c r="G564" s="23" t="s">
        <v>103</v>
      </c>
      <c r="H564" s="24" t="s">
        <v>9</v>
      </c>
      <c r="I564" s="24" t="s">
        <v>9</v>
      </c>
      <c r="J564" s="24" t="s">
        <v>24</v>
      </c>
      <c r="K564" s="24"/>
      <c r="L564" s="24" t="s">
        <v>99</v>
      </c>
    </row>
    <row r="565">
      <c r="A565" s="24">
        <f t="shared" si="1"/>
        <v>564</v>
      </c>
      <c r="B565" s="24" t="s">
        <v>341</v>
      </c>
      <c r="C565" s="339">
        <v>42686.0</v>
      </c>
      <c r="D565" s="24" t="str">
        <f t="shared" si="3"/>
        <v>Nov-2016</v>
      </c>
      <c r="E565" s="24" t="s">
        <v>20</v>
      </c>
      <c r="F565" s="24" t="s">
        <v>35</v>
      </c>
      <c r="G565" s="23" t="s">
        <v>229</v>
      </c>
      <c r="H565" s="24" t="s">
        <v>71</v>
      </c>
      <c r="I565" s="24" t="s">
        <v>9</v>
      </c>
      <c r="J565" s="24" t="s">
        <v>30</v>
      </c>
      <c r="K565" s="24" t="s">
        <v>30</v>
      </c>
      <c r="L565" s="24" t="s">
        <v>98</v>
      </c>
    </row>
    <row r="566">
      <c r="A566" s="24">
        <f t="shared" si="1"/>
        <v>565</v>
      </c>
      <c r="B566" s="24" t="s">
        <v>341</v>
      </c>
      <c r="C566" s="339">
        <v>42686.0</v>
      </c>
      <c r="D566" s="24" t="str">
        <f t="shared" si="3"/>
        <v>Nov-2016</v>
      </c>
      <c r="E566" s="24" t="s">
        <v>25</v>
      </c>
      <c r="F566" s="24" t="s">
        <v>35</v>
      </c>
      <c r="G566" s="23" t="s">
        <v>229</v>
      </c>
      <c r="H566" s="24" t="s">
        <v>71</v>
      </c>
      <c r="I566" s="24" t="s">
        <v>9</v>
      </c>
      <c r="J566" s="24" t="s">
        <v>30</v>
      </c>
      <c r="K566" s="24"/>
      <c r="L566" s="24" t="s">
        <v>99</v>
      </c>
    </row>
    <row r="567">
      <c r="A567" s="24">
        <f t="shared" si="1"/>
        <v>566</v>
      </c>
      <c r="B567" s="24" t="s">
        <v>341</v>
      </c>
      <c r="C567" s="339">
        <v>42686.0</v>
      </c>
      <c r="D567" s="24" t="str">
        <f t="shared" si="3"/>
        <v>Nov-2016</v>
      </c>
      <c r="E567" s="24" t="s">
        <v>20</v>
      </c>
      <c r="F567" s="24" t="s">
        <v>35</v>
      </c>
      <c r="G567" s="23" t="s">
        <v>142</v>
      </c>
      <c r="H567" s="24" t="s">
        <v>44</v>
      </c>
      <c r="I567" s="24" t="s">
        <v>9</v>
      </c>
      <c r="J567" s="24" t="s">
        <v>24</v>
      </c>
      <c r="K567" s="24" t="s">
        <v>24</v>
      </c>
      <c r="L567" s="24" t="s">
        <v>98</v>
      </c>
    </row>
    <row r="568">
      <c r="A568" s="24">
        <f t="shared" si="1"/>
        <v>567</v>
      </c>
      <c r="B568" s="24" t="s">
        <v>341</v>
      </c>
      <c r="C568" s="339">
        <v>42686.0</v>
      </c>
      <c r="D568" s="24" t="str">
        <f t="shared" si="3"/>
        <v>Nov-2016</v>
      </c>
      <c r="E568" s="24" t="s">
        <v>25</v>
      </c>
      <c r="F568" s="24" t="s">
        <v>35</v>
      </c>
      <c r="G568" s="23" t="s">
        <v>142</v>
      </c>
      <c r="H568" s="24" t="s">
        <v>44</v>
      </c>
      <c r="I568" s="24" t="s">
        <v>9</v>
      </c>
      <c r="J568" s="24" t="s">
        <v>24</v>
      </c>
      <c r="K568" s="24"/>
      <c r="L568" s="24" t="s">
        <v>69</v>
      </c>
    </row>
    <row r="569">
      <c r="A569" s="24">
        <f t="shared" si="1"/>
        <v>568</v>
      </c>
      <c r="B569" s="24" t="s">
        <v>344</v>
      </c>
      <c r="C569" s="340">
        <v>42688.0</v>
      </c>
      <c r="D569" s="24" t="str">
        <f t="shared" si="3"/>
        <v>Nov-2016</v>
      </c>
      <c r="E569" s="24" t="s">
        <v>20</v>
      </c>
      <c r="F569" s="24" t="s">
        <v>35</v>
      </c>
      <c r="G569" s="23" t="s">
        <v>345</v>
      </c>
      <c r="H569" s="24" t="s">
        <v>9</v>
      </c>
      <c r="I569" s="24" t="s">
        <v>9</v>
      </c>
      <c r="J569" s="24" t="s">
        <v>30</v>
      </c>
      <c r="K569" s="24" t="s">
        <v>30</v>
      </c>
      <c r="L569" s="24" t="s">
        <v>98</v>
      </c>
    </row>
    <row r="570">
      <c r="A570" s="24">
        <f t="shared" si="1"/>
        <v>569</v>
      </c>
      <c r="B570" s="24" t="s">
        <v>344</v>
      </c>
      <c r="C570" s="340">
        <v>42688.0</v>
      </c>
      <c r="D570" s="24" t="str">
        <f t="shared" si="3"/>
        <v>Nov-2016</v>
      </c>
      <c r="E570" s="24" t="s">
        <v>25</v>
      </c>
      <c r="F570" s="24" t="s">
        <v>35</v>
      </c>
      <c r="G570" s="23" t="s">
        <v>345</v>
      </c>
      <c r="H570" s="24" t="s">
        <v>9</v>
      </c>
      <c r="I570" s="24" t="s">
        <v>9</v>
      </c>
      <c r="J570" s="24" t="s">
        <v>30</v>
      </c>
      <c r="K570" s="24"/>
      <c r="L570" s="24" t="s">
        <v>99</v>
      </c>
    </row>
    <row r="571">
      <c r="A571" s="24">
        <f t="shared" si="1"/>
        <v>570</v>
      </c>
      <c r="B571" s="24" t="s">
        <v>344</v>
      </c>
      <c r="C571" s="340">
        <v>42688.0</v>
      </c>
      <c r="D571" s="24" t="str">
        <f t="shared" si="3"/>
        <v>Nov-2016</v>
      </c>
      <c r="E571" s="24" t="s">
        <v>20</v>
      </c>
      <c r="F571" s="24" t="s">
        <v>35</v>
      </c>
      <c r="G571" s="23" t="s">
        <v>346</v>
      </c>
      <c r="H571" s="24" t="s">
        <v>27</v>
      </c>
      <c r="I571" s="24" t="s">
        <v>9</v>
      </c>
      <c r="J571" s="24" t="s">
        <v>24</v>
      </c>
      <c r="K571" s="24" t="s">
        <v>24</v>
      </c>
      <c r="L571" s="24" t="s">
        <v>98</v>
      </c>
    </row>
    <row r="572">
      <c r="A572" s="24">
        <f t="shared" si="1"/>
        <v>571</v>
      </c>
      <c r="B572" s="24" t="s">
        <v>344</v>
      </c>
      <c r="C572" s="340">
        <v>42688.0</v>
      </c>
      <c r="D572" s="24" t="str">
        <f t="shared" si="3"/>
        <v>Nov-2016</v>
      </c>
      <c r="E572" s="24" t="s">
        <v>25</v>
      </c>
      <c r="F572" s="24" t="s">
        <v>35</v>
      </c>
      <c r="G572" s="23" t="s">
        <v>346</v>
      </c>
      <c r="H572" s="24" t="s">
        <v>44</v>
      </c>
      <c r="I572" s="24" t="s">
        <v>9</v>
      </c>
      <c r="J572" s="24" t="s">
        <v>24</v>
      </c>
      <c r="K572" s="24"/>
      <c r="L572" s="24" t="s">
        <v>29</v>
      </c>
    </row>
    <row r="573">
      <c r="A573" s="24">
        <f t="shared" si="1"/>
        <v>572</v>
      </c>
      <c r="B573" s="24" t="s">
        <v>344</v>
      </c>
      <c r="C573" s="340">
        <v>42688.0</v>
      </c>
      <c r="D573" s="24" t="str">
        <f t="shared" si="3"/>
        <v>Nov-2016</v>
      </c>
      <c r="E573" s="24" t="s">
        <v>20</v>
      </c>
      <c r="F573" s="24" t="s">
        <v>35</v>
      </c>
      <c r="G573" s="23" t="s">
        <v>347</v>
      </c>
      <c r="H573" s="24" t="s">
        <v>48</v>
      </c>
      <c r="I573" s="24" t="s">
        <v>9</v>
      </c>
      <c r="J573" s="24" t="s">
        <v>30</v>
      </c>
      <c r="K573" s="24" t="s">
        <v>30</v>
      </c>
      <c r="L573" s="24" t="s">
        <v>69</v>
      </c>
    </row>
    <row r="574">
      <c r="A574" s="24">
        <f t="shared" si="1"/>
        <v>573</v>
      </c>
      <c r="B574" s="24" t="s">
        <v>344</v>
      </c>
      <c r="C574" s="340">
        <v>42688.0</v>
      </c>
      <c r="D574" s="24" t="str">
        <f t="shared" si="3"/>
        <v>Nov-2016</v>
      </c>
      <c r="E574" s="24" t="s">
        <v>25</v>
      </c>
      <c r="F574" s="24" t="s">
        <v>35</v>
      </c>
      <c r="G574" s="23" t="s">
        <v>347</v>
      </c>
      <c r="H574" s="24" t="s">
        <v>48</v>
      </c>
      <c r="I574" s="24" t="s">
        <v>9</v>
      </c>
      <c r="J574" s="24" t="s">
        <v>30</v>
      </c>
      <c r="K574" s="24"/>
      <c r="L574" s="24" t="s">
        <v>99</v>
      </c>
    </row>
    <row r="575">
      <c r="A575" s="24">
        <f t="shared" si="1"/>
        <v>574</v>
      </c>
      <c r="B575" s="24" t="s">
        <v>344</v>
      </c>
      <c r="C575" s="340">
        <v>42688.0</v>
      </c>
      <c r="D575" s="24" t="str">
        <f t="shared" si="3"/>
        <v>Nov-2016</v>
      </c>
      <c r="E575" s="24" t="s">
        <v>20</v>
      </c>
      <c r="F575" s="24" t="s">
        <v>35</v>
      </c>
      <c r="G575" s="23" t="s">
        <v>294</v>
      </c>
      <c r="H575" s="24" t="s">
        <v>27</v>
      </c>
      <c r="I575" s="24" t="s">
        <v>9</v>
      </c>
      <c r="J575" s="24" t="s">
        <v>24</v>
      </c>
      <c r="K575" s="24" t="s">
        <v>24</v>
      </c>
      <c r="L575" s="24" t="s">
        <v>98</v>
      </c>
    </row>
    <row r="576">
      <c r="A576" s="24">
        <f t="shared" si="1"/>
        <v>575</v>
      </c>
      <c r="B576" s="24" t="s">
        <v>344</v>
      </c>
      <c r="C576" s="340">
        <v>42688.0</v>
      </c>
      <c r="D576" s="24" t="str">
        <f t="shared" si="3"/>
        <v>Nov-2016</v>
      </c>
      <c r="E576" s="24" t="s">
        <v>25</v>
      </c>
      <c r="F576" s="24" t="s">
        <v>35</v>
      </c>
      <c r="G576" s="23" t="s">
        <v>294</v>
      </c>
      <c r="H576" s="24" t="s">
        <v>27</v>
      </c>
      <c r="I576" s="24" t="s">
        <v>9</v>
      </c>
      <c r="J576" s="24" t="s">
        <v>24</v>
      </c>
      <c r="K576" s="24"/>
      <c r="L576" s="24" t="s">
        <v>29</v>
      </c>
    </row>
    <row r="577">
      <c r="A577" s="24">
        <f t="shared" si="1"/>
        <v>576</v>
      </c>
      <c r="B577" s="24" t="s">
        <v>348</v>
      </c>
      <c r="C577" s="95">
        <v>42693.0</v>
      </c>
      <c r="D577" s="24" t="str">
        <f t="shared" si="3"/>
        <v>Nov-2016</v>
      </c>
      <c r="E577" s="24" t="s">
        <v>20</v>
      </c>
      <c r="F577" s="24" t="s">
        <v>287</v>
      </c>
      <c r="G577" s="23" t="s">
        <v>349</v>
      </c>
      <c r="H577" s="24" t="s">
        <v>71</v>
      </c>
      <c r="I577" s="24" t="s">
        <v>9</v>
      </c>
      <c r="J577" s="24" t="s">
        <v>30</v>
      </c>
      <c r="K577" s="24" t="s">
        <v>24</v>
      </c>
      <c r="L577" s="24" t="s">
        <v>99</v>
      </c>
    </row>
    <row r="578">
      <c r="A578" s="24">
        <f t="shared" si="1"/>
        <v>577</v>
      </c>
      <c r="B578" s="24" t="s">
        <v>348</v>
      </c>
      <c r="C578" s="95">
        <v>42693.0</v>
      </c>
      <c r="D578" s="24" t="str">
        <f t="shared" si="3"/>
        <v>Nov-2016</v>
      </c>
      <c r="E578" s="24" t="s">
        <v>25</v>
      </c>
      <c r="F578" s="24" t="s">
        <v>287</v>
      </c>
      <c r="G578" s="23" t="s">
        <v>349</v>
      </c>
      <c r="H578" s="24" t="s">
        <v>338</v>
      </c>
      <c r="I578" s="24" t="s">
        <v>9</v>
      </c>
      <c r="J578" s="24" t="s">
        <v>24</v>
      </c>
      <c r="K578" s="24"/>
      <c r="L578" s="24" t="s">
        <v>69</v>
      </c>
    </row>
    <row r="579">
      <c r="A579" s="24">
        <f t="shared" si="1"/>
        <v>578</v>
      </c>
      <c r="B579" s="24" t="s">
        <v>348</v>
      </c>
      <c r="C579" s="95">
        <v>42693.0</v>
      </c>
      <c r="D579" s="24" t="str">
        <f t="shared" si="3"/>
        <v>Nov-2016</v>
      </c>
      <c r="E579" s="24" t="s">
        <v>32</v>
      </c>
      <c r="F579" s="24" t="s">
        <v>287</v>
      </c>
      <c r="G579" s="23" t="s">
        <v>349</v>
      </c>
      <c r="H579" s="24" t="s">
        <v>71</v>
      </c>
      <c r="I579" s="24" t="s">
        <v>9</v>
      </c>
      <c r="J579" s="24" t="s">
        <v>24</v>
      </c>
      <c r="K579" s="24"/>
      <c r="L579" s="24" t="s">
        <v>98</v>
      </c>
    </row>
    <row r="580">
      <c r="A580" s="24">
        <f t="shared" si="1"/>
        <v>579</v>
      </c>
      <c r="B580" s="24" t="s">
        <v>348</v>
      </c>
      <c r="C580" s="95">
        <v>42693.0</v>
      </c>
      <c r="D580" s="24" t="str">
        <f t="shared" si="3"/>
        <v>Nov-2016</v>
      </c>
      <c r="E580" s="24" t="s">
        <v>20</v>
      </c>
      <c r="F580" s="24" t="s">
        <v>287</v>
      </c>
      <c r="G580" s="23" t="s">
        <v>351</v>
      </c>
      <c r="H580" s="24" t="s">
        <v>138</v>
      </c>
      <c r="I580" s="24" t="s">
        <v>9</v>
      </c>
      <c r="J580" s="24" t="s">
        <v>30</v>
      </c>
      <c r="K580" s="24" t="s">
        <v>30</v>
      </c>
      <c r="L580" s="24" t="s">
        <v>69</v>
      </c>
    </row>
    <row r="581">
      <c r="A581" s="24">
        <f t="shared" si="1"/>
        <v>580</v>
      </c>
      <c r="B581" s="24" t="s">
        <v>348</v>
      </c>
      <c r="C581" s="95">
        <v>42693.0</v>
      </c>
      <c r="D581" s="24" t="str">
        <f t="shared" si="3"/>
        <v>Nov-2016</v>
      </c>
      <c r="E581" s="24" t="s">
        <v>25</v>
      </c>
      <c r="F581" s="24" t="s">
        <v>287</v>
      </c>
      <c r="G581" s="23" t="s">
        <v>351</v>
      </c>
      <c r="H581" s="24" t="s">
        <v>138</v>
      </c>
      <c r="I581" s="24" t="s">
        <v>9</v>
      </c>
      <c r="J581" s="24" t="s">
        <v>30</v>
      </c>
      <c r="K581" s="24"/>
      <c r="L581" s="24" t="s">
        <v>37</v>
      </c>
    </row>
    <row r="582">
      <c r="A582" s="24">
        <f t="shared" si="1"/>
        <v>581</v>
      </c>
      <c r="B582" s="24" t="s">
        <v>348</v>
      </c>
      <c r="C582" s="95">
        <v>42693.0</v>
      </c>
      <c r="D582" s="24" t="str">
        <f t="shared" si="3"/>
        <v>Nov-2016</v>
      </c>
      <c r="E582" s="24" t="s">
        <v>20</v>
      </c>
      <c r="F582" s="24" t="s">
        <v>287</v>
      </c>
      <c r="G582" s="23" t="s">
        <v>352</v>
      </c>
      <c r="H582" s="24" t="s">
        <v>27</v>
      </c>
      <c r="I582" s="24" t="s">
        <v>9</v>
      </c>
      <c r="J582" s="24" t="s">
        <v>30</v>
      </c>
      <c r="K582" s="24" t="s">
        <v>30</v>
      </c>
      <c r="L582" s="24" t="s">
        <v>29</v>
      </c>
    </row>
    <row r="583">
      <c r="A583" s="24">
        <f t="shared" si="1"/>
        <v>582</v>
      </c>
      <c r="B583" s="24" t="s">
        <v>348</v>
      </c>
      <c r="C583" s="95">
        <v>42693.0</v>
      </c>
      <c r="D583" s="24" t="str">
        <f t="shared" si="3"/>
        <v>Nov-2016</v>
      </c>
      <c r="E583" s="24" t="s">
        <v>25</v>
      </c>
      <c r="F583" s="24" t="s">
        <v>287</v>
      </c>
      <c r="G583" s="23" t="s">
        <v>352</v>
      </c>
      <c r="H583" s="24" t="s">
        <v>27</v>
      </c>
      <c r="I583" s="24" t="s">
        <v>9</v>
      </c>
      <c r="J583" s="24" t="s">
        <v>30</v>
      </c>
      <c r="K583" s="24"/>
      <c r="L583" s="24" t="s">
        <v>69</v>
      </c>
    </row>
    <row r="584">
      <c r="A584" s="24">
        <f t="shared" si="1"/>
        <v>583</v>
      </c>
      <c r="B584" s="24" t="s">
        <v>348</v>
      </c>
      <c r="C584" s="95">
        <v>42693.0</v>
      </c>
      <c r="D584" s="24" t="str">
        <f t="shared" si="3"/>
        <v>Nov-2016</v>
      </c>
      <c r="E584" s="24" t="s">
        <v>20</v>
      </c>
      <c r="F584" s="24" t="s">
        <v>287</v>
      </c>
      <c r="G584" s="23" t="s">
        <v>256</v>
      </c>
      <c r="H584" s="24" t="s">
        <v>86</v>
      </c>
      <c r="I584" s="24" t="s">
        <v>9</v>
      </c>
      <c r="J584" s="24" t="s">
        <v>30</v>
      </c>
      <c r="K584" s="24" t="s">
        <v>30</v>
      </c>
      <c r="L584" s="24" t="s">
        <v>69</v>
      </c>
    </row>
    <row r="585">
      <c r="A585" s="24">
        <f t="shared" si="1"/>
        <v>584</v>
      </c>
      <c r="B585" s="24" t="s">
        <v>348</v>
      </c>
      <c r="C585" s="95">
        <v>42693.0</v>
      </c>
      <c r="D585" s="24" t="str">
        <f t="shared" si="3"/>
        <v>Nov-2016</v>
      </c>
      <c r="E585" s="24" t="s">
        <v>25</v>
      </c>
      <c r="F585" s="24" t="s">
        <v>287</v>
      </c>
      <c r="G585" s="23" t="s">
        <v>256</v>
      </c>
      <c r="H585" s="24" t="s">
        <v>86</v>
      </c>
      <c r="I585" s="24" t="s">
        <v>9</v>
      </c>
      <c r="J585" s="24" t="s">
        <v>30</v>
      </c>
      <c r="K585" s="24"/>
      <c r="L585" s="24" t="s">
        <v>69</v>
      </c>
    </row>
    <row r="586">
      <c r="A586" s="24">
        <f t="shared" si="1"/>
        <v>585</v>
      </c>
      <c r="B586" s="24" t="s">
        <v>348</v>
      </c>
      <c r="C586" s="95">
        <v>42693.0</v>
      </c>
      <c r="D586" s="24" t="str">
        <f t="shared" si="3"/>
        <v>Nov-2016</v>
      </c>
      <c r="E586" s="24" t="s">
        <v>20</v>
      </c>
      <c r="F586" s="24" t="s">
        <v>287</v>
      </c>
      <c r="G586" s="23" t="s">
        <v>353</v>
      </c>
      <c r="H586" s="24" t="s">
        <v>23</v>
      </c>
      <c r="I586" s="24" t="s">
        <v>9</v>
      </c>
      <c r="J586" s="24" t="s">
        <v>30</v>
      </c>
      <c r="K586" s="24" t="s">
        <v>30</v>
      </c>
      <c r="L586" s="24" t="s">
        <v>98</v>
      </c>
    </row>
    <row r="587">
      <c r="A587" s="24">
        <f t="shared" si="1"/>
        <v>586</v>
      </c>
      <c r="B587" s="24" t="s">
        <v>348</v>
      </c>
      <c r="C587" s="95">
        <v>42693.0</v>
      </c>
      <c r="D587" s="24" t="str">
        <f t="shared" si="3"/>
        <v>Nov-2016</v>
      </c>
      <c r="E587" s="24" t="s">
        <v>25</v>
      </c>
      <c r="F587" s="24" t="s">
        <v>287</v>
      </c>
      <c r="G587" s="23" t="s">
        <v>353</v>
      </c>
      <c r="H587" s="24" t="s">
        <v>23</v>
      </c>
      <c r="I587" s="24" t="s">
        <v>9</v>
      </c>
      <c r="J587" s="24" t="s">
        <v>30</v>
      </c>
      <c r="K587" s="24"/>
      <c r="L587" s="24" t="s">
        <v>98</v>
      </c>
    </row>
    <row r="588">
      <c r="A588" s="24">
        <f t="shared" si="1"/>
        <v>587</v>
      </c>
      <c r="B588" s="24" t="s">
        <v>348</v>
      </c>
      <c r="C588" s="95">
        <v>42693.0</v>
      </c>
      <c r="D588" s="24" t="str">
        <f t="shared" si="3"/>
        <v>Nov-2016</v>
      </c>
      <c r="E588" s="24" t="s">
        <v>20</v>
      </c>
      <c r="F588" s="24" t="s">
        <v>287</v>
      </c>
      <c r="G588" s="23" t="s">
        <v>354</v>
      </c>
      <c r="H588" s="24" t="s">
        <v>9</v>
      </c>
      <c r="I588" s="24" t="s">
        <v>9</v>
      </c>
      <c r="J588" s="24" t="s">
        <v>24</v>
      </c>
      <c r="K588" s="24" t="s">
        <v>24</v>
      </c>
      <c r="L588" s="24" t="s">
        <v>98</v>
      </c>
    </row>
    <row r="589">
      <c r="A589" s="24">
        <f t="shared" si="1"/>
        <v>588</v>
      </c>
      <c r="B589" s="24" t="s">
        <v>348</v>
      </c>
      <c r="C589" s="95">
        <v>42693.0</v>
      </c>
      <c r="D589" s="24" t="str">
        <f t="shared" si="3"/>
        <v>Nov-2016</v>
      </c>
      <c r="E589" s="24" t="s">
        <v>25</v>
      </c>
      <c r="F589" s="24" t="s">
        <v>287</v>
      </c>
      <c r="G589" s="23" t="s">
        <v>354</v>
      </c>
      <c r="H589" s="24" t="s">
        <v>9</v>
      </c>
      <c r="I589" s="24" t="s">
        <v>9</v>
      </c>
      <c r="J589" s="24" t="s">
        <v>24</v>
      </c>
      <c r="K589" s="24"/>
      <c r="L589" s="24" t="s">
        <v>106</v>
      </c>
    </row>
    <row r="590">
      <c r="A590" s="24">
        <f t="shared" si="1"/>
        <v>589</v>
      </c>
      <c r="B590" s="24" t="s">
        <v>348</v>
      </c>
      <c r="C590" s="95">
        <v>42693.0</v>
      </c>
      <c r="D590" s="24" t="str">
        <f t="shared" si="3"/>
        <v>Nov-2016</v>
      </c>
      <c r="E590" s="24" t="s">
        <v>20</v>
      </c>
      <c r="F590" s="24" t="s">
        <v>287</v>
      </c>
      <c r="G590" s="23" t="s">
        <v>355</v>
      </c>
      <c r="H590" s="24" t="s">
        <v>9</v>
      </c>
      <c r="I590" s="24" t="s">
        <v>9</v>
      </c>
      <c r="J590" s="24" t="s">
        <v>24</v>
      </c>
      <c r="K590" s="24" t="s">
        <v>24</v>
      </c>
      <c r="L590" s="24" t="s">
        <v>98</v>
      </c>
    </row>
    <row r="591">
      <c r="A591" s="24">
        <f t="shared" si="1"/>
        <v>590</v>
      </c>
      <c r="B591" s="24" t="s">
        <v>348</v>
      </c>
      <c r="C591" s="95">
        <v>42693.0</v>
      </c>
      <c r="D591" s="24" t="str">
        <f t="shared" si="3"/>
        <v>Nov-2016</v>
      </c>
      <c r="E591" s="24" t="s">
        <v>25</v>
      </c>
      <c r="F591" s="24" t="s">
        <v>287</v>
      </c>
      <c r="G591" s="23" t="s">
        <v>355</v>
      </c>
      <c r="H591" s="24" t="s">
        <v>9</v>
      </c>
      <c r="I591" s="24" t="s">
        <v>9</v>
      </c>
      <c r="J591" s="24" t="s">
        <v>24</v>
      </c>
      <c r="K591" s="24"/>
      <c r="L591" s="24" t="s">
        <v>99</v>
      </c>
    </row>
    <row r="592">
      <c r="A592" s="24">
        <f t="shared" si="1"/>
        <v>591</v>
      </c>
      <c r="B592" s="24" t="s">
        <v>348</v>
      </c>
      <c r="C592" s="95">
        <v>42693.0</v>
      </c>
      <c r="D592" s="24" t="str">
        <f t="shared" si="3"/>
        <v>Nov-2016</v>
      </c>
      <c r="E592" s="24" t="s">
        <v>20</v>
      </c>
      <c r="F592" s="24" t="s">
        <v>287</v>
      </c>
      <c r="G592" s="23" t="s">
        <v>356</v>
      </c>
      <c r="H592" s="24" t="s">
        <v>27</v>
      </c>
      <c r="I592" s="24" t="s">
        <v>9</v>
      </c>
      <c r="J592" s="24" t="s">
        <v>30</v>
      </c>
      <c r="K592" s="24" t="s">
        <v>30</v>
      </c>
      <c r="L592" s="24" t="s">
        <v>98</v>
      </c>
    </row>
    <row r="593">
      <c r="A593" s="24">
        <f t="shared" si="1"/>
        <v>592</v>
      </c>
      <c r="B593" s="24" t="s">
        <v>348</v>
      </c>
      <c r="C593" s="95">
        <v>42693.0</v>
      </c>
      <c r="D593" s="24" t="str">
        <f t="shared" si="3"/>
        <v>Nov-2016</v>
      </c>
      <c r="E593" s="24" t="s">
        <v>25</v>
      </c>
      <c r="F593" s="24" t="s">
        <v>287</v>
      </c>
      <c r="G593" s="23" t="s">
        <v>356</v>
      </c>
      <c r="H593" s="24" t="s">
        <v>27</v>
      </c>
      <c r="I593" s="24" t="s">
        <v>9</v>
      </c>
      <c r="J593" s="24" t="s">
        <v>30</v>
      </c>
      <c r="K593" s="24"/>
      <c r="L593" s="24" t="s">
        <v>69</v>
      </c>
    </row>
    <row r="594">
      <c r="A594" s="24">
        <f t="shared" si="1"/>
        <v>593</v>
      </c>
      <c r="B594" s="24" t="s">
        <v>348</v>
      </c>
      <c r="C594" s="95">
        <v>42693.0</v>
      </c>
      <c r="D594" s="24" t="str">
        <f t="shared" si="3"/>
        <v>Nov-2016</v>
      </c>
      <c r="E594" s="24" t="s">
        <v>20</v>
      </c>
      <c r="F594" s="24" t="s">
        <v>287</v>
      </c>
      <c r="G594" s="23" t="s">
        <v>233</v>
      </c>
      <c r="H594" s="24" t="s">
        <v>27</v>
      </c>
      <c r="I594" s="24" t="s">
        <v>9</v>
      </c>
      <c r="J594" s="24" t="s">
        <v>30</v>
      </c>
      <c r="K594" s="24" t="s">
        <v>30</v>
      </c>
      <c r="L594" s="24" t="s">
        <v>98</v>
      </c>
    </row>
    <row r="595">
      <c r="A595" s="24">
        <f t="shared" si="1"/>
        <v>594</v>
      </c>
      <c r="B595" s="24" t="s">
        <v>348</v>
      </c>
      <c r="C595" s="95">
        <v>42693.0</v>
      </c>
      <c r="D595" s="24" t="str">
        <f t="shared" si="3"/>
        <v>Nov-2016</v>
      </c>
      <c r="E595" s="24" t="s">
        <v>25</v>
      </c>
      <c r="F595" s="24" t="s">
        <v>287</v>
      </c>
      <c r="G595" s="23" t="s">
        <v>233</v>
      </c>
      <c r="H595" s="24" t="s">
        <v>27</v>
      </c>
      <c r="I595" s="24" t="s">
        <v>9</v>
      </c>
      <c r="J595" s="24" t="s">
        <v>30</v>
      </c>
      <c r="K595" s="24"/>
      <c r="L595" s="24" t="s">
        <v>69</v>
      </c>
    </row>
    <row r="596">
      <c r="A596" s="24">
        <f t="shared" si="1"/>
        <v>595</v>
      </c>
      <c r="B596" s="24" t="s">
        <v>348</v>
      </c>
      <c r="C596" s="95">
        <v>42693.0</v>
      </c>
      <c r="D596" s="24" t="str">
        <f t="shared" si="3"/>
        <v>Nov-2016</v>
      </c>
      <c r="E596" s="24" t="s">
        <v>20</v>
      </c>
      <c r="F596" s="24" t="s">
        <v>357</v>
      </c>
      <c r="G596" s="23" t="s">
        <v>358</v>
      </c>
      <c r="H596" s="24" t="s">
        <v>23</v>
      </c>
      <c r="I596" s="24" t="s">
        <v>9</v>
      </c>
      <c r="J596" s="24" t="s">
        <v>24</v>
      </c>
      <c r="K596" s="24" t="s">
        <v>24</v>
      </c>
      <c r="L596" s="24" t="s">
        <v>98</v>
      </c>
    </row>
    <row r="597">
      <c r="A597" s="24">
        <f t="shared" si="1"/>
        <v>596</v>
      </c>
      <c r="B597" s="24" t="s">
        <v>348</v>
      </c>
      <c r="C597" s="95">
        <v>42693.0</v>
      </c>
      <c r="D597" s="24" t="str">
        <f t="shared" si="3"/>
        <v>Nov-2016</v>
      </c>
      <c r="E597" s="24" t="s">
        <v>25</v>
      </c>
      <c r="F597" s="24" t="s">
        <v>357</v>
      </c>
      <c r="G597" s="23" t="s">
        <v>358</v>
      </c>
      <c r="H597" s="24" t="s">
        <v>23</v>
      </c>
      <c r="I597" s="24" t="s">
        <v>9</v>
      </c>
      <c r="J597" s="24" t="s">
        <v>24</v>
      </c>
      <c r="K597" s="24"/>
      <c r="L597" s="24" t="s">
        <v>106</v>
      </c>
    </row>
    <row r="598">
      <c r="A598" s="24">
        <f t="shared" si="1"/>
        <v>597</v>
      </c>
      <c r="B598" s="24" t="s">
        <v>359</v>
      </c>
      <c r="C598" s="340">
        <v>42704.0</v>
      </c>
      <c r="D598" s="24" t="str">
        <f t="shared" si="3"/>
        <v>Nov-2016</v>
      </c>
      <c r="E598" s="24" t="s">
        <v>20</v>
      </c>
      <c r="F598" s="24" t="s">
        <v>35</v>
      </c>
      <c r="G598" s="23" t="s">
        <v>276</v>
      </c>
      <c r="H598" s="24" t="s">
        <v>48</v>
      </c>
      <c r="I598" s="24" t="s">
        <v>9</v>
      </c>
      <c r="J598" s="24" t="s">
        <v>30</v>
      </c>
      <c r="K598" s="24" t="s">
        <v>30</v>
      </c>
      <c r="L598" s="24" t="s">
        <v>98</v>
      </c>
    </row>
    <row r="599">
      <c r="A599" s="24">
        <f t="shared" si="1"/>
        <v>598</v>
      </c>
      <c r="B599" s="24" t="s">
        <v>359</v>
      </c>
      <c r="C599" s="340">
        <v>42704.0</v>
      </c>
      <c r="D599" s="24" t="str">
        <f t="shared" si="3"/>
        <v>Nov-2016</v>
      </c>
      <c r="E599" s="24" t="s">
        <v>25</v>
      </c>
      <c r="F599" s="24" t="s">
        <v>35</v>
      </c>
      <c r="G599" s="23" t="s">
        <v>276</v>
      </c>
      <c r="H599" s="24" t="s">
        <v>48</v>
      </c>
      <c r="I599" s="24" t="s">
        <v>9</v>
      </c>
      <c r="J599" s="24" t="s">
        <v>30</v>
      </c>
      <c r="K599" s="24"/>
      <c r="L599" s="24" t="s">
        <v>99</v>
      </c>
    </row>
    <row r="600">
      <c r="A600" s="24">
        <f t="shared" si="1"/>
        <v>599</v>
      </c>
      <c r="B600" s="24" t="s">
        <v>359</v>
      </c>
      <c r="C600" s="340">
        <v>42704.0</v>
      </c>
      <c r="D600" s="24" t="str">
        <f t="shared" si="3"/>
        <v>Nov-2016</v>
      </c>
      <c r="E600" s="24" t="s">
        <v>20</v>
      </c>
      <c r="F600" s="24" t="s">
        <v>35</v>
      </c>
      <c r="G600" s="23" t="s">
        <v>184</v>
      </c>
      <c r="H600" s="24" t="s">
        <v>9</v>
      </c>
      <c r="I600" s="24" t="s">
        <v>9</v>
      </c>
      <c r="J600" s="24" t="s">
        <v>24</v>
      </c>
      <c r="K600" s="24" t="s">
        <v>24</v>
      </c>
      <c r="L600" s="24" t="s">
        <v>98</v>
      </c>
    </row>
    <row r="601">
      <c r="A601" s="24">
        <f t="shared" si="1"/>
        <v>600</v>
      </c>
      <c r="B601" s="24" t="s">
        <v>359</v>
      </c>
      <c r="C601" s="340">
        <v>42704.0</v>
      </c>
      <c r="D601" s="24" t="str">
        <f t="shared" si="3"/>
        <v>Nov-2016</v>
      </c>
      <c r="E601" s="24" t="s">
        <v>25</v>
      </c>
      <c r="F601" s="24" t="s">
        <v>35</v>
      </c>
      <c r="G601" s="23" t="s">
        <v>184</v>
      </c>
      <c r="H601" s="24" t="s">
        <v>44</v>
      </c>
      <c r="I601" s="24" t="s">
        <v>9</v>
      </c>
      <c r="J601" s="24" t="s">
        <v>30</v>
      </c>
      <c r="K601" s="24"/>
      <c r="L601" s="24" t="s">
        <v>99</v>
      </c>
    </row>
    <row r="602">
      <c r="A602" s="24">
        <f t="shared" si="1"/>
        <v>601</v>
      </c>
      <c r="B602" s="24" t="s">
        <v>359</v>
      </c>
      <c r="C602" s="340">
        <v>42704.0</v>
      </c>
      <c r="D602" s="24" t="str">
        <f t="shared" si="3"/>
        <v>Nov-2016</v>
      </c>
      <c r="E602" s="24" t="s">
        <v>32</v>
      </c>
      <c r="F602" s="24" t="s">
        <v>35</v>
      </c>
      <c r="G602" s="23" t="s">
        <v>184</v>
      </c>
      <c r="H602" s="24" t="s">
        <v>44</v>
      </c>
      <c r="I602" s="24" t="s">
        <v>9</v>
      </c>
      <c r="J602" s="24" t="s">
        <v>24</v>
      </c>
      <c r="K602" s="24"/>
      <c r="L602" s="24" t="s">
        <v>69</v>
      </c>
    </row>
    <row r="603">
      <c r="A603" s="24">
        <f t="shared" si="1"/>
        <v>602</v>
      </c>
      <c r="B603" s="24" t="s">
        <v>359</v>
      </c>
      <c r="C603" s="340">
        <v>42704.0</v>
      </c>
      <c r="D603" s="24" t="str">
        <f t="shared" si="3"/>
        <v>Nov-2016</v>
      </c>
      <c r="E603" s="24" t="s">
        <v>20</v>
      </c>
      <c r="F603" s="24" t="s">
        <v>35</v>
      </c>
      <c r="G603" s="23" t="s">
        <v>360</v>
      </c>
      <c r="H603" s="24" t="s">
        <v>216</v>
      </c>
      <c r="I603" s="24" t="s">
        <v>9</v>
      </c>
      <c r="J603" s="24" t="s">
        <v>30</v>
      </c>
      <c r="K603" s="24" t="s">
        <v>30</v>
      </c>
      <c r="L603" s="24" t="s">
        <v>69</v>
      </c>
    </row>
    <row r="604">
      <c r="A604" s="24">
        <f t="shared" si="1"/>
        <v>603</v>
      </c>
      <c r="B604" s="24" t="s">
        <v>359</v>
      </c>
      <c r="C604" s="340">
        <v>42704.0</v>
      </c>
      <c r="D604" s="24" t="str">
        <f t="shared" si="3"/>
        <v>Nov-2016</v>
      </c>
      <c r="E604" s="24" t="s">
        <v>25</v>
      </c>
      <c r="F604" s="24" t="s">
        <v>35</v>
      </c>
      <c r="G604" s="23" t="s">
        <v>360</v>
      </c>
      <c r="H604" s="24" t="s">
        <v>44</v>
      </c>
      <c r="I604" s="24" t="s">
        <v>9</v>
      </c>
      <c r="J604" s="24" t="s">
        <v>30</v>
      </c>
      <c r="K604" s="24"/>
      <c r="L604" s="24" t="s">
        <v>69</v>
      </c>
    </row>
    <row r="605">
      <c r="A605" s="24">
        <f t="shared" si="1"/>
        <v>604</v>
      </c>
      <c r="B605" s="24" t="s">
        <v>359</v>
      </c>
      <c r="C605" s="340">
        <v>42704.0</v>
      </c>
      <c r="D605" s="24" t="str">
        <f t="shared" si="3"/>
        <v>Nov-2016</v>
      </c>
      <c r="E605" s="24" t="s">
        <v>20</v>
      </c>
      <c r="F605" s="24" t="s">
        <v>35</v>
      </c>
      <c r="G605" s="23" t="s">
        <v>361</v>
      </c>
      <c r="H605" s="24" t="s">
        <v>44</v>
      </c>
      <c r="I605" s="24" t="s">
        <v>9</v>
      </c>
      <c r="J605" s="24" t="s">
        <v>30</v>
      </c>
      <c r="K605" s="24" t="s">
        <v>30</v>
      </c>
      <c r="L605" s="24" t="s">
        <v>98</v>
      </c>
    </row>
    <row r="606">
      <c r="A606" s="24">
        <f t="shared" si="1"/>
        <v>605</v>
      </c>
      <c r="B606" s="24" t="s">
        <v>359</v>
      </c>
      <c r="C606" s="340">
        <v>42704.0</v>
      </c>
      <c r="D606" s="24" t="str">
        <f t="shared" si="3"/>
        <v>Nov-2016</v>
      </c>
      <c r="E606" s="24" t="s">
        <v>25</v>
      </c>
      <c r="F606" s="24" t="s">
        <v>35</v>
      </c>
      <c r="G606" s="23" t="s">
        <v>361</v>
      </c>
      <c r="H606" s="24" t="s">
        <v>44</v>
      </c>
      <c r="I606" s="24" t="s">
        <v>9</v>
      </c>
      <c r="J606" s="24" t="s">
        <v>24</v>
      </c>
      <c r="K606" s="24"/>
      <c r="L606" s="24" t="s">
        <v>69</v>
      </c>
    </row>
    <row r="607">
      <c r="A607" s="24">
        <f t="shared" si="1"/>
        <v>606</v>
      </c>
      <c r="B607" s="24" t="s">
        <v>359</v>
      </c>
      <c r="C607" s="340">
        <v>42704.0</v>
      </c>
      <c r="D607" s="24" t="str">
        <f t="shared" si="3"/>
        <v>Nov-2016</v>
      </c>
      <c r="E607" s="24" t="s">
        <v>32</v>
      </c>
      <c r="F607" s="24" t="s">
        <v>35</v>
      </c>
      <c r="G607" s="23" t="s">
        <v>361</v>
      </c>
      <c r="H607" s="24" t="s">
        <v>44</v>
      </c>
      <c r="I607" s="24" t="s">
        <v>9</v>
      </c>
      <c r="J607" s="24" t="s">
        <v>30</v>
      </c>
      <c r="K607" s="24"/>
      <c r="L607" s="24" t="s">
        <v>69</v>
      </c>
    </row>
    <row r="608">
      <c r="A608" s="24">
        <f t="shared" si="1"/>
        <v>607</v>
      </c>
      <c r="B608" s="24" t="s">
        <v>359</v>
      </c>
      <c r="C608" s="340">
        <v>42704.0</v>
      </c>
      <c r="D608" s="24" t="str">
        <f t="shared" si="3"/>
        <v>Nov-2016</v>
      </c>
      <c r="E608" s="24" t="s">
        <v>20</v>
      </c>
      <c r="F608" s="24" t="s">
        <v>35</v>
      </c>
      <c r="G608" s="23" t="s">
        <v>354</v>
      </c>
      <c r="H608" s="24" t="s">
        <v>9</v>
      </c>
      <c r="I608" s="24" t="s">
        <v>9</v>
      </c>
      <c r="J608" s="24" t="s">
        <v>24</v>
      </c>
      <c r="K608" s="24" t="s">
        <v>24</v>
      </c>
      <c r="L608" s="24" t="s">
        <v>98</v>
      </c>
    </row>
    <row r="609">
      <c r="A609" s="24">
        <f t="shared" si="1"/>
        <v>608</v>
      </c>
      <c r="B609" s="24" t="s">
        <v>359</v>
      </c>
      <c r="C609" s="340">
        <v>42704.0</v>
      </c>
      <c r="D609" s="24" t="str">
        <f t="shared" si="3"/>
        <v>Nov-2016</v>
      </c>
      <c r="E609" s="24" t="s">
        <v>25</v>
      </c>
      <c r="F609" s="24" t="s">
        <v>35</v>
      </c>
      <c r="G609" s="23" t="s">
        <v>354</v>
      </c>
      <c r="H609" s="24" t="s">
        <v>9</v>
      </c>
      <c r="I609" s="24" t="s">
        <v>9</v>
      </c>
      <c r="J609" s="24" t="s">
        <v>24</v>
      </c>
      <c r="K609" s="24"/>
      <c r="L609" s="24" t="s">
        <v>69</v>
      </c>
    </row>
    <row r="610">
      <c r="A610" s="24">
        <f t="shared" si="1"/>
        <v>609</v>
      </c>
      <c r="B610" s="24" t="s">
        <v>362</v>
      </c>
      <c r="C610" s="340">
        <v>42711.0</v>
      </c>
      <c r="D610" s="24" t="str">
        <f t="shared" si="3"/>
        <v>Dec-2016</v>
      </c>
      <c r="E610" s="24" t="s">
        <v>20</v>
      </c>
      <c r="F610" s="24" t="s">
        <v>35</v>
      </c>
      <c r="G610" s="23" t="s">
        <v>363</v>
      </c>
      <c r="H610" s="24" t="s">
        <v>44</v>
      </c>
      <c r="I610" s="24" t="s">
        <v>9</v>
      </c>
      <c r="J610" s="24" t="s">
        <v>30</v>
      </c>
      <c r="K610" s="24" t="s">
        <v>30</v>
      </c>
      <c r="L610" s="24" t="s">
        <v>69</v>
      </c>
    </row>
    <row r="611">
      <c r="A611" s="24">
        <f t="shared" si="1"/>
        <v>610</v>
      </c>
      <c r="B611" s="24" t="s">
        <v>362</v>
      </c>
      <c r="C611" s="340">
        <v>42711.0</v>
      </c>
      <c r="D611" s="24" t="str">
        <f t="shared" si="3"/>
        <v>Dec-2016</v>
      </c>
      <c r="E611" s="24" t="s">
        <v>25</v>
      </c>
      <c r="F611" s="24" t="s">
        <v>35</v>
      </c>
      <c r="G611" s="23" t="s">
        <v>363</v>
      </c>
      <c r="H611" s="24" t="s">
        <v>44</v>
      </c>
      <c r="I611" s="24" t="s">
        <v>9</v>
      </c>
      <c r="J611" s="24" t="s">
        <v>30</v>
      </c>
      <c r="K611" s="24"/>
      <c r="L611" s="24" t="s">
        <v>69</v>
      </c>
    </row>
    <row r="612">
      <c r="A612" s="24">
        <f t="shared" si="1"/>
        <v>611</v>
      </c>
      <c r="B612" s="24" t="s">
        <v>362</v>
      </c>
      <c r="C612" s="340">
        <v>42711.0</v>
      </c>
      <c r="D612" s="24" t="str">
        <f t="shared" si="3"/>
        <v>Dec-2016</v>
      </c>
      <c r="E612" s="24" t="s">
        <v>20</v>
      </c>
      <c r="F612" s="24" t="s">
        <v>35</v>
      </c>
      <c r="G612" s="23" t="s">
        <v>364</v>
      </c>
      <c r="H612" s="24" t="s">
        <v>86</v>
      </c>
      <c r="I612" s="24" t="s">
        <v>9</v>
      </c>
      <c r="J612" s="24" t="s">
        <v>24</v>
      </c>
      <c r="K612" s="24" t="s">
        <v>24</v>
      </c>
      <c r="L612" s="24" t="s">
        <v>69</v>
      </c>
    </row>
    <row r="613">
      <c r="A613" s="24">
        <f t="shared" si="1"/>
        <v>612</v>
      </c>
      <c r="B613" s="24" t="s">
        <v>362</v>
      </c>
      <c r="C613" s="340">
        <v>42711.0</v>
      </c>
      <c r="D613" s="24" t="str">
        <f t="shared" si="3"/>
        <v>Dec-2016</v>
      </c>
      <c r="E613" s="24" t="s">
        <v>25</v>
      </c>
      <c r="F613" s="24" t="s">
        <v>35</v>
      </c>
      <c r="G613" s="23" t="s">
        <v>364</v>
      </c>
      <c r="H613" s="24" t="s">
        <v>86</v>
      </c>
      <c r="I613" s="24" t="s">
        <v>9</v>
      </c>
      <c r="J613" s="24" t="s">
        <v>24</v>
      </c>
      <c r="K613" s="24"/>
      <c r="L613" s="24" t="s">
        <v>29</v>
      </c>
    </row>
    <row r="614">
      <c r="A614" s="24">
        <f t="shared" si="1"/>
        <v>613</v>
      </c>
      <c r="B614" s="24" t="s">
        <v>362</v>
      </c>
      <c r="C614" s="340">
        <v>42711.0</v>
      </c>
      <c r="D614" s="24" t="str">
        <f t="shared" si="3"/>
        <v>Dec-2016</v>
      </c>
      <c r="E614" s="24" t="s">
        <v>20</v>
      </c>
      <c r="F614" s="24" t="s">
        <v>35</v>
      </c>
      <c r="G614" s="23" t="s">
        <v>365</v>
      </c>
      <c r="H614" s="24" t="s">
        <v>86</v>
      </c>
      <c r="I614" s="24" t="s">
        <v>9</v>
      </c>
      <c r="J614" s="24" t="s">
        <v>30</v>
      </c>
      <c r="K614" s="24" t="s">
        <v>30</v>
      </c>
      <c r="L614" s="24" t="s">
        <v>69</v>
      </c>
    </row>
    <row r="615">
      <c r="A615" s="24">
        <f t="shared" si="1"/>
        <v>614</v>
      </c>
      <c r="B615" s="24" t="s">
        <v>362</v>
      </c>
      <c r="C615" s="340">
        <v>42711.0</v>
      </c>
      <c r="D615" s="24" t="str">
        <f t="shared" si="3"/>
        <v>Dec-2016</v>
      </c>
      <c r="E615" s="24" t="s">
        <v>25</v>
      </c>
      <c r="F615" s="24" t="s">
        <v>35</v>
      </c>
      <c r="G615" s="23" t="s">
        <v>365</v>
      </c>
      <c r="H615" s="24" t="s">
        <v>86</v>
      </c>
      <c r="I615" s="24" t="s">
        <v>9</v>
      </c>
      <c r="J615" s="24" t="s">
        <v>30</v>
      </c>
      <c r="K615" s="24"/>
      <c r="L615" s="24" t="s">
        <v>106</v>
      </c>
    </row>
    <row r="616">
      <c r="A616" s="24">
        <f t="shared" si="1"/>
        <v>615</v>
      </c>
      <c r="B616" s="24" t="s">
        <v>362</v>
      </c>
      <c r="C616" s="340">
        <v>42711.0</v>
      </c>
      <c r="D616" s="24" t="str">
        <f t="shared" si="3"/>
        <v>Dec-2016</v>
      </c>
      <c r="E616" s="24" t="s">
        <v>20</v>
      </c>
      <c r="F616" s="24" t="s">
        <v>35</v>
      </c>
      <c r="G616" s="23" t="s">
        <v>127</v>
      </c>
      <c r="H616" s="24" t="s">
        <v>44</v>
      </c>
      <c r="I616" s="24" t="s">
        <v>9</v>
      </c>
      <c r="J616" s="24" t="s">
        <v>30</v>
      </c>
      <c r="K616" s="24" t="s">
        <v>30</v>
      </c>
      <c r="L616" s="24" t="s">
        <v>98</v>
      </c>
    </row>
    <row r="617">
      <c r="A617" s="24">
        <f t="shared" si="1"/>
        <v>616</v>
      </c>
      <c r="B617" s="24" t="s">
        <v>362</v>
      </c>
      <c r="C617" s="340">
        <v>42711.0</v>
      </c>
      <c r="D617" s="24" t="str">
        <f t="shared" si="3"/>
        <v>Dec-2016</v>
      </c>
      <c r="E617" s="24" t="s">
        <v>25</v>
      </c>
      <c r="F617" s="24" t="s">
        <v>35</v>
      </c>
      <c r="G617" s="23" t="s">
        <v>127</v>
      </c>
      <c r="H617" s="24" t="s">
        <v>44</v>
      </c>
      <c r="I617" s="24" t="s">
        <v>9</v>
      </c>
      <c r="J617" s="24" t="s">
        <v>30</v>
      </c>
      <c r="K617" s="24"/>
      <c r="L617" s="24" t="s">
        <v>69</v>
      </c>
    </row>
    <row r="618">
      <c r="A618" s="24">
        <f t="shared" si="1"/>
        <v>617</v>
      </c>
      <c r="B618" s="24" t="s">
        <v>362</v>
      </c>
      <c r="C618" s="340">
        <v>42711.0</v>
      </c>
      <c r="D618" s="24" t="str">
        <f t="shared" si="3"/>
        <v>Dec-2016</v>
      </c>
      <c r="E618" s="24" t="s">
        <v>20</v>
      </c>
      <c r="F618" s="24" t="s">
        <v>35</v>
      </c>
      <c r="G618" s="23" t="s">
        <v>346</v>
      </c>
      <c r="H618" s="24" t="s">
        <v>44</v>
      </c>
      <c r="I618" s="24" t="s">
        <v>9</v>
      </c>
      <c r="J618" s="24" t="s">
        <v>24</v>
      </c>
      <c r="K618" s="24" t="s">
        <v>24</v>
      </c>
      <c r="L618" s="24" t="s">
        <v>98</v>
      </c>
    </row>
    <row r="619">
      <c r="A619" s="24">
        <f t="shared" si="1"/>
        <v>618</v>
      </c>
      <c r="B619" s="24" t="s">
        <v>362</v>
      </c>
      <c r="C619" s="340">
        <v>42711.0</v>
      </c>
      <c r="D619" s="24" t="str">
        <f t="shared" si="3"/>
        <v>Dec-2016</v>
      </c>
      <c r="E619" s="24" t="s">
        <v>25</v>
      </c>
      <c r="F619" s="24" t="s">
        <v>35</v>
      </c>
      <c r="G619" s="23" t="s">
        <v>346</v>
      </c>
      <c r="H619" s="24" t="s">
        <v>44</v>
      </c>
      <c r="I619" s="24" t="s">
        <v>9</v>
      </c>
      <c r="J619" s="24" t="s">
        <v>24</v>
      </c>
      <c r="K619" s="24"/>
      <c r="L619" s="24" t="s">
        <v>98</v>
      </c>
    </row>
    <row r="620">
      <c r="A620" s="24">
        <f t="shared" si="1"/>
        <v>619</v>
      </c>
      <c r="B620" s="24" t="s">
        <v>366</v>
      </c>
      <c r="C620" s="340">
        <v>42713.0</v>
      </c>
      <c r="D620" s="24" t="str">
        <f t="shared" si="3"/>
        <v>Dec-2016</v>
      </c>
      <c r="E620" s="24" t="s">
        <v>20</v>
      </c>
      <c r="F620" s="24" t="s">
        <v>35</v>
      </c>
      <c r="G620" s="23" t="s">
        <v>367</v>
      </c>
      <c r="H620" s="24" t="s">
        <v>71</v>
      </c>
      <c r="I620" s="24" t="s">
        <v>9</v>
      </c>
      <c r="J620" s="24" t="s">
        <v>24</v>
      </c>
      <c r="K620" s="24" t="s">
        <v>24</v>
      </c>
      <c r="L620" s="24" t="s">
        <v>98</v>
      </c>
    </row>
    <row r="621">
      <c r="A621" s="24">
        <f t="shared" si="1"/>
        <v>620</v>
      </c>
      <c r="B621" s="24" t="s">
        <v>366</v>
      </c>
      <c r="C621" s="340">
        <v>42713.0</v>
      </c>
      <c r="D621" s="24" t="str">
        <f t="shared" si="3"/>
        <v>Dec-2016</v>
      </c>
      <c r="E621" s="24" t="s">
        <v>25</v>
      </c>
      <c r="F621" s="24" t="s">
        <v>35</v>
      </c>
      <c r="G621" s="23" t="s">
        <v>367</v>
      </c>
      <c r="H621" s="24" t="s">
        <v>71</v>
      </c>
      <c r="I621" s="24" t="s">
        <v>9</v>
      </c>
      <c r="J621" s="24" t="s">
        <v>30</v>
      </c>
      <c r="K621" s="24"/>
      <c r="L621" s="24" t="s">
        <v>69</v>
      </c>
    </row>
    <row r="622">
      <c r="A622" s="24">
        <f t="shared" si="1"/>
        <v>621</v>
      </c>
      <c r="B622" s="24" t="s">
        <v>366</v>
      </c>
      <c r="C622" s="340">
        <v>42713.0</v>
      </c>
      <c r="D622" s="24" t="str">
        <f t="shared" si="3"/>
        <v>Dec-2016</v>
      </c>
      <c r="E622" s="24" t="s">
        <v>32</v>
      </c>
      <c r="F622" s="24" t="s">
        <v>35</v>
      </c>
      <c r="G622" s="23" t="s">
        <v>367</v>
      </c>
      <c r="H622" s="24" t="s">
        <v>71</v>
      </c>
      <c r="I622" s="24" t="s">
        <v>9</v>
      </c>
      <c r="J622" s="24" t="s">
        <v>24</v>
      </c>
      <c r="K622" s="24"/>
      <c r="L622" s="24" t="s">
        <v>29</v>
      </c>
    </row>
    <row r="623">
      <c r="A623" s="24">
        <f t="shared" si="1"/>
        <v>622</v>
      </c>
      <c r="B623" s="24" t="s">
        <v>366</v>
      </c>
      <c r="C623" s="340">
        <v>42713.0</v>
      </c>
      <c r="D623" s="24" t="str">
        <f t="shared" si="3"/>
        <v>Dec-2016</v>
      </c>
      <c r="E623" s="24" t="s">
        <v>20</v>
      </c>
      <c r="F623" s="24" t="s">
        <v>35</v>
      </c>
      <c r="G623" s="23" t="s">
        <v>356</v>
      </c>
      <c r="H623" s="24" t="s">
        <v>27</v>
      </c>
      <c r="I623" s="24" t="s">
        <v>9</v>
      </c>
      <c r="J623" s="24" t="s">
        <v>30</v>
      </c>
      <c r="K623" s="24" t="s">
        <v>30</v>
      </c>
      <c r="L623" s="24" t="s">
        <v>98</v>
      </c>
    </row>
    <row r="624">
      <c r="A624" s="24">
        <f t="shared" si="1"/>
        <v>623</v>
      </c>
      <c r="B624" s="24" t="s">
        <v>366</v>
      </c>
      <c r="C624" s="340">
        <v>42713.0</v>
      </c>
      <c r="D624" s="24" t="str">
        <f t="shared" si="3"/>
        <v>Dec-2016</v>
      </c>
      <c r="E624" s="24" t="s">
        <v>25</v>
      </c>
      <c r="F624" s="24" t="s">
        <v>35</v>
      </c>
      <c r="G624" s="23" t="s">
        <v>356</v>
      </c>
      <c r="H624" s="24" t="s">
        <v>27</v>
      </c>
      <c r="I624" s="24" t="s">
        <v>9</v>
      </c>
      <c r="J624" s="24" t="s">
        <v>30</v>
      </c>
      <c r="K624" s="24"/>
      <c r="L624" s="24" t="s">
        <v>98</v>
      </c>
    </row>
    <row r="625">
      <c r="A625" s="24">
        <f t="shared" si="1"/>
        <v>624</v>
      </c>
      <c r="B625" s="24" t="s">
        <v>366</v>
      </c>
      <c r="C625" s="340">
        <v>42713.0</v>
      </c>
      <c r="D625" s="24" t="str">
        <f t="shared" si="3"/>
        <v>Dec-2016</v>
      </c>
      <c r="E625" s="24" t="s">
        <v>20</v>
      </c>
      <c r="F625" s="24" t="s">
        <v>35</v>
      </c>
      <c r="G625" s="23" t="s">
        <v>291</v>
      </c>
      <c r="H625" s="24" t="s">
        <v>44</v>
      </c>
      <c r="I625" s="24" t="s">
        <v>9</v>
      </c>
      <c r="J625" s="24" t="s">
        <v>24</v>
      </c>
      <c r="K625" s="24" t="s">
        <v>30</v>
      </c>
      <c r="L625" s="24" t="s">
        <v>98</v>
      </c>
    </row>
    <row r="626">
      <c r="A626" s="24">
        <f t="shared" si="1"/>
        <v>625</v>
      </c>
      <c r="B626" s="24" t="s">
        <v>366</v>
      </c>
      <c r="C626" s="340">
        <v>42713.0</v>
      </c>
      <c r="D626" s="24" t="str">
        <f t="shared" si="3"/>
        <v>Dec-2016</v>
      </c>
      <c r="E626" s="24" t="s">
        <v>25</v>
      </c>
      <c r="F626" s="24" t="s">
        <v>35</v>
      </c>
      <c r="G626" s="23" t="s">
        <v>291</v>
      </c>
      <c r="H626" s="24" t="s">
        <v>44</v>
      </c>
      <c r="I626" s="24" t="s">
        <v>9</v>
      </c>
      <c r="J626" s="24" t="s">
        <v>30</v>
      </c>
      <c r="K626" s="24"/>
      <c r="L626" s="24" t="s">
        <v>69</v>
      </c>
    </row>
    <row r="627">
      <c r="A627" s="24">
        <f t="shared" si="1"/>
        <v>626</v>
      </c>
      <c r="B627" s="24" t="s">
        <v>366</v>
      </c>
      <c r="C627" s="340">
        <v>42713.0</v>
      </c>
      <c r="D627" s="24" t="str">
        <f t="shared" si="3"/>
        <v>Dec-2016</v>
      </c>
      <c r="E627" s="24" t="s">
        <v>32</v>
      </c>
      <c r="F627" s="24" t="s">
        <v>35</v>
      </c>
      <c r="G627" s="23" t="s">
        <v>291</v>
      </c>
      <c r="H627" s="24" t="s">
        <v>44</v>
      </c>
      <c r="I627" s="24" t="s">
        <v>9</v>
      </c>
      <c r="J627" s="24" t="s">
        <v>30</v>
      </c>
      <c r="K627" s="24"/>
      <c r="L627" s="24" t="s">
        <v>69</v>
      </c>
    </row>
    <row r="628">
      <c r="A628" s="24">
        <f t="shared" si="1"/>
        <v>627</v>
      </c>
      <c r="B628" s="24" t="s">
        <v>366</v>
      </c>
      <c r="C628" s="340">
        <v>42713.0</v>
      </c>
      <c r="D628" s="24" t="str">
        <f t="shared" si="3"/>
        <v>Dec-2016</v>
      </c>
      <c r="E628" s="24" t="s">
        <v>20</v>
      </c>
      <c r="F628" s="24" t="s">
        <v>35</v>
      </c>
      <c r="G628" s="23" t="s">
        <v>369</v>
      </c>
      <c r="H628" s="24" t="s">
        <v>97</v>
      </c>
      <c r="I628" s="24" t="s">
        <v>9</v>
      </c>
      <c r="J628" s="24" t="s">
        <v>30</v>
      </c>
      <c r="K628" s="24" t="s">
        <v>30</v>
      </c>
      <c r="L628" s="24" t="s">
        <v>98</v>
      </c>
    </row>
    <row r="629">
      <c r="A629" s="24">
        <f t="shared" si="1"/>
        <v>628</v>
      </c>
      <c r="B629" s="24" t="s">
        <v>366</v>
      </c>
      <c r="C629" s="340">
        <v>42713.0</v>
      </c>
      <c r="D629" s="24" t="str">
        <f t="shared" si="3"/>
        <v>Dec-2016</v>
      </c>
      <c r="E629" s="24" t="s">
        <v>25</v>
      </c>
      <c r="F629" s="24" t="s">
        <v>35</v>
      </c>
      <c r="G629" s="23" t="s">
        <v>369</v>
      </c>
      <c r="H629" s="24" t="s">
        <v>48</v>
      </c>
      <c r="I629" s="24" t="s">
        <v>9</v>
      </c>
      <c r="J629" s="24" t="s">
        <v>24</v>
      </c>
      <c r="K629" s="24"/>
      <c r="L629" s="24" t="s">
        <v>37</v>
      </c>
    </row>
    <row r="630">
      <c r="A630" s="24">
        <f t="shared" si="1"/>
        <v>629</v>
      </c>
      <c r="B630" s="24" t="s">
        <v>366</v>
      </c>
      <c r="C630" s="340">
        <v>42713.0</v>
      </c>
      <c r="D630" s="24" t="str">
        <f t="shared" si="3"/>
        <v>Dec-2016</v>
      </c>
      <c r="E630" s="24" t="s">
        <v>32</v>
      </c>
      <c r="F630" s="24" t="s">
        <v>35</v>
      </c>
      <c r="G630" s="23" t="s">
        <v>369</v>
      </c>
      <c r="H630" s="24" t="s">
        <v>23</v>
      </c>
      <c r="I630" s="24" t="s">
        <v>9</v>
      </c>
      <c r="J630" s="24" t="s">
        <v>30</v>
      </c>
      <c r="K630" s="24"/>
      <c r="L630" s="24" t="s">
        <v>106</v>
      </c>
    </row>
    <row r="631">
      <c r="A631" s="24">
        <f t="shared" si="1"/>
        <v>630</v>
      </c>
      <c r="B631" s="24" t="s">
        <v>366</v>
      </c>
      <c r="C631" s="340">
        <v>42713.0</v>
      </c>
      <c r="D631" s="24" t="str">
        <f t="shared" si="3"/>
        <v>Dec-2016</v>
      </c>
      <c r="E631" s="24" t="s">
        <v>20</v>
      </c>
      <c r="F631" s="24" t="s">
        <v>35</v>
      </c>
      <c r="G631" s="23" t="s">
        <v>367</v>
      </c>
      <c r="H631" s="24" t="s">
        <v>71</v>
      </c>
      <c r="I631" s="24" t="s">
        <v>9</v>
      </c>
      <c r="J631" s="24" t="s">
        <v>24</v>
      </c>
      <c r="K631" s="24" t="s">
        <v>24</v>
      </c>
      <c r="L631" s="24" t="s">
        <v>98</v>
      </c>
    </row>
    <row r="632">
      <c r="A632" s="24">
        <f t="shared" si="1"/>
        <v>631</v>
      </c>
      <c r="B632" s="24" t="s">
        <v>366</v>
      </c>
      <c r="C632" s="340">
        <v>42713.0</v>
      </c>
      <c r="D632" s="24" t="str">
        <f t="shared" si="3"/>
        <v>Dec-2016</v>
      </c>
      <c r="E632" s="24" t="s">
        <v>25</v>
      </c>
      <c r="F632" s="24" t="s">
        <v>35</v>
      </c>
      <c r="G632" s="23" t="s">
        <v>367</v>
      </c>
      <c r="H632" s="24" t="s">
        <v>71</v>
      </c>
      <c r="I632" s="24" t="s">
        <v>9</v>
      </c>
      <c r="J632" s="24" t="s">
        <v>24</v>
      </c>
      <c r="K632" s="24"/>
      <c r="L632" s="24" t="s">
        <v>69</v>
      </c>
    </row>
    <row r="633">
      <c r="A633" s="24">
        <f t="shared" si="1"/>
        <v>632</v>
      </c>
      <c r="B633" s="24" t="s">
        <v>370</v>
      </c>
      <c r="C633" s="340">
        <v>42718.0</v>
      </c>
      <c r="D633" s="24" t="str">
        <f t="shared" si="3"/>
        <v>Dec-2016</v>
      </c>
      <c r="E633" s="24" t="s">
        <v>20</v>
      </c>
      <c r="F633" s="24" t="s">
        <v>35</v>
      </c>
      <c r="G633" s="23" t="s">
        <v>371</v>
      </c>
      <c r="H633" s="24" t="s">
        <v>44</v>
      </c>
      <c r="I633" s="24" t="s">
        <v>9</v>
      </c>
      <c r="J633" s="24" t="s">
        <v>30</v>
      </c>
      <c r="K633" s="24" t="s">
        <v>30</v>
      </c>
      <c r="L633" s="24" t="s">
        <v>98</v>
      </c>
    </row>
    <row r="634">
      <c r="A634" s="24">
        <f t="shared" si="1"/>
        <v>633</v>
      </c>
      <c r="B634" s="24" t="s">
        <v>370</v>
      </c>
      <c r="C634" s="340">
        <v>42718.0</v>
      </c>
      <c r="D634" s="24" t="str">
        <f t="shared" si="3"/>
        <v>Dec-2016</v>
      </c>
      <c r="E634" s="24" t="s">
        <v>25</v>
      </c>
      <c r="F634" s="24" t="s">
        <v>35</v>
      </c>
      <c r="G634" s="23" t="s">
        <v>371</v>
      </c>
      <c r="H634" s="24" t="s">
        <v>44</v>
      </c>
      <c r="I634" s="24" t="s">
        <v>9</v>
      </c>
      <c r="J634" s="24" t="s">
        <v>30</v>
      </c>
      <c r="K634" s="24"/>
      <c r="L634" s="24" t="s">
        <v>106</v>
      </c>
    </row>
    <row r="635">
      <c r="A635" s="24">
        <f t="shared" si="1"/>
        <v>634</v>
      </c>
      <c r="B635" s="24" t="s">
        <v>370</v>
      </c>
      <c r="C635" s="340">
        <v>42718.0</v>
      </c>
      <c r="D635" s="24" t="str">
        <f t="shared" si="3"/>
        <v>Dec-2016</v>
      </c>
      <c r="E635" s="24" t="s">
        <v>20</v>
      </c>
      <c r="F635" s="24" t="s">
        <v>35</v>
      </c>
      <c r="G635" s="23" t="s">
        <v>194</v>
      </c>
      <c r="H635" s="24" t="s">
        <v>23</v>
      </c>
      <c r="I635" s="24" t="s">
        <v>9</v>
      </c>
      <c r="J635" s="24" t="s">
        <v>24</v>
      </c>
      <c r="K635" s="24" t="s">
        <v>24</v>
      </c>
      <c r="L635" s="24" t="s">
        <v>98</v>
      </c>
    </row>
    <row r="636">
      <c r="A636" s="24">
        <f t="shared" si="1"/>
        <v>635</v>
      </c>
      <c r="B636" s="24" t="s">
        <v>370</v>
      </c>
      <c r="C636" s="340">
        <v>42718.0</v>
      </c>
      <c r="D636" s="24" t="str">
        <f t="shared" si="3"/>
        <v>Dec-2016</v>
      </c>
      <c r="E636" s="24" t="s">
        <v>25</v>
      </c>
      <c r="F636" s="24" t="s">
        <v>35</v>
      </c>
      <c r="G636" s="23" t="s">
        <v>194</v>
      </c>
      <c r="H636" s="24" t="s">
        <v>23</v>
      </c>
      <c r="I636" s="24" t="s">
        <v>9</v>
      </c>
      <c r="J636" s="24" t="s">
        <v>24</v>
      </c>
      <c r="K636" s="24"/>
      <c r="L636" s="24" t="s">
        <v>69</v>
      </c>
    </row>
    <row r="637">
      <c r="A637" s="24">
        <f t="shared" si="1"/>
        <v>636</v>
      </c>
      <c r="B637" s="24" t="s">
        <v>370</v>
      </c>
      <c r="C637" s="340">
        <v>42718.0</v>
      </c>
      <c r="D637" s="24" t="str">
        <f t="shared" si="3"/>
        <v>Dec-2016</v>
      </c>
      <c r="E637" s="24" t="s">
        <v>20</v>
      </c>
      <c r="F637" s="24" t="s">
        <v>35</v>
      </c>
      <c r="G637" s="23" t="s">
        <v>372</v>
      </c>
      <c r="H637" s="24" t="s">
        <v>64</v>
      </c>
      <c r="I637" s="24" t="s">
        <v>9</v>
      </c>
      <c r="J637" s="24" t="s">
        <v>24</v>
      </c>
      <c r="K637" s="24" t="s">
        <v>30</v>
      </c>
      <c r="L637" s="24" t="s">
        <v>98</v>
      </c>
    </row>
    <row r="638">
      <c r="A638" s="24">
        <f t="shared" si="1"/>
        <v>637</v>
      </c>
      <c r="B638" s="24" t="s">
        <v>370</v>
      </c>
      <c r="C638" s="340">
        <v>42718.0</v>
      </c>
      <c r="D638" s="24" t="str">
        <f t="shared" si="3"/>
        <v>Dec-2016</v>
      </c>
      <c r="E638" s="24" t="s">
        <v>25</v>
      </c>
      <c r="F638" s="24" t="s">
        <v>35</v>
      </c>
      <c r="G638" s="23" t="s">
        <v>372</v>
      </c>
      <c r="H638" s="24" t="s">
        <v>64</v>
      </c>
      <c r="I638" s="24" t="s">
        <v>9</v>
      </c>
      <c r="J638" s="24" t="s">
        <v>30</v>
      </c>
      <c r="K638" s="24"/>
      <c r="L638" s="24" t="s">
        <v>106</v>
      </c>
    </row>
    <row r="639">
      <c r="A639" s="24">
        <f t="shared" si="1"/>
        <v>638</v>
      </c>
      <c r="B639" s="24" t="s">
        <v>370</v>
      </c>
      <c r="C639" s="340">
        <v>42718.0</v>
      </c>
      <c r="D639" s="24" t="str">
        <f t="shared" si="3"/>
        <v>Dec-2016</v>
      </c>
      <c r="E639" s="24" t="s">
        <v>20</v>
      </c>
      <c r="F639" s="24" t="s">
        <v>35</v>
      </c>
      <c r="G639" s="23" t="s">
        <v>372</v>
      </c>
      <c r="H639" s="24" t="s">
        <v>64</v>
      </c>
      <c r="I639" s="24" t="s">
        <v>9</v>
      </c>
      <c r="J639" s="24" t="s">
        <v>30</v>
      </c>
      <c r="K639" s="24"/>
      <c r="L639" s="24" t="s">
        <v>98</v>
      </c>
    </row>
    <row r="640">
      <c r="A640" s="24">
        <f t="shared" si="1"/>
        <v>639</v>
      </c>
      <c r="B640" s="24" t="s">
        <v>370</v>
      </c>
      <c r="C640" s="340">
        <v>42718.0</v>
      </c>
      <c r="D640" s="24" t="str">
        <f t="shared" si="3"/>
        <v>Dec-2016</v>
      </c>
      <c r="E640" s="24" t="s">
        <v>25</v>
      </c>
      <c r="F640" s="24" t="s">
        <v>35</v>
      </c>
      <c r="G640" s="23" t="s">
        <v>165</v>
      </c>
      <c r="H640" s="24" t="s">
        <v>9</v>
      </c>
      <c r="I640" s="24" t="s">
        <v>9</v>
      </c>
      <c r="J640" s="24" t="s">
        <v>30</v>
      </c>
      <c r="K640" s="24" t="s">
        <v>24</v>
      </c>
      <c r="L640" s="24" t="s">
        <v>98</v>
      </c>
    </row>
    <row r="641">
      <c r="A641" s="24">
        <f t="shared" si="1"/>
        <v>640</v>
      </c>
      <c r="B641" s="24" t="s">
        <v>370</v>
      </c>
      <c r="C641" s="340">
        <v>42718.0</v>
      </c>
      <c r="D641" s="24" t="str">
        <f t="shared" si="3"/>
        <v>Dec-2016</v>
      </c>
      <c r="E641" s="24" t="s">
        <v>20</v>
      </c>
      <c r="F641" s="24" t="s">
        <v>35</v>
      </c>
      <c r="G641" s="23" t="s">
        <v>165</v>
      </c>
      <c r="H641" s="24" t="s">
        <v>9</v>
      </c>
      <c r="I641" s="24" t="s">
        <v>9</v>
      </c>
      <c r="J641" s="24" t="s">
        <v>24</v>
      </c>
      <c r="K641" s="24"/>
      <c r="L641" s="24" t="s">
        <v>106</v>
      </c>
    </row>
    <row r="642">
      <c r="A642" s="24">
        <f t="shared" si="1"/>
        <v>641</v>
      </c>
      <c r="B642" s="24" t="s">
        <v>370</v>
      </c>
      <c r="C642" s="340">
        <v>42718.0</v>
      </c>
      <c r="D642" s="24" t="str">
        <f t="shared" si="3"/>
        <v>Dec-2016</v>
      </c>
      <c r="E642" s="24" t="s">
        <v>25</v>
      </c>
      <c r="F642" s="24" t="s">
        <v>35</v>
      </c>
      <c r="G642" s="23" t="s">
        <v>165</v>
      </c>
      <c r="H642" s="24" t="s">
        <v>9</v>
      </c>
      <c r="I642" s="24" t="s">
        <v>9</v>
      </c>
      <c r="J642" s="24" t="s">
        <v>24</v>
      </c>
      <c r="K642" s="24"/>
      <c r="L642" s="24" t="s">
        <v>99</v>
      </c>
    </row>
    <row r="643">
      <c r="A643" s="24">
        <f t="shared" si="1"/>
        <v>642</v>
      </c>
      <c r="B643" s="24" t="s">
        <v>374</v>
      </c>
      <c r="C643" s="340">
        <v>42739.0</v>
      </c>
      <c r="D643" s="24" t="str">
        <f t="shared" si="3"/>
        <v>Jan-2017</v>
      </c>
      <c r="E643" s="24" t="s">
        <v>20</v>
      </c>
      <c r="F643" s="24" t="s">
        <v>35</v>
      </c>
      <c r="G643" s="23" t="s">
        <v>270</v>
      </c>
      <c r="H643" s="24" t="s">
        <v>27</v>
      </c>
      <c r="I643" s="24" t="s">
        <v>9</v>
      </c>
      <c r="J643" s="24" t="s">
        <v>30</v>
      </c>
      <c r="K643" s="24" t="s">
        <v>30</v>
      </c>
      <c r="L643" s="24" t="s">
        <v>37</v>
      </c>
    </row>
    <row r="644">
      <c r="A644" s="24">
        <f t="shared" si="1"/>
        <v>643</v>
      </c>
      <c r="B644" s="24" t="s">
        <v>374</v>
      </c>
      <c r="C644" s="340">
        <v>42739.0</v>
      </c>
      <c r="D644" s="24" t="str">
        <f t="shared" si="3"/>
        <v>Jan-2017</v>
      </c>
      <c r="E644" s="24" t="s">
        <v>25</v>
      </c>
      <c r="F644" s="24" t="s">
        <v>35</v>
      </c>
      <c r="G644" s="23" t="s">
        <v>270</v>
      </c>
      <c r="H644" s="24" t="s">
        <v>27</v>
      </c>
      <c r="I644" s="24" t="s">
        <v>9</v>
      </c>
      <c r="J644" s="24" t="s">
        <v>30</v>
      </c>
      <c r="K644" s="24"/>
      <c r="L644" s="24" t="s">
        <v>98</v>
      </c>
    </row>
    <row r="645">
      <c r="A645" s="24">
        <f t="shared" si="1"/>
        <v>644</v>
      </c>
      <c r="B645" s="24" t="s">
        <v>374</v>
      </c>
      <c r="C645" s="340">
        <v>42739.0</v>
      </c>
      <c r="D645" s="24" t="str">
        <f t="shared" si="3"/>
        <v>Jan-2017</v>
      </c>
      <c r="E645" s="24" t="s">
        <v>20</v>
      </c>
      <c r="F645" s="24" t="s">
        <v>35</v>
      </c>
      <c r="G645" s="23" t="s">
        <v>375</v>
      </c>
      <c r="H645" s="24" t="s">
        <v>48</v>
      </c>
      <c r="I645" s="24" t="s">
        <v>9</v>
      </c>
      <c r="J645" s="24" t="s">
        <v>24</v>
      </c>
      <c r="K645" s="24" t="s">
        <v>24</v>
      </c>
      <c r="L645" s="24" t="s">
        <v>98</v>
      </c>
    </row>
    <row r="646">
      <c r="A646" s="24">
        <f t="shared" si="1"/>
        <v>645</v>
      </c>
      <c r="B646" s="24" t="s">
        <v>374</v>
      </c>
      <c r="C646" s="340">
        <v>42739.0</v>
      </c>
      <c r="D646" s="24" t="str">
        <f t="shared" si="3"/>
        <v>Jan-2017</v>
      </c>
      <c r="E646" s="24" t="s">
        <v>25</v>
      </c>
      <c r="F646" s="24" t="s">
        <v>35</v>
      </c>
      <c r="G646" s="23" t="s">
        <v>375</v>
      </c>
      <c r="H646" s="24" t="s">
        <v>48</v>
      </c>
      <c r="I646" s="24" t="s">
        <v>9</v>
      </c>
      <c r="J646" s="24" t="s">
        <v>24</v>
      </c>
      <c r="K646" s="24"/>
      <c r="L646" s="24" t="s">
        <v>106</v>
      </c>
    </row>
    <row r="647">
      <c r="A647" s="24">
        <f t="shared" si="1"/>
        <v>646</v>
      </c>
      <c r="B647" s="24" t="s">
        <v>374</v>
      </c>
      <c r="C647" s="340">
        <v>42739.0</v>
      </c>
      <c r="D647" s="24" t="str">
        <f t="shared" si="3"/>
        <v>Jan-2017</v>
      </c>
      <c r="E647" s="24" t="s">
        <v>20</v>
      </c>
      <c r="F647" s="24" t="s">
        <v>35</v>
      </c>
      <c r="G647" s="23" t="s">
        <v>376</v>
      </c>
      <c r="H647" s="24" t="s">
        <v>97</v>
      </c>
      <c r="I647" s="24" t="s">
        <v>9</v>
      </c>
      <c r="J647" s="24" t="s">
        <v>24</v>
      </c>
      <c r="K647" s="24" t="s">
        <v>24</v>
      </c>
      <c r="L647" s="24" t="s">
        <v>98</v>
      </c>
    </row>
    <row r="648">
      <c r="A648" s="24">
        <f t="shared" si="1"/>
        <v>647</v>
      </c>
      <c r="B648" s="24" t="s">
        <v>374</v>
      </c>
      <c r="C648" s="340">
        <v>42739.0</v>
      </c>
      <c r="D648" s="24" t="str">
        <f t="shared" si="3"/>
        <v>Jan-2017</v>
      </c>
      <c r="E648" s="24" t="s">
        <v>25</v>
      </c>
      <c r="F648" s="24" t="s">
        <v>35</v>
      </c>
      <c r="G648" s="23" t="s">
        <v>376</v>
      </c>
      <c r="H648" s="24" t="s">
        <v>97</v>
      </c>
      <c r="I648" s="24" t="s">
        <v>9</v>
      </c>
      <c r="J648" s="24" t="s">
        <v>30</v>
      </c>
      <c r="K648" s="24"/>
      <c r="L648" s="24" t="s">
        <v>29</v>
      </c>
    </row>
    <row r="649">
      <c r="A649" s="24">
        <f t="shared" si="1"/>
        <v>648</v>
      </c>
      <c r="B649" s="24" t="s">
        <v>374</v>
      </c>
      <c r="C649" s="340">
        <v>42739.0</v>
      </c>
      <c r="D649" s="24" t="str">
        <f t="shared" si="3"/>
        <v>Jan-2017</v>
      </c>
      <c r="E649" s="24" t="s">
        <v>32</v>
      </c>
      <c r="F649" s="24" t="s">
        <v>35</v>
      </c>
      <c r="G649" s="23" t="s">
        <v>376</v>
      </c>
      <c r="H649" s="24" t="s">
        <v>97</v>
      </c>
      <c r="I649" s="24" t="s">
        <v>9</v>
      </c>
      <c r="J649" s="24" t="s">
        <v>24</v>
      </c>
      <c r="K649" s="24"/>
      <c r="L649" s="24" t="s">
        <v>37</v>
      </c>
    </row>
    <row r="650">
      <c r="A650" s="24">
        <f t="shared" si="1"/>
        <v>649</v>
      </c>
      <c r="B650" s="24" t="s">
        <v>377</v>
      </c>
      <c r="C650" s="339">
        <v>42742.0</v>
      </c>
      <c r="D650" s="24" t="str">
        <f t="shared" si="3"/>
        <v>Jan-2017</v>
      </c>
      <c r="E650" s="24" t="s">
        <v>20</v>
      </c>
      <c r="F650" s="24" t="s">
        <v>287</v>
      </c>
      <c r="G650" s="23" t="s">
        <v>181</v>
      </c>
      <c r="H650" s="24" t="s">
        <v>27</v>
      </c>
      <c r="I650" s="24" t="s">
        <v>9</v>
      </c>
      <c r="J650" s="24" t="s">
        <v>24</v>
      </c>
      <c r="K650" s="24" t="s">
        <v>24</v>
      </c>
      <c r="L650" s="24" t="s">
        <v>37</v>
      </c>
    </row>
    <row r="651">
      <c r="A651" s="24">
        <f t="shared" si="1"/>
        <v>650</v>
      </c>
      <c r="B651" s="24" t="s">
        <v>377</v>
      </c>
      <c r="C651" s="339">
        <v>42742.0</v>
      </c>
      <c r="D651" s="24" t="str">
        <f t="shared" si="3"/>
        <v>Jan-2017</v>
      </c>
      <c r="E651" s="24" t="s">
        <v>25</v>
      </c>
      <c r="F651" s="24" t="s">
        <v>287</v>
      </c>
      <c r="G651" s="23" t="s">
        <v>181</v>
      </c>
      <c r="H651" s="24" t="s">
        <v>27</v>
      </c>
      <c r="I651" s="24" t="s">
        <v>9</v>
      </c>
      <c r="J651" s="24" t="s">
        <v>24</v>
      </c>
      <c r="K651" s="24"/>
      <c r="L651" s="24" t="s">
        <v>98</v>
      </c>
    </row>
    <row r="652">
      <c r="A652" s="24">
        <f t="shared" si="1"/>
        <v>651</v>
      </c>
      <c r="B652" s="24" t="s">
        <v>377</v>
      </c>
      <c r="C652" s="339">
        <v>42742.0</v>
      </c>
      <c r="D652" s="24" t="str">
        <f t="shared" si="3"/>
        <v>Jan-2017</v>
      </c>
      <c r="E652" s="24" t="s">
        <v>20</v>
      </c>
      <c r="F652" s="24" t="s">
        <v>287</v>
      </c>
      <c r="G652" s="23" t="s">
        <v>378</v>
      </c>
      <c r="H652" s="24" t="s">
        <v>64</v>
      </c>
      <c r="I652" s="24" t="s">
        <v>9</v>
      </c>
      <c r="J652" s="24" t="s">
        <v>30</v>
      </c>
      <c r="K652" s="24" t="s">
        <v>30</v>
      </c>
      <c r="L652" s="24" t="s">
        <v>69</v>
      </c>
    </row>
    <row r="653">
      <c r="A653" s="24">
        <f t="shared" si="1"/>
        <v>652</v>
      </c>
      <c r="B653" s="24" t="s">
        <v>377</v>
      </c>
      <c r="C653" s="339">
        <v>42742.0</v>
      </c>
      <c r="D653" s="24" t="str">
        <f t="shared" si="3"/>
        <v>Jan-2017</v>
      </c>
      <c r="E653" s="24" t="s">
        <v>25</v>
      </c>
      <c r="F653" s="24" t="s">
        <v>287</v>
      </c>
      <c r="G653" s="23" t="s">
        <v>378</v>
      </c>
      <c r="H653" s="24" t="s">
        <v>27</v>
      </c>
      <c r="I653" s="24" t="s">
        <v>9</v>
      </c>
      <c r="J653" s="24" t="s">
        <v>30</v>
      </c>
      <c r="K653" s="24"/>
      <c r="L653" s="24" t="s">
        <v>106</v>
      </c>
    </row>
    <row r="654">
      <c r="A654" s="24">
        <f t="shared" si="1"/>
        <v>653</v>
      </c>
      <c r="B654" s="24" t="s">
        <v>377</v>
      </c>
      <c r="C654" s="339">
        <v>42742.0</v>
      </c>
      <c r="D654" s="24" t="str">
        <f t="shared" si="3"/>
        <v>Jan-2017</v>
      </c>
      <c r="E654" s="24" t="s">
        <v>20</v>
      </c>
      <c r="F654" s="24" t="s">
        <v>287</v>
      </c>
      <c r="G654" s="23" t="s">
        <v>379</v>
      </c>
      <c r="H654" s="24" t="s">
        <v>71</v>
      </c>
      <c r="I654" s="24" t="s">
        <v>9</v>
      </c>
      <c r="J654" s="24" t="s">
        <v>30</v>
      </c>
      <c r="K654" s="24" t="s">
        <v>30</v>
      </c>
      <c r="L654" s="24" t="s">
        <v>99</v>
      </c>
    </row>
    <row r="655">
      <c r="A655" s="24">
        <f t="shared" si="1"/>
        <v>654</v>
      </c>
      <c r="B655" s="24" t="s">
        <v>377</v>
      </c>
      <c r="C655" s="339">
        <v>42742.0</v>
      </c>
      <c r="D655" s="24" t="str">
        <f t="shared" si="3"/>
        <v>Jan-2017</v>
      </c>
      <c r="E655" s="24" t="s">
        <v>25</v>
      </c>
      <c r="F655" s="24" t="s">
        <v>287</v>
      </c>
      <c r="G655" s="23" t="s">
        <v>379</v>
      </c>
      <c r="H655" s="24" t="s">
        <v>71</v>
      </c>
      <c r="I655" s="24" t="s">
        <v>9</v>
      </c>
      <c r="J655" s="24" t="s">
        <v>30</v>
      </c>
      <c r="K655" s="24"/>
      <c r="L655" s="24" t="s">
        <v>99</v>
      </c>
    </row>
    <row r="656">
      <c r="A656" s="24">
        <f t="shared" si="1"/>
        <v>655</v>
      </c>
      <c r="B656" s="24" t="s">
        <v>377</v>
      </c>
      <c r="C656" s="339">
        <v>42742.0</v>
      </c>
      <c r="D656" s="24" t="str">
        <f t="shared" si="3"/>
        <v>Jan-2017</v>
      </c>
      <c r="E656" s="24" t="s">
        <v>20</v>
      </c>
      <c r="F656" s="24" t="s">
        <v>287</v>
      </c>
      <c r="G656" s="23" t="s">
        <v>47</v>
      </c>
      <c r="H656" s="24" t="s">
        <v>48</v>
      </c>
      <c r="I656" s="24" t="s">
        <v>9</v>
      </c>
      <c r="J656" s="24" t="s">
        <v>24</v>
      </c>
      <c r="K656" s="24" t="s">
        <v>24</v>
      </c>
      <c r="L656" s="24" t="s">
        <v>98</v>
      </c>
    </row>
    <row r="657">
      <c r="A657" s="24">
        <f t="shared" si="1"/>
        <v>656</v>
      </c>
      <c r="B657" s="24" t="s">
        <v>377</v>
      </c>
      <c r="C657" s="339">
        <v>42742.0</v>
      </c>
      <c r="D657" s="24" t="str">
        <f t="shared" si="3"/>
        <v>Jan-2017</v>
      </c>
      <c r="E657" s="24" t="s">
        <v>25</v>
      </c>
      <c r="F657" s="24" t="s">
        <v>287</v>
      </c>
      <c r="G657" s="23" t="s">
        <v>47</v>
      </c>
      <c r="H657" s="24" t="s">
        <v>48</v>
      </c>
      <c r="I657" s="24" t="s">
        <v>9</v>
      </c>
      <c r="J657" s="24" t="s">
        <v>24</v>
      </c>
      <c r="K657" s="24"/>
      <c r="L657" s="24" t="s">
        <v>106</v>
      </c>
    </row>
    <row r="658">
      <c r="A658" s="24">
        <f t="shared" si="1"/>
        <v>657</v>
      </c>
      <c r="B658" s="24" t="s">
        <v>377</v>
      </c>
      <c r="C658" s="339">
        <v>42742.0</v>
      </c>
      <c r="D658" s="24" t="str">
        <f t="shared" si="3"/>
        <v>Jan-2017</v>
      </c>
      <c r="E658" s="24" t="s">
        <v>20</v>
      </c>
      <c r="F658" s="24" t="s">
        <v>35</v>
      </c>
      <c r="G658" s="23" t="s">
        <v>380</v>
      </c>
      <c r="H658" s="24" t="s">
        <v>44</v>
      </c>
      <c r="I658" s="24" t="s">
        <v>9</v>
      </c>
      <c r="J658" s="24" t="s">
        <v>24</v>
      </c>
      <c r="K658" s="24" t="s">
        <v>24</v>
      </c>
      <c r="L658" s="24" t="s">
        <v>98</v>
      </c>
    </row>
    <row r="659">
      <c r="A659" s="24">
        <f t="shared" si="1"/>
        <v>658</v>
      </c>
      <c r="B659" s="24" t="s">
        <v>377</v>
      </c>
      <c r="C659" s="339">
        <v>42742.0</v>
      </c>
      <c r="D659" s="24" t="str">
        <f t="shared" si="3"/>
        <v>Jan-2017</v>
      </c>
      <c r="E659" s="24" t="s">
        <v>25</v>
      </c>
      <c r="F659" s="24" t="s">
        <v>35</v>
      </c>
      <c r="G659" s="23" t="s">
        <v>380</v>
      </c>
      <c r="H659" s="24" t="s">
        <v>44</v>
      </c>
      <c r="I659" s="24" t="s">
        <v>9</v>
      </c>
      <c r="J659" s="24" t="s">
        <v>24</v>
      </c>
      <c r="K659" s="24"/>
      <c r="L659" s="24" t="s">
        <v>69</v>
      </c>
    </row>
    <row r="660">
      <c r="A660" s="24">
        <f t="shared" si="1"/>
        <v>659</v>
      </c>
      <c r="B660" s="24" t="s">
        <v>377</v>
      </c>
      <c r="C660" s="339">
        <v>42742.0</v>
      </c>
      <c r="D660" s="24" t="str">
        <f t="shared" si="3"/>
        <v>Jan-2017</v>
      </c>
      <c r="E660" s="24" t="s">
        <v>20</v>
      </c>
      <c r="F660" s="24" t="s">
        <v>35</v>
      </c>
      <c r="G660" s="23" t="s">
        <v>101</v>
      </c>
      <c r="H660" s="24" t="s">
        <v>102</v>
      </c>
      <c r="I660" s="24" t="s">
        <v>9</v>
      </c>
      <c r="J660" s="24" t="s">
        <v>24</v>
      </c>
      <c r="K660" s="24" t="s">
        <v>24</v>
      </c>
      <c r="L660" s="24" t="s">
        <v>98</v>
      </c>
    </row>
    <row r="661">
      <c r="A661" s="24">
        <f t="shared" si="1"/>
        <v>660</v>
      </c>
      <c r="B661" s="24" t="s">
        <v>377</v>
      </c>
      <c r="C661" s="339">
        <v>42742.0</v>
      </c>
      <c r="D661" s="24" t="str">
        <f t="shared" si="3"/>
        <v>Jan-2017</v>
      </c>
      <c r="E661" s="24" t="s">
        <v>25</v>
      </c>
      <c r="F661" s="24" t="s">
        <v>35</v>
      </c>
      <c r="G661" s="23" t="s">
        <v>101</v>
      </c>
      <c r="H661" s="24" t="s">
        <v>102</v>
      </c>
      <c r="I661" s="24" t="s">
        <v>9</v>
      </c>
      <c r="J661" s="24" t="s">
        <v>24</v>
      </c>
      <c r="K661" s="24"/>
      <c r="L661" s="24" t="s">
        <v>98</v>
      </c>
    </row>
    <row r="662">
      <c r="A662" s="24">
        <f t="shared" si="1"/>
        <v>661</v>
      </c>
      <c r="B662" s="24" t="s">
        <v>374</v>
      </c>
      <c r="C662" s="340">
        <v>42739.0</v>
      </c>
      <c r="D662" s="24" t="str">
        <f t="shared" si="3"/>
        <v>Jan-2017</v>
      </c>
      <c r="E662" s="24" t="s">
        <v>20</v>
      </c>
      <c r="F662" s="24" t="s">
        <v>35</v>
      </c>
      <c r="G662" s="23" t="s">
        <v>381</v>
      </c>
      <c r="H662" s="24" t="s">
        <v>44</v>
      </c>
      <c r="I662" s="24" t="s">
        <v>9</v>
      </c>
      <c r="J662" s="24" t="s">
        <v>30</v>
      </c>
      <c r="K662" s="24" t="s">
        <v>24</v>
      </c>
      <c r="L662" s="24" t="s">
        <v>98</v>
      </c>
    </row>
    <row r="663">
      <c r="A663" s="24">
        <f t="shared" si="1"/>
        <v>662</v>
      </c>
      <c r="B663" s="24" t="s">
        <v>374</v>
      </c>
      <c r="C663" s="340">
        <v>42739.0</v>
      </c>
      <c r="D663" s="24" t="str">
        <f t="shared" si="3"/>
        <v>Jan-2017</v>
      </c>
      <c r="E663" s="24" t="s">
        <v>25</v>
      </c>
      <c r="F663" s="24" t="s">
        <v>35</v>
      </c>
      <c r="G663" s="23" t="s">
        <v>381</v>
      </c>
      <c r="H663" s="24" t="s">
        <v>44</v>
      </c>
      <c r="I663" s="24" t="s">
        <v>9</v>
      </c>
      <c r="J663" s="24" t="s">
        <v>24</v>
      </c>
      <c r="K663" s="24"/>
      <c r="L663" s="24" t="s">
        <v>106</v>
      </c>
    </row>
    <row r="664">
      <c r="A664" s="24">
        <f t="shared" si="1"/>
        <v>663</v>
      </c>
      <c r="B664" s="24" t="s">
        <v>374</v>
      </c>
      <c r="C664" s="340">
        <v>42739.0</v>
      </c>
      <c r="D664" s="24" t="str">
        <f t="shared" si="3"/>
        <v>Jan-2017</v>
      </c>
      <c r="E664" s="24" t="s">
        <v>32</v>
      </c>
      <c r="F664" s="24" t="s">
        <v>35</v>
      </c>
      <c r="G664" s="23" t="s">
        <v>381</v>
      </c>
      <c r="H664" s="24" t="s">
        <v>44</v>
      </c>
      <c r="I664" s="24" t="s">
        <v>9</v>
      </c>
      <c r="J664" s="24" t="s">
        <v>24</v>
      </c>
      <c r="K664" s="24"/>
      <c r="L664" s="24" t="s">
        <v>69</v>
      </c>
    </row>
    <row r="665">
      <c r="A665" s="24">
        <f t="shared" si="1"/>
        <v>664</v>
      </c>
      <c r="B665" s="24" t="s">
        <v>374</v>
      </c>
      <c r="C665" s="340">
        <v>42739.0</v>
      </c>
      <c r="D665" s="24" t="str">
        <f t="shared" si="3"/>
        <v>Jan-2017</v>
      </c>
      <c r="E665" s="24" t="s">
        <v>20</v>
      </c>
      <c r="F665" s="24" t="s">
        <v>35</v>
      </c>
      <c r="G665" s="23" t="s">
        <v>52</v>
      </c>
      <c r="H665" s="24" t="s">
        <v>23</v>
      </c>
      <c r="I665" s="24" t="s">
        <v>9</v>
      </c>
      <c r="J665" s="24" t="s">
        <v>30</v>
      </c>
      <c r="K665" s="24" t="s">
        <v>30</v>
      </c>
      <c r="L665" s="24" t="s">
        <v>98</v>
      </c>
    </row>
    <row r="666">
      <c r="A666" s="24">
        <f t="shared" si="1"/>
        <v>665</v>
      </c>
      <c r="B666" s="24" t="s">
        <v>374</v>
      </c>
      <c r="C666" s="340">
        <v>42739.0</v>
      </c>
      <c r="D666" s="24" t="str">
        <f t="shared" si="3"/>
        <v>Jan-2017</v>
      </c>
      <c r="E666" s="24" t="s">
        <v>25</v>
      </c>
      <c r="F666" s="24" t="s">
        <v>35</v>
      </c>
      <c r="G666" s="23" t="s">
        <v>52</v>
      </c>
      <c r="H666" s="24" t="s">
        <v>23</v>
      </c>
      <c r="I666" s="24" t="s">
        <v>9</v>
      </c>
      <c r="J666" s="24" t="s">
        <v>30</v>
      </c>
      <c r="K666" s="24"/>
      <c r="L666" s="24" t="s">
        <v>69</v>
      </c>
    </row>
    <row r="667">
      <c r="A667" s="24">
        <f t="shared" si="1"/>
        <v>666</v>
      </c>
      <c r="B667" s="24" t="s">
        <v>374</v>
      </c>
      <c r="C667" s="340">
        <v>42739.0</v>
      </c>
      <c r="D667" s="24" t="str">
        <f t="shared" si="3"/>
        <v>Jan-2017</v>
      </c>
      <c r="E667" s="24" t="s">
        <v>20</v>
      </c>
      <c r="F667" s="24" t="s">
        <v>35</v>
      </c>
      <c r="G667" s="23" t="s">
        <v>382</v>
      </c>
      <c r="H667" s="24" t="s">
        <v>27</v>
      </c>
      <c r="I667" s="24" t="s">
        <v>9</v>
      </c>
      <c r="J667" s="24" t="s">
        <v>30</v>
      </c>
      <c r="K667" s="24" t="s">
        <v>24</v>
      </c>
      <c r="L667" s="24" t="s">
        <v>37</v>
      </c>
    </row>
    <row r="668">
      <c r="A668" s="24">
        <f t="shared" si="1"/>
        <v>667</v>
      </c>
      <c r="B668" s="24" t="s">
        <v>374</v>
      </c>
      <c r="C668" s="340">
        <v>42739.0</v>
      </c>
      <c r="D668" s="24" t="str">
        <f t="shared" si="3"/>
        <v>Jan-2017</v>
      </c>
      <c r="E668" s="24" t="s">
        <v>25</v>
      </c>
      <c r="F668" s="24" t="s">
        <v>35</v>
      </c>
      <c r="G668" s="23" t="s">
        <v>382</v>
      </c>
      <c r="H668" s="24" t="s">
        <v>27</v>
      </c>
      <c r="I668" s="24" t="s">
        <v>9</v>
      </c>
      <c r="J668" s="24" t="s">
        <v>24</v>
      </c>
      <c r="K668" s="24"/>
      <c r="L668" s="24" t="s">
        <v>29</v>
      </c>
    </row>
    <row r="669">
      <c r="A669" s="24">
        <f t="shared" si="1"/>
        <v>668</v>
      </c>
      <c r="B669" s="24" t="s">
        <v>374</v>
      </c>
      <c r="C669" s="340">
        <v>42739.0</v>
      </c>
      <c r="D669" s="24" t="str">
        <f t="shared" si="3"/>
        <v>Jan-2017</v>
      </c>
      <c r="E669" s="24" t="s">
        <v>32</v>
      </c>
      <c r="F669" s="24" t="s">
        <v>35</v>
      </c>
      <c r="G669" s="23" t="s">
        <v>382</v>
      </c>
      <c r="H669" s="24" t="s">
        <v>27</v>
      </c>
      <c r="I669" s="24" t="s">
        <v>9</v>
      </c>
      <c r="J669" s="24" t="s">
        <v>24</v>
      </c>
      <c r="K669" s="24"/>
      <c r="L669" s="24" t="s">
        <v>99</v>
      </c>
    </row>
    <row r="670">
      <c r="A670" s="24">
        <f t="shared" si="1"/>
        <v>669</v>
      </c>
      <c r="B670" s="24" t="s">
        <v>383</v>
      </c>
      <c r="C670" s="339">
        <v>42742.0</v>
      </c>
      <c r="D670" s="24" t="str">
        <f t="shared" si="3"/>
        <v>Jan-2017</v>
      </c>
      <c r="E670" s="24" t="s">
        <v>20</v>
      </c>
      <c r="F670" s="24" t="s">
        <v>35</v>
      </c>
      <c r="G670" s="23" t="s">
        <v>384</v>
      </c>
      <c r="H670" s="24" t="s">
        <v>44</v>
      </c>
      <c r="I670" s="24" t="s">
        <v>9</v>
      </c>
      <c r="J670" s="24" t="s">
        <v>30</v>
      </c>
      <c r="K670" s="24" t="s">
        <v>30</v>
      </c>
      <c r="L670" s="24" t="s">
        <v>98</v>
      </c>
    </row>
    <row r="671">
      <c r="A671" s="24">
        <f t="shared" si="1"/>
        <v>670</v>
      </c>
      <c r="B671" s="24" t="s">
        <v>383</v>
      </c>
      <c r="C671" s="339">
        <v>42742.0</v>
      </c>
      <c r="D671" s="24" t="str">
        <f t="shared" si="3"/>
        <v>Jan-2017</v>
      </c>
      <c r="E671" s="24" t="s">
        <v>25</v>
      </c>
      <c r="F671" s="24" t="s">
        <v>35</v>
      </c>
      <c r="G671" s="23" t="s">
        <v>384</v>
      </c>
      <c r="H671" s="24" t="s">
        <v>44</v>
      </c>
      <c r="I671" s="24" t="s">
        <v>9</v>
      </c>
      <c r="J671" s="24" t="s">
        <v>30</v>
      </c>
      <c r="K671" s="24"/>
      <c r="L671" s="24" t="s">
        <v>98</v>
      </c>
    </row>
    <row r="672">
      <c r="A672" s="24">
        <f t="shared" si="1"/>
        <v>671</v>
      </c>
      <c r="B672" s="24" t="s">
        <v>383</v>
      </c>
      <c r="C672" s="339">
        <v>42742.0</v>
      </c>
      <c r="D672" s="24" t="str">
        <f t="shared" si="3"/>
        <v>Jan-2017</v>
      </c>
      <c r="E672" s="24" t="s">
        <v>20</v>
      </c>
      <c r="F672" s="24" t="s">
        <v>35</v>
      </c>
      <c r="G672" s="23" t="s">
        <v>199</v>
      </c>
      <c r="H672" s="24" t="s">
        <v>27</v>
      </c>
      <c r="I672" s="24" t="s">
        <v>9</v>
      </c>
      <c r="J672" s="24" t="s">
        <v>30</v>
      </c>
      <c r="K672" s="24" t="s">
        <v>24</v>
      </c>
      <c r="L672" s="24" t="s">
        <v>69</v>
      </c>
    </row>
    <row r="673">
      <c r="A673" s="24">
        <f t="shared" si="1"/>
        <v>672</v>
      </c>
      <c r="B673" s="24" t="s">
        <v>383</v>
      </c>
      <c r="C673" s="339">
        <v>42742.0</v>
      </c>
      <c r="D673" s="24" t="str">
        <f t="shared" si="3"/>
        <v>Jan-2017</v>
      </c>
      <c r="E673" s="24" t="s">
        <v>25</v>
      </c>
      <c r="F673" s="24" t="s">
        <v>35</v>
      </c>
      <c r="G673" s="23" t="s">
        <v>199</v>
      </c>
      <c r="H673" s="24" t="s">
        <v>27</v>
      </c>
      <c r="I673" s="24" t="s">
        <v>9</v>
      </c>
      <c r="J673" s="24" t="s">
        <v>24</v>
      </c>
      <c r="K673" s="24"/>
      <c r="L673" s="24" t="s">
        <v>29</v>
      </c>
    </row>
    <row r="674">
      <c r="A674" s="24">
        <f t="shared" si="1"/>
        <v>673</v>
      </c>
      <c r="B674" s="24" t="s">
        <v>383</v>
      </c>
      <c r="C674" s="339">
        <v>42742.0</v>
      </c>
      <c r="D674" s="24" t="str">
        <f t="shared" si="3"/>
        <v>Jan-2017</v>
      </c>
      <c r="E674" s="24" t="s">
        <v>32</v>
      </c>
      <c r="F674" s="24" t="s">
        <v>35</v>
      </c>
      <c r="G674" s="23" t="s">
        <v>199</v>
      </c>
      <c r="H674" s="24" t="s">
        <v>27</v>
      </c>
      <c r="I674" s="24" t="s">
        <v>9</v>
      </c>
      <c r="J674" s="24" t="s">
        <v>24</v>
      </c>
      <c r="K674" s="24"/>
      <c r="L674" s="24" t="s">
        <v>37</v>
      </c>
    </row>
    <row r="675">
      <c r="A675" s="24">
        <f t="shared" si="1"/>
        <v>674</v>
      </c>
      <c r="B675" s="24" t="s">
        <v>383</v>
      </c>
      <c r="C675" s="339">
        <v>42742.0</v>
      </c>
      <c r="D675" s="24" t="str">
        <f t="shared" si="3"/>
        <v>Jan-2017</v>
      </c>
      <c r="E675" s="24" t="s">
        <v>20</v>
      </c>
      <c r="F675" s="24" t="s">
        <v>35</v>
      </c>
      <c r="G675" s="23" t="s">
        <v>386</v>
      </c>
      <c r="H675" s="24" t="s">
        <v>27</v>
      </c>
      <c r="I675" s="24" t="s">
        <v>9</v>
      </c>
      <c r="J675" s="24" t="s">
        <v>30</v>
      </c>
      <c r="K675" s="24" t="s">
        <v>30</v>
      </c>
      <c r="L675" s="24" t="s">
        <v>69</v>
      </c>
    </row>
    <row r="676">
      <c r="A676" s="24">
        <f t="shared" si="1"/>
        <v>675</v>
      </c>
      <c r="B676" s="24" t="s">
        <v>383</v>
      </c>
      <c r="C676" s="339">
        <v>42742.0</v>
      </c>
      <c r="D676" s="24" t="str">
        <f t="shared" si="3"/>
        <v>Jan-2017</v>
      </c>
      <c r="E676" s="24" t="s">
        <v>25</v>
      </c>
      <c r="F676" s="24" t="s">
        <v>35</v>
      </c>
      <c r="G676" s="23" t="s">
        <v>386</v>
      </c>
      <c r="H676" s="24" t="s">
        <v>27</v>
      </c>
      <c r="I676" s="24" t="s">
        <v>9</v>
      </c>
      <c r="J676" s="24" t="s">
        <v>30</v>
      </c>
      <c r="K676" s="24"/>
      <c r="L676" s="24" t="s">
        <v>37</v>
      </c>
    </row>
    <row r="677">
      <c r="A677" s="24">
        <f t="shared" si="1"/>
        <v>676</v>
      </c>
      <c r="B677" s="24" t="s">
        <v>383</v>
      </c>
      <c r="C677" s="339">
        <v>42742.0</v>
      </c>
      <c r="D677" s="24" t="str">
        <f t="shared" si="3"/>
        <v>Jan-2017</v>
      </c>
      <c r="E677" s="24" t="s">
        <v>20</v>
      </c>
      <c r="F677" s="24" t="s">
        <v>35</v>
      </c>
      <c r="G677" s="23" t="s">
        <v>387</v>
      </c>
      <c r="H677" s="24" t="s">
        <v>23</v>
      </c>
      <c r="I677" s="24" t="s">
        <v>9</v>
      </c>
      <c r="J677" s="24" t="s">
        <v>30</v>
      </c>
      <c r="K677" s="24" t="s">
        <v>30</v>
      </c>
      <c r="L677" s="24" t="s">
        <v>98</v>
      </c>
    </row>
    <row r="678">
      <c r="A678" s="24">
        <f t="shared" si="1"/>
        <v>677</v>
      </c>
      <c r="B678" s="24" t="s">
        <v>383</v>
      </c>
      <c r="C678" s="339">
        <v>42742.0</v>
      </c>
      <c r="D678" s="24" t="str">
        <f t="shared" si="3"/>
        <v>Jan-2017</v>
      </c>
      <c r="E678" s="24" t="s">
        <v>25</v>
      </c>
      <c r="F678" s="24" t="s">
        <v>35</v>
      </c>
      <c r="G678" s="23" t="s">
        <v>387</v>
      </c>
      <c r="H678" s="24" t="s">
        <v>23</v>
      </c>
      <c r="I678" s="24" t="s">
        <v>9</v>
      </c>
      <c r="J678" s="24" t="s">
        <v>30</v>
      </c>
      <c r="K678" s="24"/>
      <c r="L678" s="24" t="s">
        <v>69</v>
      </c>
    </row>
    <row r="679">
      <c r="A679" s="24">
        <f t="shared" si="1"/>
        <v>678</v>
      </c>
      <c r="B679" s="24" t="s">
        <v>383</v>
      </c>
      <c r="C679" s="339">
        <v>42742.0</v>
      </c>
      <c r="D679" s="24" t="str">
        <f t="shared" si="3"/>
        <v>Jan-2017</v>
      </c>
      <c r="E679" s="24" t="s">
        <v>20</v>
      </c>
      <c r="F679" s="24" t="s">
        <v>35</v>
      </c>
      <c r="G679" s="23" t="s">
        <v>388</v>
      </c>
      <c r="H679" s="24" t="s">
        <v>216</v>
      </c>
      <c r="I679" s="24" t="s">
        <v>9</v>
      </c>
      <c r="J679" s="24" t="s">
        <v>24</v>
      </c>
      <c r="K679" s="24" t="s">
        <v>24</v>
      </c>
      <c r="L679" s="24" t="s">
        <v>98</v>
      </c>
    </row>
    <row r="680">
      <c r="A680" s="24">
        <f t="shared" si="1"/>
        <v>679</v>
      </c>
      <c r="B680" s="24" t="s">
        <v>383</v>
      </c>
      <c r="C680" s="339">
        <v>42742.0</v>
      </c>
      <c r="D680" s="24" t="str">
        <f t="shared" si="3"/>
        <v>Jan-2017</v>
      </c>
      <c r="E680" s="24" t="s">
        <v>25</v>
      </c>
      <c r="F680" s="24" t="s">
        <v>35</v>
      </c>
      <c r="G680" s="23" t="s">
        <v>388</v>
      </c>
      <c r="H680" s="24" t="s">
        <v>216</v>
      </c>
      <c r="I680" s="24" t="s">
        <v>9</v>
      </c>
      <c r="J680" s="24" t="s">
        <v>24</v>
      </c>
      <c r="K680" s="24"/>
      <c r="L680" s="24" t="s">
        <v>98</v>
      </c>
    </row>
    <row r="681">
      <c r="A681" s="24">
        <f t="shared" si="1"/>
        <v>680</v>
      </c>
      <c r="B681" s="24" t="s">
        <v>389</v>
      </c>
      <c r="C681" s="340">
        <v>42751.0</v>
      </c>
      <c r="D681" s="24" t="str">
        <f t="shared" si="3"/>
        <v>Jan-2017</v>
      </c>
      <c r="E681" s="24" t="s">
        <v>20</v>
      </c>
      <c r="F681" s="24" t="s">
        <v>35</v>
      </c>
      <c r="G681" s="23" t="s">
        <v>333</v>
      </c>
      <c r="H681" s="24" t="s">
        <v>86</v>
      </c>
      <c r="I681" s="24" t="s">
        <v>9</v>
      </c>
      <c r="J681" s="24" t="s">
        <v>30</v>
      </c>
      <c r="K681" s="24" t="s">
        <v>24</v>
      </c>
      <c r="L681" s="24" t="s">
        <v>69</v>
      </c>
    </row>
    <row r="682">
      <c r="A682" s="24">
        <f t="shared" si="1"/>
        <v>681</v>
      </c>
      <c r="B682" s="24" t="s">
        <v>389</v>
      </c>
      <c r="C682" s="340">
        <v>42751.0</v>
      </c>
      <c r="D682" s="24" t="str">
        <f t="shared" si="3"/>
        <v>Jan-2017</v>
      </c>
      <c r="E682" s="24" t="s">
        <v>25</v>
      </c>
      <c r="F682" s="24" t="s">
        <v>35</v>
      </c>
      <c r="G682" s="23" t="s">
        <v>333</v>
      </c>
      <c r="H682" s="24" t="s">
        <v>86</v>
      </c>
      <c r="I682" s="24" t="s">
        <v>9</v>
      </c>
      <c r="J682" s="24" t="s">
        <v>24</v>
      </c>
      <c r="K682" s="24"/>
      <c r="L682" s="24" t="s">
        <v>106</v>
      </c>
    </row>
    <row r="683">
      <c r="A683" s="24">
        <f t="shared" si="1"/>
        <v>682</v>
      </c>
      <c r="B683" s="24" t="s">
        <v>389</v>
      </c>
      <c r="C683" s="340">
        <v>42751.0</v>
      </c>
      <c r="D683" s="24" t="str">
        <f t="shared" si="3"/>
        <v>Jan-2017</v>
      </c>
      <c r="E683" s="24" t="s">
        <v>32</v>
      </c>
      <c r="F683" s="24" t="s">
        <v>35</v>
      </c>
      <c r="G683" s="23" t="s">
        <v>333</v>
      </c>
      <c r="H683" s="24" t="s">
        <v>86</v>
      </c>
      <c r="I683" s="24" t="s">
        <v>9</v>
      </c>
      <c r="J683" s="24" t="s">
        <v>24</v>
      </c>
      <c r="K683" s="24"/>
      <c r="L683" s="24" t="s">
        <v>99</v>
      </c>
    </row>
    <row r="684">
      <c r="A684" s="24">
        <f t="shared" si="1"/>
        <v>683</v>
      </c>
      <c r="B684" s="24" t="s">
        <v>389</v>
      </c>
      <c r="C684" s="340">
        <v>42751.0</v>
      </c>
      <c r="D684" s="24" t="str">
        <f t="shared" si="3"/>
        <v>Jan-2017</v>
      </c>
      <c r="E684" s="24" t="s">
        <v>20</v>
      </c>
      <c r="F684" s="24" t="s">
        <v>35</v>
      </c>
      <c r="G684" s="23" t="s">
        <v>93</v>
      </c>
      <c r="H684" s="24" t="s">
        <v>23</v>
      </c>
      <c r="I684" s="24" t="s">
        <v>9</v>
      </c>
      <c r="J684" s="24" t="s">
        <v>24</v>
      </c>
      <c r="K684" s="24" t="s">
        <v>24</v>
      </c>
      <c r="L684" s="24" t="s">
        <v>98</v>
      </c>
    </row>
    <row r="685">
      <c r="A685" s="24">
        <f t="shared" si="1"/>
        <v>684</v>
      </c>
      <c r="B685" s="24" t="s">
        <v>389</v>
      </c>
      <c r="C685" s="340">
        <v>42751.0</v>
      </c>
      <c r="D685" s="24" t="str">
        <f t="shared" si="3"/>
        <v>Jan-2017</v>
      </c>
      <c r="E685" s="24" t="s">
        <v>25</v>
      </c>
      <c r="F685" s="24" t="s">
        <v>35</v>
      </c>
      <c r="G685" s="23" t="s">
        <v>93</v>
      </c>
      <c r="H685" s="24" t="s">
        <v>23</v>
      </c>
      <c r="I685" s="24" t="s">
        <v>9</v>
      </c>
      <c r="J685" s="24" t="s">
        <v>24</v>
      </c>
      <c r="K685" s="24"/>
      <c r="L685" s="24" t="s">
        <v>69</v>
      </c>
    </row>
    <row r="686">
      <c r="A686" s="24">
        <f t="shared" si="1"/>
        <v>685</v>
      </c>
      <c r="B686" s="24" t="s">
        <v>390</v>
      </c>
      <c r="C686" s="340">
        <v>42760.0</v>
      </c>
      <c r="D686" s="24" t="str">
        <f t="shared" si="3"/>
        <v>Jan-2017</v>
      </c>
      <c r="E686" s="24" t="s">
        <v>20</v>
      </c>
      <c r="F686" s="24" t="s">
        <v>35</v>
      </c>
      <c r="G686" s="23" t="s">
        <v>391</v>
      </c>
      <c r="H686" s="24" t="s">
        <v>27</v>
      </c>
      <c r="I686" s="24" t="s">
        <v>9</v>
      </c>
      <c r="J686" s="24" t="s">
        <v>30</v>
      </c>
      <c r="K686" s="24" t="s">
        <v>30</v>
      </c>
      <c r="L686" s="24" t="s">
        <v>98</v>
      </c>
    </row>
    <row r="687">
      <c r="A687" s="24">
        <f t="shared" si="1"/>
        <v>686</v>
      </c>
      <c r="B687" s="24" t="s">
        <v>390</v>
      </c>
      <c r="C687" s="340">
        <v>42760.0</v>
      </c>
      <c r="D687" s="24" t="str">
        <f t="shared" si="3"/>
        <v>Jan-2017</v>
      </c>
      <c r="E687" s="24" t="s">
        <v>25</v>
      </c>
      <c r="F687" s="24" t="s">
        <v>35</v>
      </c>
      <c r="G687" s="23" t="s">
        <v>391</v>
      </c>
      <c r="H687" s="24" t="s">
        <v>27</v>
      </c>
      <c r="I687" s="24" t="s">
        <v>9</v>
      </c>
      <c r="J687" s="24" t="s">
        <v>30</v>
      </c>
      <c r="K687" s="24"/>
      <c r="L687" s="24" t="s">
        <v>29</v>
      </c>
    </row>
    <row r="688">
      <c r="A688" s="24">
        <f t="shared" si="1"/>
        <v>687</v>
      </c>
      <c r="B688" s="24" t="s">
        <v>390</v>
      </c>
      <c r="C688" s="340">
        <v>42760.0</v>
      </c>
      <c r="D688" s="24" t="str">
        <f t="shared" si="3"/>
        <v>Jan-2017</v>
      </c>
      <c r="E688" s="24" t="s">
        <v>20</v>
      </c>
      <c r="F688" s="24" t="s">
        <v>35</v>
      </c>
      <c r="G688" s="23" t="s">
        <v>142</v>
      </c>
      <c r="H688" s="24" t="s">
        <v>44</v>
      </c>
      <c r="I688" s="24" t="s">
        <v>9</v>
      </c>
      <c r="J688" s="24" t="s">
        <v>24</v>
      </c>
      <c r="K688" s="24" t="s">
        <v>24</v>
      </c>
      <c r="L688" s="24" t="s">
        <v>98</v>
      </c>
    </row>
    <row r="689">
      <c r="A689" s="24">
        <f t="shared" si="1"/>
        <v>688</v>
      </c>
      <c r="B689" s="24" t="s">
        <v>390</v>
      </c>
      <c r="C689" s="340">
        <v>42760.0</v>
      </c>
      <c r="D689" s="24" t="str">
        <f t="shared" si="3"/>
        <v>Jan-2017</v>
      </c>
      <c r="E689" s="24" t="s">
        <v>25</v>
      </c>
      <c r="F689" s="24" t="s">
        <v>35</v>
      </c>
      <c r="G689" s="23" t="s">
        <v>142</v>
      </c>
      <c r="H689" s="24" t="s">
        <v>44</v>
      </c>
      <c r="I689" s="24" t="s">
        <v>9</v>
      </c>
      <c r="J689" s="24" t="s">
        <v>24</v>
      </c>
      <c r="K689" s="24"/>
      <c r="L689" s="24" t="s">
        <v>69</v>
      </c>
    </row>
    <row r="690">
      <c r="A690" s="24">
        <f t="shared" si="1"/>
        <v>689</v>
      </c>
      <c r="B690" s="24" t="s">
        <v>390</v>
      </c>
      <c r="C690" s="340">
        <v>42760.0</v>
      </c>
      <c r="D690" s="24" t="str">
        <f t="shared" si="3"/>
        <v>Jan-2017</v>
      </c>
      <c r="E690" s="24" t="s">
        <v>20</v>
      </c>
      <c r="F690" s="24" t="s">
        <v>35</v>
      </c>
      <c r="G690" s="23" t="s">
        <v>392</v>
      </c>
      <c r="H690" s="24" t="s">
        <v>97</v>
      </c>
      <c r="I690" s="24" t="s">
        <v>9</v>
      </c>
      <c r="J690" s="24" t="s">
        <v>30</v>
      </c>
      <c r="K690" s="24" t="s">
        <v>30</v>
      </c>
      <c r="L690" s="24" t="s">
        <v>98</v>
      </c>
    </row>
    <row r="691">
      <c r="A691" s="24">
        <f t="shared" si="1"/>
        <v>690</v>
      </c>
      <c r="B691" s="24" t="s">
        <v>390</v>
      </c>
      <c r="C691" s="340">
        <v>42760.0</v>
      </c>
      <c r="D691" s="24" t="str">
        <f t="shared" si="3"/>
        <v>Jan-2017</v>
      </c>
      <c r="E691" s="24" t="s">
        <v>25</v>
      </c>
      <c r="F691" s="24" t="s">
        <v>35</v>
      </c>
      <c r="G691" s="23" t="s">
        <v>392</v>
      </c>
      <c r="H691" s="24" t="s">
        <v>97</v>
      </c>
      <c r="I691" s="24" t="s">
        <v>9</v>
      </c>
      <c r="J691" s="24" t="s">
        <v>30</v>
      </c>
      <c r="K691" s="24"/>
      <c r="L691" s="24" t="s">
        <v>99</v>
      </c>
    </row>
    <row r="692">
      <c r="A692" s="24">
        <f t="shared" si="1"/>
        <v>691</v>
      </c>
      <c r="B692" s="24" t="s">
        <v>390</v>
      </c>
      <c r="C692" s="340">
        <v>42760.0</v>
      </c>
      <c r="D692" s="24" t="str">
        <f t="shared" si="3"/>
        <v>Jan-2017</v>
      </c>
      <c r="E692" s="24" t="s">
        <v>20</v>
      </c>
      <c r="F692" s="24" t="s">
        <v>35</v>
      </c>
      <c r="G692" s="23" t="s">
        <v>393</v>
      </c>
      <c r="H692" s="24" t="s">
        <v>102</v>
      </c>
      <c r="I692" s="24" t="s">
        <v>9</v>
      </c>
      <c r="J692" s="24" t="s">
        <v>24</v>
      </c>
      <c r="K692" s="24" t="s">
        <v>30</v>
      </c>
      <c r="L692" s="24" t="s">
        <v>99</v>
      </c>
    </row>
    <row r="693">
      <c r="A693" s="24">
        <f t="shared" si="1"/>
        <v>692</v>
      </c>
      <c r="B693" s="24" t="s">
        <v>390</v>
      </c>
      <c r="C693" s="340">
        <v>42760.0</v>
      </c>
      <c r="D693" s="24" t="str">
        <f t="shared" si="3"/>
        <v>Jan-2017</v>
      </c>
      <c r="E693" s="24" t="s">
        <v>25</v>
      </c>
      <c r="F693" s="24" t="s">
        <v>35</v>
      </c>
      <c r="G693" s="23" t="s">
        <v>393</v>
      </c>
      <c r="H693" s="24" t="s">
        <v>102</v>
      </c>
      <c r="I693" s="24" t="s">
        <v>9</v>
      </c>
      <c r="J693" s="24" t="s">
        <v>30</v>
      </c>
      <c r="K693" s="24"/>
      <c r="L693" s="24" t="s">
        <v>106</v>
      </c>
    </row>
    <row r="694">
      <c r="A694" s="24">
        <f t="shared" si="1"/>
        <v>693</v>
      </c>
      <c r="B694" s="24" t="s">
        <v>390</v>
      </c>
      <c r="C694" s="340">
        <v>42760.0</v>
      </c>
      <c r="D694" s="24" t="str">
        <f t="shared" si="3"/>
        <v>Jan-2017</v>
      </c>
      <c r="E694" s="24" t="s">
        <v>32</v>
      </c>
      <c r="F694" s="24" t="s">
        <v>35</v>
      </c>
      <c r="G694" s="23" t="s">
        <v>393</v>
      </c>
      <c r="H694" s="24" t="s">
        <v>102</v>
      </c>
      <c r="I694" s="24" t="s">
        <v>9</v>
      </c>
      <c r="J694" s="24" t="s">
        <v>30</v>
      </c>
      <c r="K694" s="24"/>
      <c r="L694" s="24" t="s">
        <v>37</v>
      </c>
    </row>
    <row r="695">
      <c r="A695" s="24">
        <f t="shared" si="1"/>
        <v>694</v>
      </c>
      <c r="B695" s="24" t="s">
        <v>390</v>
      </c>
      <c r="C695" s="340">
        <v>42760.0</v>
      </c>
      <c r="D695" s="24" t="str">
        <f t="shared" si="3"/>
        <v>Jan-2017</v>
      </c>
      <c r="E695" s="24" t="s">
        <v>20</v>
      </c>
      <c r="F695" s="24" t="s">
        <v>35</v>
      </c>
      <c r="G695" s="23" t="s">
        <v>394</v>
      </c>
      <c r="H695" s="24" t="s">
        <v>27</v>
      </c>
      <c r="I695" s="24" t="s">
        <v>9</v>
      </c>
      <c r="J695" s="24" t="s">
        <v>24</v>
      </c>
      <c r="K695" s="24" t="s">
        <v>24</v>
      </c>
      <c r="L695" s="24" t="s">
        <v>69</v>
      </c>
    </row>
    <row r="696">
      <c r="A696" s="24">
        <f t="shared" si="1"/>
        <v>695</v>
      </c>
      <c r="B696" s="24" t="s">
        <v>390</v>
      </c>
      <c r="C696" s="340">
        <v>42760.0</v>
      </c>
      <c r="D696" s="24" t="str">
        <f t="shared" si="3"/>
        <v>Jan-2017</v>
      </c>
      <c r="E696" s="24" t="s">
        <v>25</v>
      </c>
      <c r="F696" s="24" t="s">
        <v>35</v>
      </c>
      <c r="G696" s="23" t="s">
        <v>394</v>
      </c>
      <c r="H696" s="24" t="s">
        <v>27</v>
      </c>
      <c r="I696" s="24" t="s">
        <v>9</v>
      </c>
      <c r="J696" s="24" t="s">
        <v>24</v>
      </c>
      <c r="K696" s="24"/>
      <c r="L696" s="24" t="s">
        <v>98</v>
      </c>
    </row>
    <row r="697">
      <c r="A697" s="24">
        <f t="shared" si="1"/>
        <v>696</v>
      </c>
      <c r="B697" s="24" t="s">
        <v>395</v>
      </c>
      <c r="C697" s="340">
        <v>42762.0</v>
      </c>
      <c r="D697" s="24" t="str">
        <f t="shared" si="3"/>
        <v>Jan-2017</v>
      </c>
      <c r="E697" s="24" t="s">
        <v>20</v>
      </c>
      <c r="F697" s="24" t="s">
        <v>35</v>
      </c>
      <c r="G697" s="23" t="s">
        <v>257</v>
      </c>
      <c r="H697" s="24" t="s">
        <v>71</v>
      </c>
      <c r="I697" s="24" t="s">
        <v>9</v>
      </c>
      <c r="J697" s="24" t="s">
        <v>24</v>
      </c>
      <c r="K697" s="24" t="s">
        <v>24</v>
      </c>
      <c r="L697" s="24" t="s">
        <v>99</v>
      </c>
    </row>
    <row r="698">
      <c r="A698" s="24">
        <f t="shared" si="1"/>
        <v>697</v>
      </c>
      <c r="B698" s="24" t="s">
        <v>395</v>
      </c>
      <c r="C698" s="340">
        <v>42762.0</v>
      </c>
      <c r="D698" s="24" t="str">
        <f t="shared" si="3"/>
        <v>Jan-2017</v>
      </c>
      <c r="E698" s="24" t="s">
        <v>25</v>
      </c>
      <c r="F698" s="24" t="s">
        <v>35</v>
      </c>
      <c r="G698" s="23" t="s">
        <v>257</v>
      </c>
      <c r="H698" s="24" t="s">
        <v>71</v>
      </c>
      <c r="I698" s="24" t="s">
        <v>9</v>
      </c>
      <c r="J698" s="24" t="s">
        <v>24</v>
      </c>
      <c r="K698" s="24"/>
      <c r="L698" s="24" t="s">
        <v>69</v>
      </c>
    </row>
    <row r="699">
      <c r="A699" s="24">
        <f t="shared" si="1"/>
        <v>698</v>
      </c>
      <c r="B699" s="24" t="s">
        <v>395</v>
      </c>
      <c r="C699" s="340">
        <v>42762.0</v>
      </c>
      <c r="D699" s="24" t="str">
        <f t="shared" si="3"/>
        <v>Jan-2017</v>
      </c>
      <c r="E699" s="24" t="s">
        <v>20</v>
      </c>
      <c r="F699" s="24" t="s">
        <v>35</v>
      </c>
      <c r="G699" s="23" t="s">
        <v>396</v>
      </c>
      <c r="H699" s="24" t="s">
        <v>44</v>
      </c>
      <c r="I699" s="24" t="s">
        <v>9</v>
      </c>
      <c r="J699" s="24" t="s">
        <v>30</v>
      </c>
      <c r="K699" s="24" t="s">
        <v>30</v>
      </c>
      <c r="L699" s="24" t="s">
        <v>98</v>
      </c>
    </row>
    <row r="700">
      <c r="A700" s="24">
        <f t="shared" si="1"/>
        <v>699</v>
      </c>
      <c r="B700" s="24" t="s">
        <v>395</v>
      </c>
      <c r="C700" s="340">
        <v>42762.0</v>
      </c>
      <c r="D700" s="24" t="str">
        <f t="shared" si="3"/>
        <v>Jan-2017</v>
      </c>
      <c r="E700" s="24" t="s">
        <v>25</v>
      </c>
      <c r="F700" s="24" t="s">
        <v>35</v>
      </c>
      <c r="G700" s="23" t="s">
        <v>396</v>
      </c>
      <c r="H700" s="24" t="s">
        <v>44</v>
      </c>
      <c r="I700" s="24" t="s">
        <v>9</v>
      </c>
      <c r="J700" s="24" t="s">
        <v>30</v>
      </c>
      <c r="K700" s="24"/>
      <c r="L700" s="24" t="s">
        <v>69</v>
      </c>
    </row>
    <row r="701">
      <c r="A701" s="24">
        <f t="shared" si="1"/>
        <v>700</v>
      </c>
      <c r="B701" s="24" t="s">
        <v>395</v>
      </c>
      <c r="C701" s="340">
        <v>42762.0</v>
      </c>
      <c r="D701" s="24" t="str">
        <f t="shared" si="3"/>
        <v>Jan-2017</v>
      </c>
      <c r="E701" s="24" t="s">
        <v>20</v>
      </c>
      <c r="F701" s="24" t="s">
        <v>35</v>
      </c>
      <c r="G701" s="23" t="s">
        <v>397</v>
      </c>
      <c r="H701" s="24" t="s">
        <v>86</v>
      </c>
      <c r="I701" s="24" t="s">
        <v>9</v>
      </c>
      <c r="J701" s="24" t="s">
        <v>24</v>
      </c>
      <c r="K701" s="24" t="s">
        <v>24</v>
      </c>
      <c r="L701" s="24" t="s">
        <v>69</v>
      </c>
    </row>
    <row r="702">
      <c r="A702" s="24">
        <f t="shared" si="1"/>
        <v>701</v>
      </c>
      <c r="B702" s="24" t="s">
        <v>395</v>
      </c>
      <c r="C702" s="340">
        <v>42762.0</v>
      </c>
      <c r="D702" s="24" t="str">
        <f t="shared" si="3"/>
        <v>Jan-2017</v>
      </c>
      <c r="E702" s="24" t="s">
        <v>25</v>
      </c>
      <c r="F702" s="24" t="s">
        <v>35</v>
      </c>
      <c r="G702" s="23" t="s">
        <v>397</v>
      </c>
      <c r="H702" s="24" t="s">
        <v>86</v>
      </c>
      <c r="I702" s="24" t="s">
        <v>9</v>
      </c>
      <c r="J702" s="24" t="s">
        <v>24</v>
      </c>
      <c r="K702" s="24"/>
      <c r="L702" s="24" t="s">
        <v>99</v>
      </c>
    </row>
    <row r="703">
      <c r="A703" s="24">
        <f t="shared" si="1"/>
        <v>702</v>
      </c>
      <c r="B703" s="24" t="s">
        <v>398</v>
      </c>
      <c r="C703" s="340">
        <v>42769.0</v>
      </c>
      <c r="D703" s="24" t="str">
        <f t="shared" si="3"/>
        <v>Feb-2017</v>
      </c>
      <c r="E703" s="24" t="s">
        <v>20</v>
      </c>
      <c r="F703" s="24" t="s">
        <v>35</v>
      </c>
      <c r="G703" s="23" t="s">
        <v>379</v>
      </c>
      <c r="H703" s="24" t="s">
        <v>71</v>
      </c>
      <c r="I703" s="24" t="s">
        <v>9</v>
      </c>
      <c r="J703" s="24" t="s">
        <v>30</v>
      </c>
      <c r="K703" s="24" t="s">
        <v>30</v>
      </c>
      <c r="L703" s="24" t="s">
        <v>99</v>
      </c>
    </row>
    <row r="704">
      <c r="A704" s="24">
        <f t="shared" si="1"/>
        <v>703</v>
      </c>
      <c r="B704" s="24" t="s">
        <v>398</v>
      </c>
      <c r="C704" s="340">
        <v>42769.0</v>
      </c>
      <c r="D704" s="24" t="str">
        <f t="shared" si="3"/>
        <v>Feb-2017</v>
      </c>
      <c r="E704" s="24" t="s">
        <v>25</v>
      </c>
      <c r="F704" s="24" t="s">
        <v>35</v>
      </c>
      <c r="G704" s="23" t="s">
        <v>379</v>
      </c>
      <c r="H704" s="24" t="s">
        <v>71</v>
      </c>
      <c r="I704" s="24" t="s">
        <v>9</v>
      </c>
      <c r="J704" s="24" t="s">
        <v>30</v>
      </c>
      <c r="K704" s="24"/>
      <c r="L704" s="24" t="s">
        <v>37</v>
      </c>
    </row>
    <row r="705">
      <c r="A705" s="24">
        <f t="shared" si="1"/>
        <v>704</v>
      </c>
      <c r="B705" s="24" t="s">
        <v>398</v>
      </c>
      <c r="C705" s="340">
        <v>42769.0</v>
      </c>
      <c r="D705" s="24" t="str">
        <f t="shared" si="3"/>
        <v>Feb-2017</v>
      </c>
      <c r="E705" s="24" t="s">
        <v>20</v>
      </c>
      <c r="F705" s="24" t="s">
        <v>35</v>
      </c>
      <c r="G705" s="23" t="s">
        <v>111</v>
      </c>
      <c r="H705" s="24" t="s">
        <v>216</v>
      </c>
      <c r="I705" s="24" t="s">
        <v>9</v>
      </c>
      <c r="J705" s="24" t="s">
        <v>24</v>
      </c>
      <c r="K705" s="24" t="s">
        <v>24</v>
      </c>
      <c r="L705" s="24" t="s">
        <v>98</v>
      </c>
    </row>
    <row r="706">
      <c r="A706" s="24">
        <f t="shared" si="1"/>
        <v>705</v>
      </c>
      <c r="B706" s="24" t="s">
        <v>398</v>
      </c>
      <c r="C706" s="340">
        <v>42769.0</v>
      </c>
      <c r="D706" s="24" t="str">
        <f t="shared" si="3"/>
        <v>Feb-2017</v>
      </c>
      <c r="E706" s="24" t="s">
        <v>25</v>
      </c>
      <c r="F706" s="24" t="s">
        <v>35</v>
      </c>
      <c r="G706" s="23" t="s">
        <v>111</v>
      </c>
      <c r="H706" s="24" t="s">
        <v>216</v>
      </c>
      <c r="I706" s="24" t="s">
        <v>9</v>
      </c>
      <c r="J706" s="24" t="s">
        <v>24</v>
      </c>
      <c r="K706" s="24"/>
      <c r="L706" s="24" t="s">
        <v>106</v>
      </c>
    </row>
    <row r="707">
      <c r="A707" s="24">
        <f t="shared" si="1"/>
        <v>706</v>
      </c>
      <c r="B707" s="24" t="s">
        <v>398</v>
      </c>
      <c r="C707" s="340">
        <v>42769.0</v>
      </c>
      <c r="D707" s="24" t="str">
        <f t="shared" si="3"/>
        <v>Feb-2017</v>
      </c>
      <c r="E707" s="24" t="s">
        <v>20</v>
      </c>
      <c r="F707" s="24" t="s">
        <v>35</v>
      </c>
      <c r="G707" s="23" t="s">
        <v>399</v>
      </c>
      <c r="H707" s="24" t="s">
        <v>9</v>
      </c>
      <c r="I707" s="24" t="s">
        <v>9</v>
      </c>
      <c r="J707" s="24" t="s">
        <v>24</v>
      </c>
      <c r="K707" s="24" t="s">
        <v>24</v>
      </c>
      <c r="L707" s="24" t="s">
        <v>69</v>
      </c>
    </row>
    <row r="708">
      <c r="A708" s="24">
        <f t="shared" si="1"/>
        <v>707</v>
      </c>
      <c r="B708" s="24" t="s">
        <v>398</v>
      </c>
      <c r="C708" s="340">
        <v>42769.0</v>
      </c>
      <c r="D708" s="24" t="str">
        <f t="shared" si="3"/>
        <v>Feb-2017</v>
      </c>
      <c r="E708" s="24" t="s">
        <v>25</v>
      </c>
      <c r="F708" s="24" t="s">
        <v>35</v>
      </c>
      <c r="G708" s="23" t="s">
        <v>399</v>
      </c>
      <c r="H708" s="24" t="s">
        <v>9</v>
      </c>
      <c r="I708" s="24" t="s">
        <v>9</v>
      </c>
      <c r="J708" s="24" t="s">
        <v>30</v>
      </c>
      <c r="K708" s="24"/>
      <c r="L708" s="24" t="s">
        <v>98</v>
      </c>
    </row>
    <row r="709">
      <c r="A709" s="24">
        <f t="shared" si="1"/>
        <v>708</v>
      </c>
      <c r="B709" s="24" t="s">
        <v>398</v>
      </c>
      <c r="C709" s="340">
        <v>42769.0</v>
      </c>
      <c r="D709" s="24" t="str">
        <f t="shared" si="3"/>
        <v>Feb-2017</v>
      </c>
      <c r="E709" s="24" t="s">
        <v>32</v>
      </c>
      <c r="F709" s="24" t="s">
        <v>35</v>
      </c>
      <c r="G709" s="23" t="s">
        <v>399</v>
      </c>
      <c r="H709" s="24" t="s">
        <v>9</v>
      </c>
      <c r="I709" s="24" t="s">
        <v>9</v>
      </c>
      <c r="J709" s="24" t="s">
        <v>24</v>
      </c>
      <c r="K709" s="24"/>
      <c r="L709" s="24" t="s">
        <v>37</v>
      </c>
    </row>
    <row r="710">
      <c r="A710" s="24">
        <f t="shared" si="1"/>
        <v>709</v>
      </c>
      <c r="B710" s="24" t="s">
        <v>400</v>
      </c>
      <c r="C710" s="339">
        <v>42777.0</v>
      </c>
      <c r="D710" s="24" t="str">
        <f t="shared" si="3"/>
        <v>Feb-2017</v>
      </c>
      <c r="E710" s="24" t="s">
        <v>20</v>
      </c>
      <c r="F710" s="24" t="s">
        <v>35</v>
      </c>
      <c r="G710" s="23" t="s">
        <v>401</v>
      </c>
      <c r="H710" s="24" t="s">
        <v>27</v>
      </c>
      <c r="I710" s="24" t="s">
        <v>9</v>
      </c>
      <c r="J710" s="24" t="s">
        <v>30</v>
      </c>
      <c r="K710" s="24" t="s">
        <v>30</v>
      </c>
      <c r="L710" s="24" t="s">
        <v>69</v>
      </c>
    </row>
    <row r="711">
      <c r="A711" s="24">
        <f t="shared" si="1"/>
        <v>710</v>
      </c>
      <c r="B711" s="24" t="s">
        <v>400</v>
      </c>
      <c r="C711" s="340">
        <v>42777.0</v>
      </c>
      <c r="D711" s="24" t="str">
        <f t="shared" si="3"/>
        <v>Feb-2017</v>
      </c>
      <c r="E711" s="24" t="s">
        <v>25</v>
      </c>
      <c r="F711" s="24" t="s">
        <v>35</v>
      </c>
      <c r="G711" s="23" t="s">
        <v>401</v>
      </c>
      <c r="H711" s="24" t="s">
        <v>27</v>
      </c>
      <c r="I711" s="24" t="s">
        <v>9</v>
      </c>
      <c r="J711" s="24" t="s">
        <v>30</v>
      </c>
      <c r="K711" s="24"/>
      <c r="L711" s="24" t="s">
        <v>99</v>
      </c>
    </row>
    <row r="712">
      <c r="A712" s="24">
        <f t="shared" si="1"/>
        <v>711</v>
      </c>
      <c r="B712" s="24" t="s">
        <v>400</v>
      </c>
      <c r="C712" s="340">
        <v>42777.0</v>
      </c>
      <c r="D712" s="24" t="str">
        <f t="shared" si="3"/>
        <v>Feb-2017</v>
      </c>
      <c r="E712" s="24" t="s">
        <v>20</v>
      </c>
      <c r="F712" s="24" t="s">
        <v>35</v>
      </c>
      <c r="G712" s="23" t="s">
        <v>92</v>
      </c>
      <c r="H712" s="24" t="s">
        <v>27</v>
      </c>
      <c r="I712" s="24" t="s">
        <v>9</v>
      </c>
      <c r="J712" s="24" t="s">
        <v>24</v>
      </c>
      <c r="K712" s="24" t="s">
        <v>24</v>
      </c>
      <c r="L712" s="24" t="s">
        <v>69</v>
      </c>
    </row>
    <row r="713">
      <c r="A713" s="24">
        <f t="shared" si="1"/>
        <v>712</v>
      </c>
      <c r="B713" s="24" t="s">
        <v>400</v>
      </c>
      <c r="C713" s="340">
        <v>42777.0</v>
      </c>
      <c r="D713" s="24" t="str">
        <f t="shared" si="3"/>
        <v>Feb-2017</v>
      </c>
      <c r="E713" s="24" t="s">
        <v>25</v>
      </c>
      <c r="F713" s="24" t="s">
        <v>35</v>
      </c>
      <c r="G713" s="23" t="s">
        <v>92</v>
      </c>
      <c r="H713" s="24" t="s">
        <v>27</v>
      </c>
      <c r="I713" s="24" t="s">
        <v>9</v>
      </c>
      <c r="J713" s="24" t="s">
        <v>24</v>
      </c>
      <c r="K713" s="24"/>
      <c r="L713" s="24" t="s">
        <v>69</v>
      </c>
    </row>
    <row r="714">
      <c r="A714" s="24">
        <f t="shared" si="1"/>
        <v>713</v>
      </c>
      <c r="B714" s="24" t="s">
        <v>400</v>
      </c>
      <c r="C714" s="340">
        <v>42777.0</v>
      </c>
      <c r="D714" s="24" t="str">
        <f t="shared" si="3"/>
        <v>Feb-2017</v>
      </c>
      <c r="E714" s="24" t="s">
        <v>20</v>
      </c>
      <c r="F714" s="24" t="s">
        <v>35</v>
      </c>
      <c r="G714" s="23" t="s">
        <v>403</v>
      </c>
      <c r="H714" s="24" t="s">
        <v>44</v>
      </c>
      <c r="I714" s="24" t="s">
        <v>9</v>
      </c>
      <c r="J714" s="24" t="s">
        <v>30</v>
      </c>
      <c r="K714" s="24" t="s">
        <v>30</v>
      </c>
      <c r="L714" s="24" t="s">
        <v>69</v>
      </c>
    </row>
    <row r="715">
      <c r="A715" s="24">
        <f t="shared" si="1"/>
        <v>714</v>
      </c>
      <c r="B715" s="24" t="s">
        <v>400</v>
      </c>
      <c r="C715" s="340">
        <v>42777.0</v>
      </c>
      <c r="D715" s="24" t="str">
        <f t="shared" si="3"/>
        <v>Feb-2017</v>
      </c>
      <c r="E715" s="24" t="s">
        <v>25</v>
      </c>
      <c r="F715" s="24" t="s">
        <v>35</v>
      </c>
      <c r="G715" s="23" t="s">
        <v>403</v>
      </c>
      <c r="H715" s="24" t="s">
        <v>44</v>
      </c>
      <c r="I715" s="24" t="s">
        <v>9</v>
      </c>
      <c r="J715" s="24" t="s">
        <v>30</v>
      </c>
      <c r="K715" s="24"/>
      <c r="L715" s="24" t="s">
        <v>98</v>
      </c>
    </row>
    <row r="716">
      <c r="A716" s="24">
        <f t="shared" si="1"/>
        <v>715</v>
      </c>
      <c r="B716" s="24" t="s">
        <v>400</v>
      </c>
      <c r="C716" s="340">
        <v>42777.0</v>
      </c>
      <c r="D716" s="24" t="str">
        <f t="shared" si="3"/>
        <v>Feb-2017</v>
      </c>
      <c r="E716" s="24" t="s">
        <v>20</v>
      </c>
      <c r="F716" s="24" t="s">
        <v>35</v>
      </c>
      <c r="G716" s="23" t="s">
        <v>404</v>
      </c>
      <c r="H716" s="24" t="s">
        <v>27</v>
      </c>
      <c r="I716" s="24" t="s">
        <v>9</v>
      </c>
      <c r="J716" s="24" t="s">
        <v>30</v>
      </c>
      <c r="K716" s="24" t="s">
        <v>24</v>
      </c>
      <c r="L716" s="24" t="s">
        <v>69</v>
      </c>
    </row>
    <row r="717">
      <c r="A717" s="24">
        <f t="shared" si="1"/>
        <v>716</v>
      </c>
      <c r="B717" s="24" t="s">
        <v>400</v>
      </c>
      <c r="C717" s="340">
        <v>42777.0</v>
      </c>
      <c r="D717" s="24" t="str">
        <f t="shared" si="3"/>
        <v>Feb-2017</v>
      </c>
      <c r="E717" s="24" t="s">
        <v>25</v>
      </c>
      <c r="F717" s="24" t="s">
        <v>35</v>
      </c>
      <c r="G717" s="23" t="s">
        <v>404</v>
      </c>
      <c r="H717" s="24" t="s">
        <v>27</v>
      </c>
      <c r="I717" s="24" t="s">
        <v>9</v>
      </c>
      <c r="J717" s="24" t="s">
        <v>24</v>
      </c>
      <c r="K717" s="24"/>
      <c r="L717" s="24" t="s">
        <v>37</v>
      </c>
    </row>
    <row r="718">
      <c r="A718" s="24">
        <f t="shared" si="1"/>
        <v>717</v>
      </c>
      <c r="B718" s="24" t="s">
        <v>400</v>
      </c>
      <c r="C718" s="340">
        <v>42777.0</v>
      </c>
      <c r="D718" s="24" t="str">
        <f t="shared" si="3"/>
        <v>Feb-2017</v>
      </c>
      <c r="E718" s="24" t="s">
        <v>32</v>
      </c>
      <c r="F718" s="24" t="s">
        <v>35</v>
      </c>
      <c r="G718" s="23" t="s">
        <v>404</v>
      </c>
      <c r="H718" s="24" t="s">
        <v>27</v>
      </c>
      <c r="I718" s="24" t="s">
        <v>9</v>
      </c>
      <c r="J718" s="24" t="s">
        <v>24</v>
      </c>
      <c r="K718" s="24"/>
      <c r="L718" s="24" t="s">
        <v>98</v>
      </c>
    </row>
    <row r="719">
      <c r="A719" s="24">
        <f t="shared" si="1"/>
        <v>718</v>
      </c>
      <c r="B719" s="24" t="s">
        <v>406</v>
      </c>
      <c r="C719" s="95">
        <v>42788.0</v>
      </c>
      <c r="D719" s="24" t="str">
        <f t="shared" si="3"/>
        <v>Feb-2017</v>
      </c>
      <c r="E719" s="24" t="s">
        <v>20</v>
      </c>
      <c r="F719" s="24" t="s">
        <v>35</v>
      </c>
      <c r="G719" s="23" t="s">
        <v>407</v>
      </c>
      <c r="H719" s="24" t="s">
        <v>44</v>
      </c>
      <c r="I719" s="24" t="s">
        <v>9</v>
      </c>
      <c r="J719" s="24" t="s">
        <v>30</v>
      </c>
      <c r="K719" s="24" t="s">
        <v>30</v>
      </c>
      <c r="L719" s="24" t="s">
        <v>98</v>
      </c>
    </row>
    <row r="720">
      <c r="A720" s="24">
        <f t="shared" si="1"/>
        <v>719</v>
      </c>
      <c r="B720" s="24" t="s">
        <v>406</v>
      </c>
      <c r="C720" s="340">
        <v>42788.0</v>
      </c>
      <c r="D720" s="24" t="str">
        <f t="shared" si="3"/>
        <v>Feb-2017</v>
      </c>
      <c r="E720" s="24" t="s">
        <v>25</v>
      </c>
      <c r="F720" s="24" t="s">
        <v>35</v>
      </c>
      <c r="G720" s="23" t="s">
        <v>407</v>
      </c>
      <c r="H720" s="24" t="s">
        <v>44</v>
      </c>
      <c r="I720" s="24" t="s">
        <v>9</v>
      </c>
      <c r="J720" s="24" t="s">
        <v>30</v>
      </c>
      <c r="K720" s="24"/>
      <c r="L720" s="24" t="s">
        <v>99</v>
      </c>
    </row>
    <row r="721">
      <c r="A721" s="24">
        <f t="shared" si="1"/>
        <v>720</v>
      </c>
      <c r="B721" s="24" t="s">
        <v>406</v>
      </c>
      <c r="C721" s="340">
        <v>42788.0</v>
      </c>
      <c r="D721" s="24" t="str">
        <f t="shared" si="3"/>
        <v>Feb-2017</v>
      </c>
      <c r="E721" s="24" t="s">
        <v>20</v>
      </c>
      <c r="F721" s="24" t="s">
        <v>35</v>
      </c>
      <c r="G721" s="23" t="s">
        <v>394</v>
      </c>
      <c r="H721" s="24" t="s">
        <v>27</v>
      </c>
      <c r="I721" s="24" t="s">
        <v>9</v>
      </c>
      <c r="J721" s="24" t="s">
        <v>24</v>
      </c>
      <c r="K721" s="24" t="s">
        <v>24</v>
      </c>
      <c r="L721" s="24" t="s">
        <v>37</v>
      </c>
    </row>
    <row r="722">
      <c r="A722" s="24">
        <f t="shared" si="1"/>
        <v>721</v>
      </c>
      <c r="B722" s="24" t="s">
        <v>406</v>
      </c>
      <c r="C722" s="95">
        <v>42788.0</v>
      </c>
      <c r="D722" s="24" t="str">
        <f t="shared" si="3"/>
        <v>Feb-2017</v>
      </c>
      <c r="E722" s="24" t="s">
        <v>25</v>
      </c>
      <c r="F722" s="24" t="s">
        <v>35</v>
      </c>
      <c r="G722" s="23" t="s">
        <v>394</v>
      </c>
      <c r="H722" s="24" t="s">
        <v>27</v>
      </c>
      <c r="I722" s="24" t="s">
        <v>9</v>
      </c>
      <c r="J722" s="24" t="s">
        <v>24</v>
      </c>
      <c r="K722" s="24"/>
      <c r="L722" s="24" t="s">
        <v>98</v>
      </c>
    </row>
    <row r="723">
      <c r="A723" s="24">
        <f t="shared" si="1"/>
        <v>722</v>
      </c>
      <c r="B723" s="24" t="s">
        <v>406</v>
      </c>
      <c r="C723" s="95">
        <v>42788.0</v>
      </c>
      <c r="D723" s="24" t="str">
        <f t="shared" si="3"/>
        <v>Feb-2017</v>
      </c>
      <c r="E723" s="24" t="s">
        <v>20</v>
      </c>
      <c r="F723" s="24" t="s">
        <v>35</v>
      </c>
      <c r="G723" s="23" t="s">
        <v>236</v>
      </c>
      <c r="H723" s="24" t="s">
        <v>44</v>
      </c>
      <c r="I723" s="24" t="s">
        <v>9</v>
      </c>
      <c r="J723" s="24" t="s">
        <v>30</v>
      </c>
      <c r="K723" s="24" t="s">
        <v>30</v>
      </c>
      <c r="L723" s="24" t="s">
        <v>69</v>
      </c>
    </row>
    <row r="724">
      <c r="A724" s="24">
        <f t="shared" si="1"/>
        <v>723</v>
      </c>
      <c r="B724" s="24" t="s">
        <v>406</v>
      </c>
      <c r="C724" s="95">
        <v>42788.0</v>
      </c>
      <c r="D724" s="24" t="str">
        <f t="shared" si="3"/>
        <v>Feb-2017</v>
      </c>
      <c r="E724" s="24" t="s">
        <v>25</v>
      </c>
      <c r="F724" s="24" t="s">
        <v>35</v>
      </c>
      <c r="G724" s="23" t="s">
        <v>236</v>
      </c>
      <c r="H724" s="24" t="s">
        <v>44</v>
      </c>
      <c r="I724" s="24" t="s">
        <v>9</v>
      </c>
      <c r="J724" s="24" t="s">
        <v>30</v>
      </c>
      <c r="K724" s="24"/>
      <c r="L724" s="24" t="s">
        <v>69</v>
      </c>
    </row>
    <row r="725">
      <c r="A725" s="24">
        <f t="shared" si="1"/>
        <v>724</v>
      </c>
      <c r="B725" s="24" t="s">
        <v>406</v>
      </c>
      <c r="C725" s="95">
        <v>42788.0</v>
      </c>
      <c r="D725" s="24" t="str">
        <f t="shared" si="3"/>
        <v>Feb-2017</v>
      </c>
      <c r="E725" s="24" t="s">
        <v>20</v>
      </c>
      <c r="F725" s="24" t="s">
        <v>35</v>
      </c>
      <c r="G725" s="23" t="s">
        <v>409</v>
      </c>
      <c r="H725" s="24" t="s">
        <v>27</v>
      </c>
      <c r="I725" s="24" t="s">
        <v>9</v>
      </c>
      <c r="J725" s="24" t="s">
        <v>30</v>
      </c>
      <c r="K725" s="24" t="s">
        <v>24</v>
      </c>
      <c r="L725" s="24" t="s">
        <v>69</v>
      </c>
    </row>
    <row r="726">
      <c r="A726" s="24">
        <f t="shared" si="1"/>
        <v>725</v>
      </c>
      <c r="B726" s="24" t="s">
        <v>406</v>
      </c>
      <c r="C726" s="340">
        <v>42788.0</v>
      </c>
      <c r="D726" s="24" t="str">
        <f t="shared" si="3"/>
        <v>Feb-2017</v>
      </c>
      <c r="E726" s="24" t="s">
        <v>25</v>
      </c>
      <c r="F726" s="24" t="s">
        <v>35</v>
      </c>
      <c r="G726" s="23" t="s">
        <v>409</v>
      </c>
      <c r="H726" s="24" t="s">
        <v>27</v>
      </c>
      <c r="I726" s="24" t="s">
        <v>9</v>
      </c>
      <c r="J726" s="24" t="s">
        <v>24</v>
      </c>
      <c r="K726" s="24"/>
      <c r="L726" s="24" t="s">
        <v>99</v>
      </c>
    </row>
    <row r="727">
      <c r="A727" s="24">
        <f t="shared" si="1"/>
        <v>726</v>
      </c>
      <c r="B727" s="24" t="s">
        <v>406</v>
      </c>
      <c r="C727" s="95">
        <v>42788.0</v>
      </c>
      <c r="D727" s="24" t="str">
        <f t="shared" si="3"/>
        <v>Feb-2017</v>
      </c>
      <c r="E727" s="24" t="s">
        <v>32</v>
      </c>
      <c r="F727" s="24" t="s">
        <v>35</v>
      </c>
      <c r="G727" s="23" t="s">
        <v>409</v>
      </c>
      <c r="H727" s="24" t="s">
        <v>27</v>
      </c>
      <c r="I727" s="24" t="s">
        <v>9</v>
      </c>
      <c r="J727" s="24" t="s">
        <v>24</v>
      </c>
      <c r="K727" s="24"/>
      <c r="L727" s="24" t="s">
        <v>98</v>
      </c>
    </row>
    <row r="728">
      <c r="A728" s="24">
        <f t="shared" si="1"/>
        <v>727</v>
      </c>
      <c r="B728" s="24" t="s">
        <v>410</v>
      </c>
      <c r="C728" s="95">
        <v>42798.0</v>
      </c>
      <c r="D728" s="24" t="str">
        <f t="shared" si="3"/>
        <v>Mar-2017</v>
      </c>
      <c r="E728" s="24" t="s">
        <v>20</v>
      </c>
      <c r="F728" s="24" t="s">
        <v>287</v>
      </c>
      <c r="G728" s="23" t="s">
        <v>322</v>
      </c>
      <c r="H728" s="24" t="s">
        <v>27</v>
      </c>
      <c r="I728" s="24" t="s">
        <v>9</v>
      </c>
      <c r="J728" s="24" t="s">
        <v>24</v>
      </c>
      <c r="K728" s="24" t="s">
        <v>24</v>
      </c>
      <c r="L728" s="24" t="s">
        <v>69</v>
      </c>
    </row>
    <row r="729">
      <c r="A729" s="24">
        <f t="shared" si="1"/>
        <v>728</v>
      </c>
      <c r="B729" s="24" t="s">
        <v>410</v>
      </c>
      <c r="C729" s="95">
        <v>42798.0</v>
      </c>
      <c r="D729" s="24" t="str">
        <f t="shared" si="3"/>
        <v>Mar-2017</v>
      </c>
      <c r="E729" s="24" t="s">
        <v>25</v>
      </c>
      <c r="F729" s="24" t="s">
        <v>287</v>
      </c>
      <c r="G729" s="23" t="s">
        <v>322</v>
      </c>
      <c r="H729" s="24" t="s">
        <v>27</v>
      </c>
      <c r="I729" s="24" t="s">
        <v>9</v>
      </c>
      <c r="J729" s="24" t="s">
        <v>24</v>
      </c>
      <c r="K729" s="24"/>
      <c r="L729" s="24" t="s">
        <v>37</v>
      </c>
    </row>
    <row r="730">
      <c r="A730" s="24">
        <f t="shared" si="1"/>
        <v>729</v>
      </c>
      <c r="B730" s="24" t="s">
        <v>410</v>
      </c>
      <c r="C730" s="95">
        <v>42798.0</v>
      </c>
      <c r="D730" s="24" t="str">
        <f t="shared" si="3"/>
        <v>Mar-2017</v>
      </c>
      <c r="E730" s="24" t="s">
        <v>20</v>
      </c>
      <c r="F730" s="24" t="s">
        <v>287</v>
      </c>
      <c r="G730" s="23" t="s">
        <v>194</v>
      </c>
      <c r="H730" s="24" t="s">
        <v>23</v>
      </c>
      <c r="I730" s="24" t="s">
        <v>9</v>
      </c>
      <c r="J730" s="24" t="s">
        <v>24</v>
      </c>
      <c r="K730" s="24" t="s">
        <v>24</v>
      </c>
      <c r="L730" s="24" t="s">
        <v>98</v>
      </c>
    </row>
    <row r="731">
      <c r="A731" s="24">
        <f t="shared" si="1"/>
        <v>730</v>
      </c>
      <c r="B731" s="24" t="s">
        <v>410</v>
      </c>
      <c r="C731" s="95">
        <v>42798.0</v>
      </c>
      <c r="D731" s="24" t="str">
        <f t="shared" si="3"/>
        <v>Mar-2017</v>
      </c>
      <c r="E731" s="24" t="s">
        <v>25</v>
      </c>
      <c r="F731" s="24" t="s">
        <v>287</v>
      </c>
      <c r="G731" s="23" t="s">
        <v>194</v>
      </c>
      <c r="H731" s="24" t="s">
        <v>23</v>
      </c>
      <c r="I731" s="24" t="s">
        <v>9</v>
      </c>
      <c r="J731" s="24" t="s">
        <v>24</v>
      </c>
      <c r="K731" s="24"/>
      <c r="L731" s="24" t="s">
        <v>69</v>
      </c>
    </row>
    <row r="732">
      <c r="A732" s="24">
        <f t="shared" si="1"/>
        <v>731</v>
      </c>
      <c r="B732" s="24" t="s">
        <v>410</v>
      </c>
      <c r="C732" s="95">
        <v>42798.0</v>
      </c>
      <c r="D732" s="24" t="str">
        <f t="shared" si="3"/>
        <v>Mar-2017</v>
      </c>
      <c r="E732" s="24" t="s">
        <v>20</v>
      </c>
      <c r="F732" s="24" t="s">
        <v>287</v>
      </c>
      <c r="G732" s="23" t="s">
        <v>411</v>
      </c>
      <c r="H732" s="24" t="s">
        <v>27</v>
      </c>
      <c r="I732" s="24" t="s">
        <v>9</v>
      </c>
      <c r="J732" s="24" t="s">
        <v>30</v>
      </c>
      <c r="K732" s="24" t="s">
        <v>30</v>
      </c>
      <c r="L732" s="24" t="s">
        <v>98</v>
      </c>
    </row>
    <row r="733">
      <c r="A733" s="24">
        <f t="shared" si="1"/>
        <v>732</v>
      </c>
      <c r="B733" s="24" t="s">
        <v>410</v>
      </c>
      <c r="C733" s="95">
        <v>42798.0</v>
      </c>
      <c r="D733" s="24" t="str">
        <f t="shared" si="3"/>
        <v>Mar-2017</v>
      </c>
      <c r="E733" s="24" t="s">
        <v>25</v>
      </c>
      <c r="F733" s="24" t="s">
        <v>287</v>
      </c>
      <c r="G733" s="23" t="s">
        <v>411</v>
      </c>
      <c r="H733" s="24" t="s">
        <v>27</v>
      </c>
      <c r="I733" s="24" t="s">
        <v>9</v>
      </c>
      <c r="J733" s="24" t="s">
        <v>30</v>
      </c>
      <c r="K733" s="24"/>
      <c r="L733" s="24" t="s">
        <v>99</v>
      </c>
    </row>
    <row r="734">
      <c r="A734" s="24">
        <f t="shared" si="1"/>
        <v>733</v>
      </c>
      <c r="B734" s="24" t="s">
        <v>410</v>
      </c>
      <c r="C734" s="95">
        <v>42798.0</v>
      </c>
      <c r="D734" s="24" t="str">
        <f t="shared" si="3"/>
        <v>Mar-2017</v>
      </c>
      <c r="E734" s="24" t="s">
        <v>20</v>
      </c>
      <c r="F734" s="24" t="s">
        <v>287</v>
      </c>
      <c r="G734" s="23" t="s">
        <v>100</v>
      </c>
      <c r="H734" s="24" t="s">
        <v>9</v>
      </c>
      <c r="I734" s="24" t="s">
        <v>9</v>
      </c>
      <c r="J734" s="24" t="s">
        <v>24</v>
      </c>
      <c r="K734" s="24" t="s">
        <v>24</v>
      </c>
      <c r="L734" s="24" t="s">
        <v>69</v>
      </c>
    </row>
    <row r="735">
      <c r="A735" s="24">
        <f t="shared" si="1"/>
        <v>734</v>
      </c>
      <c r="B735" s="24" t="s">
        <v>410</v>
      </c>
      <c r="C735" s="95">
        <v>42798.0</v>
      </c>
      <c r="D735" s="24" t="str">
        <f t="shared" si="3"/>
        <v>Mar-2017</v>
      </c>
      <c r="E735" s="24" t="s">
        <v>25</v>
      </c>
      <c r="F735" s="24" t="s">
        <v>287</v>
      </c>
      <c r="G735" s="23" t="s">
        <v>100</v>
      </c>
      <c r="H735" s="24" t="s">
        <v>9</v>
      </c>
      <c r="I735" s="24" t="s">
        <v>9</v>
      </c>
      <c r="J735" s="24" t="s">
        <v>24</v>
      </c>
      <c r="K735" s="24"/>
      <c r="L735" s="24" t="s">
        <v>98</v>
      </c>
    </row>
    <row r="736">
      <c r="A736" s="24">
        <f t="shared" si="1"/>
        <v>735</v>
      </c>
      <c r="B736" s="24" t="s">
        <v>410</v>
      </c>
      <c r="C736" s="95">
        <v>42798.0</v>
      </c>
      <c r="D736" s="24" t="str">
        <f t="shared" si="3"/>
        <v>Mar-2017</v>
      </c>
      <c r="E736" s="24" t="s">
        <v>20</v>
      </c>
      <c r="F736" s="24" t="s">
        <v>35</v>
      </c>
      <c r="G736" s="23" t="s">
        <v>412</v>
      </c>
      <c r="H736" s="24" t="s">
        <v>48</v>
      </c>
      <c r="I736" s="24" t="s">
        <v>9</v>
      </c>
      <c r="J736" s="24" t="s">
        <v>24</v>
      </c>
      <c r="K736" s="24" t="s">
        <v>24</v>
      </c>
      <c r="L736" s="24" t="s">
        <v>99</v>
      </c>
    </row>
    <row r="737">
      <c r="A737" s="24">
        <f t="shared" si="1"/>
        <v>736</v>
      </c>
      <c r="B737" s="24" t="s">
        <v>410</v>
      </c>
      <c r="C737" s="95">
        <v>42798.0</v>
      </c>
      <c r="D737" s="24" t="str">
        <f t="shared" si="3"/>
        <v>Mar-2017</v>
      </c>
      <c r="E737" s="24" t="s">
        <v>25</v>
      </c>
      <c r="F737" s="24" t="s">
        <v>35</v>
      </c>
      <c r="G737" s="23" t="s">
        <v>412</v>
      </c>
      <c r="H737" s="24" t="s">
        <v>48</v>
      </c>
      <c r="I737" s="24" t="s">
        <v>9</v>
      </c>
      <c r="J737" s="24" t="s">
        <v>24</v>
      </c>
      <c r="K737" s="24"/>
      <c r="L737" s="24" t="s">
        <v>106</v>
      </c>
    </row>
    <row r="738">
      <c r="A738" s="24">
        <f t="shared" si="1"/>
        <v>737</v>
      </c>
      <c r="B738" s="24" t="s">
        <v>410</v>
      </c>
      <c r="C738" s="95">
        <v>42798.0</v>
      </c>
      <c r="D738" s="24" t="str">
        <f t="shared" si="3"/>
        <v>Mar-2017</v>
      </c>
      <c r="E738" s="24" t="s">
        <v>20</v>
      </c>
      <c r="F738" s="24" t="s">
        <v>35</v>
      </c>
      <c r="G738" s="23" t="s">
        <v>358</v>
      </c>
      <c r="H738" s="24" t="s">
        <v>23</v>
      </c>
      <c r="I738" s="24" t="s">
        <v>9</v>
      </c>
      <c r="J738" s="24" t="s">
        <v>24</v>
      </c>
      <c r="K738" s="24" t="s">
        <v>24</v>
      </c>
      <c r="L738" s="24" t="s">
        <v>98</v>
      </c>
    </row>
    <row r="739">
      <c r="A739" s="24">
        <f t="shared" si="1"/>
        <v>738</v>
      </c>
      <c r="B739" s="24" t="s">
        <v>410</v>
      </c>
      <c r="C739" s="95">
        <v>42798.0</v>
      </c>
      <c r="D739" s="24" t="str">
        <f t="shared" si="3"/>
        <v>Mar-2017</v>
      </c>
      <c r="E739" s="24" t="s">
        <v>25</v>
      </c>
      <c r="F739" s="24" t="s">
        <v>35</v>
      </c>
      <c r="G739" s="23" t="s">
        <v>358</v>
      </c>
      <c r="H739" s="24" t="s">
        <v>23</v>
      </c>
      <c r="I739" s="24" t="s">
        <v>9</v>
      </c>
      <c r="J739" s="24" t="s">
        <v>24</v>
      </c>
      <c r="K739" s="24"/>
      <c r="L739" s="24" t="s">
        <v>69</v>
      </c>
    </row>
    <row r="740">
      <c r="A740" s="24">
        <f t="shared" si="1"/>
        <v>739</v>
      </c>
      <c r="B740" s="24" t="s">
        <v>413</v>
      </c>
      <c r="C740" s="95">
        <v>42804.0</v>
      </c>
      <c r="D740" s="24" t="str">
        <f t="shared" si="3"/>
        <v>Mar-2017</v>
      </c>
      <c r="E740" s="24" t="s">
        <v>20</v>
      </c>
      <c r="F740" s="24" t="s">
        <v>35</v>
      </c>
      <c r="G740" s="23" t="s">
        <v>414</v>
      </c>
      <c r="H740" s="24" t="s">
        <v>9</v>
      </c>
      <c r="I740" s="24" t="s">
        <v>9</v>
      </c>
      <c r="J740" s="24" t="s">
        <v>30</v>
      </c>
      <c r="K740" s="24" t="s">
        <v>30</v>
      </c>
      <c r="L740" s="24" t="s">
        <v>98</v>
      </c>
    </row>
    <row r="741">
      <c r="A741" s="24">
        <f t="shared" si="1"/>
        <v>740</v>
      </c>
      <c r="B741" s="24" t="s">
        <v>413</v>
      </c>
      <c r="C741" s="95">
        <v>42804.0</v>
      </c>
      <c r="D741" s="24" t="str">
        <f t="shared" si="3"/>
        <v>Mar-2017</v>
      </c>
      <c r="E741" s="24" t="s">
        <v>25</v>
      </c>
      <c r="F741" s="24" t="s">
        <v>35</v>
      </c>
      <c r="G741" s="23" t="s">
        <v>414</v>
      </c>
      <c r="H741" s="24" t="s">
        <v>48</v>
      </c>
      <c r="I741" s="24" t="s">
        <v>9</v>
      </c>
      <c r="J741" s="24" t="s">
        <v>30</v>
      </c>
      <c r="K741" s="24"/>
      <c r="L741" s="24" t="s">
        <v>37</v>
      </c>
    </row>
    <row r="742">
      <c r="A742" s="24">
        <f t="shared" si="1"/>
        <v>741</v>
      </c>
      <c r="B742" s="24" t="s">
        <v>413</v>
      </c>
      <c r="C742" s="95">
        <v>42804.0</v>
      </c>
      <c r="D742" s="24" t="str">
        <f t="shared" si="3"/>
        <v>Mar-2017</v>
      </c>
      <c r="E742" s="24" t="s">
        <v>20</v>
      </c>
      <c r="F742" s="24" t="s">
        <v>35</v>
      </c>
      <c r="G742" s="23" t="s">
        <v>111</v>
      </c>
      <c r="H742" s="24" t="s">
        <v>216</v>
      </c>
      <c r="I742" s="24" t="s">
        <v>9</v>
      </c>
      <c r="J742" s="24" t="s">
        <v>30</v>
      </c>
      <c r="K742" s="24" t="s">
        <v>24</v>
      </c>
      <c r="L742" s="24" t="s">
        <v>98</v>
      </c>
    </row>
    <row r="743">
      <c r="A743" s="24">
        <f t="shared" si="1"/>
        <v>742</v>
      </c>
      <c r="B743" s="24" t="s">
        <v>413</v>
      </c>
      <c r="C743" s="95">
        <v>42804.0</v>
      </c>
      <c r="D743" s="24" t="str">
        <f t="shared" si="3"/>
        <v>Mar-2017</v>
      </c>
      <c r="E743" s="24" t="s">
        <v>25</v>
      </c>
      <c r="F743" s="24" t="s">
        <v>35</v>
      </c>
      <c r="G743" s="23" t="s">
        <v>111</v>
      </c>
      <c r="H743" s="24" t="s">
        <v>216</v>
      </c>
      <c r="I743" s="24" t="s">
        <v>9</v>
      </c>
      <c r="J743" s="24" t="s">
        <v>24</v>
      </c>
      <c r="K743" s="24"/>
      <c r="L743" s="24" t="s">
        <v>98</v>
      </c>
    </row>
    <row r="744">
      <c r="A744" s="24">
        <f t="shared" si="1"/>
        <v>743</v>
      </c>
      <c r="B744" s="24" t="s">
        <v>413</v>
      </c>
      <c r="C744" s="95">
        <v>42804.0</v>
      </c>
      <c r="D744" s="24" t="str">
        <f t="shared" si="3"/>
        <v>Mar-2017</v>
      </c>
      <c r="E744" s="24" t="s">
        <v>32</v>
      </c>
      <c r="F744" s="24" t="s">
        <v>35</v>
      </c>
      <c r="G744" s="23" t="s">
        <v>111</v>
      </c>
      <c r="H744" s="24" t="s">
        <v>216</v>
      </c>
      <c r="I744" s="24" t="s">
        <v>9</v>
      </c>
      <c r="J744" s="24" t="s">
        <v>24</v>
      </c>
      <c r="K744" s="24"/>
      <c r="L744" s="24" t="s">
        <v>98</v>
      </c>
    </row>
    <row r="745">
      <c r="A745" s="24">
        <f t="shared" si="1"/>
        <v>744</v>
      </c>
      <c r="B745" s="24" t="s">
        <v>413</v>
      </c>
      <c r="C745" s="95">
        <v>42804.0</v>
      </c>
      <c r="D745" s="24" t="str">
        <f t="shared" si="3"/>
        <v>Mar-2017</v>
      </c>
      <c r="E745" s="24" t="s">
        <v>20</v>
      </c>
      <c r="F745" s="24" t="s">
        <v>35</v>
      </c>
      <c r="G745" s="23" t="s">
        <v>152</v>
      </c>
      <c r="H745" s="24" t="s">
        <v>23</v>
      </c>
      <c r="I745" s="24" t="s">
        <v>9</v>
      </c>
      <c r="J745" s="24" t="s">
        <v>30</v>
      </c>
      <c r="K745" s="24" t="s">
        <v>30</v>
      </c>
      <c r="L745" s="24" t="s">
        <v>29</v>
      </c>
    </row>
    <row r="746">
      <c r="A746" s="24">
        <f t="shared" si="1"/>
        <v>745</v>
      </c>
      <c r="B746" s="24" t="s">
        <v>413</v>
      </c>
      <c r="C746" s="95">
        <v>42804.0</v>
      </c>
      <c r="D746" s="24" t="str">
        <f t="shared" si="3"/>
        <v>Mar-2017</v>
      </c>
      <c r="E746" s="24" t="s">
        <v>25</v>
      </c>
      <c r="F746" s="24" t="s">
        <v>35</v>
      </c>
      <c r="G746" s="23" t="s">
        <v>152</v>
      </c>
      <c r="H746" s="24" t="s">
        <v>27</v>
      </c>
      <c r="I746" s="24" t="s">
        <v>9</v>
      </c>
      <c r="J746" s="24" t="s">
        <v>30</v>
      </c>
      <c r="K746" s="24"/>
      <c r="L746" s="24" t="s">
        <v>106</v>
      </c>
    </row>
    <row r="747">
      <c r="A747" s="24">
        <f t="shared" si="1"/>
        <v>746</v>
      </c>
      <c r="B747" s="24" t="s">
        <v>413</v>
      </c>
      <c r="C747" s="95">
        <v>42804.0</v>
      </c>
      <c r="D747" s="24" t="str">
        <f t="shared" si="3"/>
        <v>Mar-2017</v>
      </c>
      <c r="E747" s="24" t="s">
        <v>20</v>
      </c>
      <c r="F747" s="24" t="s">
        <v>35</v>
      </c>
      <c r="G747" s="23" t="s">
        <v>415</v>
      </c>
      <c r="H747" s="24" t="s">
        <v>86</v>
      </c>
      <c r="I747" s="24" t="s">
        <v>9</v>
      </c>
      <c r="J747" s="24" t="s">
        <v>30</v>
      </c>
      <c r="K747" s="24" t="s">
        <v>30</v>
      </c>
      <c r="L747" s="24" t="s">
        <v>69</v>
      </c>
    </row>
    <row r="748">
      <c r="A748" s="24">
        <f t="shared" si="1"/>
        <v>747</v>
      </c>
      <c r="B748" s="24" t="s">
        <v>413</v>
      </c>
      <c r="C748" s="95">
        <v>42804.0</v>
      </c>
      <c r="D748" s="24" t="str">
        <f t="shared" si="3"/>
        <v>Mar-2017</v>
      </c>
      <c r="E748" s="24" t="s">
        <v>25</v>
      </c>
      <c r="F748" s="24" t="s">
        <v>35</v>
      </c>
      <c r="G748" s="23" t="s">
        <v>415</v>
      </c>
      <c r="H748" s="24" t="s">
        <v>86</v>
      </c>
      <c r="I748" s="24" t="s">
        <v>9</v>
      </c>
      <c r="J748" s="24" t="s">
        <v>30</v>
      </c>
      <c r="K748" s="24"/>
      <c r="L748" s="24" t="s">
        <v>98</v>
      </c>
    </row>
    <row r="749">
      <c r="A749" s="24">
        <f t="shared" si="1"/>
        <v>748</v>
      </c>
      <c r="B749" s="24" t="s">
        <v>413</v>
      </c>
      <c r="C749" s="95">
        <v>42804.0</v>
      </c>
      <c r="D749" s="24" t="str">
        <f t="shared" si="3"/>
        <v>Mar-2017</v>
      </c>
      <c r="E749" s="24" t="s">
        <v>20</v>
      </c>
      <c r="F749" s="24" t="s">
        <v>35</v>
      </c>
      <c r="G749" s="23" t="s">
        <v>416</v>
      </c>
      <c r="H749" s="24" t="s">
        <v>27</v>
      </c>
      <c r="I749" s="24" t="s">
        <v>9</v>
      </c>
      <c r="J749" s="24" t="s">
        <v>30</v>
      </c>
      <c r="K749" s="24" t="s">
        <v>30</v>
      </c>
      <c r="L749" s="24" t="s">
        <v>98</v>
      </c>
    </row>
    <row r="750">
      <c r="A750" s="24">
        <f t="shared" si="1"/>
        <v>749</v>
      </c>
      <c r="B750" s="24" t="s">
        <v>413</v>
      </c>
      <c r="C750" s="95">
        <v>42804.0</v>
      </c>
      <c r="D750" s="24" t="str">
        <f t="shared" si="3"/>
        <v>Mar-2017</v>
      </c>
      <c r="E750" s="24" t="s">
        <v>25</v>
      </c>
      <c r="F750" s="24" t="s">
        <v>35</v>
      </c>
      <c r="G750" s="23" t="s">
        <v>416</v>
      </c>
      <c r="H750" s="24" t="s">
        <v>27</v>
      </c>
      <c r="I750" s="24" t="s">
        <v>9</v>
      </c>
      <c r="J750" s="24" t="s">
        <v>24</v>
      </c>
      <c r="K750" s="24"/>
      <c r="L750" s="24" t="s">
        <v>98</v>
      </c>
    </row>
    <row r="751">
      <c r="A751" s="24">
        <f t="shared" si="1"/>
        <v>750</v>
      </c>
      <c r="B751" s="24" t="s">
        <v>413</v>
      </c>
      <c r="C751" s="95">
        <v>42804.0</v>
      </c>
      <c r="D751" s="24" t="str">
        <f t="shared" si="3"/>
        <v>Mar-2017</v>
      </c>
      <c r="E751" s="24" t="s">
        <v>32</v>
      </c>
      <c r="F751" s="24" t="s">
        <v>35</v>
      </c>
      <c r="G751" s="23" t="s">
        <v>416</v>
      </c>
      <c r="H751" s="24" t="s">
        <v>27</v>
      </c>
      <c r="I751" s="24" t="s">
        <v>9</v>
      </c>
      <c r="J751" s="24" t="s">
        <v>30</v>
      </c>
      <c r="K751" s="24"/>
      <c r="L751" s="24" t="s">
        <v>69</v>
      </c>
    </row>
    <row r="752">
      <c r="A752" s="24">
        <f t="shared" si="1"/>
        <v>751</v>
      </c>
      <c r="B752" s="24" t="s">
        <v>413</v>
      </c>
      <c r="C752" s="95">
        <v>42804.0</v>
      </c>
      <c r="D752" s="24" t="str">
        <f t="shared" si="3"/>
        <v>Mar-2017</v>
      </c>
      <c r="E752" s="24" t="s">
        <v>20</v>
      </c>
      <c r="F752" s="24" t="s">
        <v>35</v>
      </c>
      <c r="G752" s="23" t="s">
        <v>111</v>
      </c>
      <c r="H752" s="24" t="s">
        <v>216</v>
      </c>
      <c r="I752" s="24" t="s">
        <v>9</v>
      </c>
      <c r="J752" s="24" t="s">
        <v>24</v>
      </c>
      <c r="K752" s="24" t="s">
        <v>24</v>
      </c>
      <c r="L752" s="24" t="s">
        <v>98</v>
      </c>
    </row>
    <row r="753">
      <c r="A753" s="24">
        <f t="shared" si="1"/>
        <v>752</v>
      </c>
      <c r="B753" s="24" t="s">
        <v>413</v>
      </c>
      <c r="C753" s="95">
        <v>42804.0</v>
      </c>
      <c r="D753" s="24" t="str">
        <f t="shared" si="3"/>
        <v>Mar-2017</v>
      </c>
      <c r="E753" s="24" t="s">
        <v>25</v>
      </c>
      <c r="F753" s="24" t="s">
        <v>35</v>
      </c>
      <c r="G753" s="23" t="s">
        <v>111</v>
      </c>
      <c r="H753" s="24" t="s">
        <v>216</v>
      </c>
      <c r="I753" s="24" t="s">
        <v>9</v>
      </c>
      <c r="J753" s="24" t="s">
        <v>24</v>
      </c>
      <c r="K753" s="24"/>
      <c r="L753" s="24" t="s">
        <v>98</v>
      </c>
    </row>
    <row r="754">
      <c r="A754" s="24">
        <f t="shared" si="1"/>
        <v>753</v>
      </c>
      <c r="B754" s="24" t="s">
        <v>417</v>
      </c>
      <c r="C754" s="95">
        <v>42805.0</v>
      </c>
      <c r="D754" s="24" t="str">
        <f t="shared" si="3"/>
        <v>Mar-2017</v>
      </c>
      <c r="E754" s="24" t="s">
        <v>20</v>
      </c>
      <c r="F754" s="24" t="s">
        <v>273</v>
      </c>
      <c r="G754" s="23" t="s">
        <v>418</v>
      </c>
      <c r="H754" s="24" t="s">
        <v>102</v>
      </c>
      <c r="I754" s="24" t="s">
        <v>9</v>
      </c>
      <c r="J754" s="24" t="s">
        <v>24</v>
      </c>
      <c r="K754" s="24" t="s">
        <v>24</v>
      </c>
      <c r="L754" s="24" t="s">
        <v>98</v>
      </c>
    </row>
    <row r="755">
      <c r="A755" s="24">
        <f t="shared" si="1"/>
        <v>754</v>
      </c>
      <c r="B755" s="24" t="s">
        <v>417</v>
      </c>
      <c r="C755" s="95">
        <v>42805.0</v>
      </c>
      <c r="D755" s="24" t="str">
        <f t="shared" si="3"/>
        <v>Mar-2017</v>
      </c>
      <c r="E755" s="24" t="s">
        <v>25</v>
      </c>
      <c r="F755" s="24" t="s">
        <v>273</v>
      </c>
      <c r="G755" s="23" t="s">
        <v>418</v>
      </c>
      <c r="H755" s="24" t="s">
        <v>102</v>
      </c>
      <c r="I755" s="24" t="s">
        <v>9</v>
      </c>
      <c r="J755" s="24" t="s">
        <v>30</v>
      </c>
      <c r="K755" s="24"/>
      <c r="L755" s="24" t="s">
        <v>69</v>
      </c>
    </row>
    <row r="756">
      <c r="A756" s="24">
        <f t="shared" si="1"/>
        <v>755</v>
      </c>
      <c r="B756" s="24" t="s">
        <v>417</v>
      </c>
      <c r="C756" s="95">
        <v>42805.0</v>
      </c>
      <c r="D756" s="24" t="str">
        <f t="shared" si="3"/>
        <v>Mar-2017</v>
      </c>
      <c r="E756" s="24" t="s">
        <v>32</v>
      </c>
      <c r="F756" s="24" t="s">
        <v>273</v>
      </c>
      <c r="G756" s="23" t="s">
        <v>418</v>
      </c>
      <c r="H756" s="24" t="s">
        <v>102</v>
      </c>
      <c r="I756" s="24" t="s">
        <v>9</v>
      </c>
      <c r="J756" s="24" t="s">
        <v>24</v>
      </c>
      <c r="K756" s="24"/>
      <c r="L756" s="24" t="s">
        <v>106</v>
      </c>
    </row>
    <row r="757">
      <c r="A757" s="24">
        <f t="shared" si="1"/>
        <v>756</v>
      </c>
      <c r="B757" s="24" t="s">
        <v>417</v>
      </c>
      <c r="C757" s="95">
        <v>42805.0</v>
      </c>
      <c r="D757" s="24" t="str">
        <f t="shared" si="3"/>
        <v>Mar-2017</v>
      </c>
      <c r="E757" s="24" t="s">
        <v>20</v>
      </c>
      <c r="F757" s="24" t="s">
        <v>273</v>
      </c>
      <c r="G757" s="23" t="s">
        <v>371</v>
      </c>
      <c r="H757" s="24" t="s">
        <v>44</v>
      </c>
      <c r="I757" s="24" t="s">
        <v>9</v>
      </c>
      <c r="J757" s="24" t="s">
        <v>30</v>
      </c>
      <c r="K757" s="24" t="s">
        <v>30</v>
      </c>
      <c r="L757" s="24" t="s">
        <v>98</v>
      </c>
    </row>
    <row r="758">
      <c r="A758" s="24">
        <f t="shared" si="1"/>
        <v>757</v>
      </c>
      <c r="B758" s="24" t="s">
        <v>417</v>
      </c>
      <c r="C758" s="95">
        <v>42805.0</v>
      </c>
      <c r="D758" s="24" t="str">
        <f t="shared" si="3"/>
        <v>Mar-2017</v>
      </c>
      <c r="E758" s="24" t="s">
        <v>25</v>
      </c>
      <c r="F758" s="24" t="s">
        <v>273</v>
      </c>
      <c r="G758" s="23" t="s">
        <v>371</v>
      </c>
      <c r="H758" s="24" t="s">
        <v>44</v>
      </c>
      <c r="I758" s="24" t="s">
        <v>9</v>
      </c>
      <c r="J758" s="24" t="s">
        <v>30</v>
      </c>
      <c r="K758" s="24"/>
      <c r="L758" s="24" t="s">
        <v>69</v>
      </c>
    </row>
    <row r="759">
      <c r="A759" s="24">
        <f t="shared" si="1"/>
        <v>758</v>
      </c>
      <c r="B759" s="24" t="s">
        <v>417</v>
      </c>
      <c r="C759" s="95">
        <v>42805.0</v>
      </c>
      <c r="D759" s="24" t="str">
        <f t="shared" si="3"/>
        <v>Mar-2017</v>
      </c>
      <c r="E759" s="24" t="s">
        <v>20</v>
      </c>
      <c r="F759" s="24" t="s">
        <v>273</v>
      </c>
      <c r="G759" s="23" t="s">
        <v>420</v>
      </c>
      <c r="H759" s="24" t="s">
        <v>27</v>
      </c>
      <c r="I759" s="24" t="s">
        <v>9</v>
      </c>
      <c r="J759" s="24" t="s">
        <v>30</v>
      </c>
      <c r="K759" s="24" t="s">
        <v>30</v>
      </c>
      <c r="L759" s="24" t="s">
        <v>98</v>
      </c>
    </row>
    <row r="760">
      <c r="A760" s="24">
        <f t="shared" si="1"/>
        <v>759</v>
      </c>
      <c r="B760" s="24" t="s">
        <v>417</v>
      </c>
      <c r="C760" s="95">
        <v>42805.0</v>
      </c>
      <c r="D760" s="24" t="str">
        <f t="shared" si="3"/>
        <v>Mar-2017</v>
      </c>
      <c r="E760" s="24" t="s">
        <v>25</v>
      </c>
      <c r="F760" s="24" t="s">
        <v>273</v>
      </c>
      <c r="G760" s="23" t="s">
        <v>420</v>
      </c>
      <c r="H760" s="24" t="s">
        <v>27</v>
      </c>
      <c r="I760" s="24" t="s">
        <v>9</v>
      </c>
      <c r="J760" s="24" t="s">
        <v>30</v>
      </c>
      <c r="K760" s="24"/>
      <c r="L760" s="24" t="s">
        <v>106</v>
      </c>
    </row>
    <row r="761">
      <c r="A761" s="24">
        <f t="shared" si="1"/>
        <v>760</v>
      </c>
      <c r="B761" s="24" t="s">
        <v>417</v>
      </c>
      <c r="C761" s="95">
        <v>42805.0</v>
      </c>
      <c r="D761" s="24" t="str">
        <f t="shared" si="3"/>
        <v>Mar-2017</v>
      </c>
      <c r="E761" s="24" t="s">
        <v>20</v>
      </c>
      <c r="F761" s="24" t="s">
        <v>273</v>
      </c>
      <c r="G761" s="23" t="s">
        <v>421</v>
      </c>
      <c r="H761" s="24" t="s">
        <v>9</v>
      </c>
      <c r="I761" s="24" t="s">
        <v>9</v>
      </c>
      <c r="J761" s="24" t="s">
        <v>24</v>
      </c>
      <c r="K761" s="24" t="s">
        <v>24</v>
      </c>
      <c r="L761" s="24" t="s">
        <v>69</v>
      </c>
    </row>
    <row r="762">
      <c r="A762" s="24">
        <f t="shared" si="1"/>
        <v>761</v>
      </c>
      <c r="B762" s="24" t="s">
        <v>417</v>
      </c>
      <c r="C762" s="95">
        <v>42805.0</v>
      </c>
      <c r="D762" s="24" t="str">
        <f t="shared" si="3"/>
        <v>Mar-2017</v>
      </c>
      <c r="E762" s="24" t="s">
        <v>25</v>
      </c>
      <c r="F762" s="24" t="s">
        <v>273</v>
      </c>
      <c r="G762" s="23" t="s">
        <v>421</v>
      </c>
      <c r="H762" s="24" t="s">
        <v>9</v>
      </c>
      <c r="I762" s="24" t="s">
        <v>9</v>
      </c>
      <c r="J762" s="24" t="s">
        <v>24</v>
      </c>
      <c r="K762" s="24"/>
      <c r="L762" s="24" t="s">
        <v>98</v>
      </c>
    </row>
    <row r="763">
      <c r="A763" s="24">
        <f t="shared" si="1"/>
        <v>762</v>
      </c>
      <c r="B763" s="24" t="s">
        <v>417</v>
      </c>
      <c r="C763" s="95">
        <v>42805.0</v>
      </c>
      <c r="D763" s="24" t="str">
        <f t="shared" si="3"/>
        <v>Mar-2017</v>
      </c>
      <c r="E763" s="24" t="s">
        <v>20</v>
      </c>
      <c r="F763" s="24" t="s">
        <v>278</v>
      </c>
      <c r="G763" s="23" t="s">
        <v>422</v>
      </c>
      <c r="H763" s="24" t="s">
        <v>27</v>
      </c>
      <c r="I763" s="24" t="s">
        <v>9</v>
      </c>
      <c r="J763" s="24" t="s">
        <v>30</v>
      </c>
      <c r="K763" s="24" t="s">
        <v>24</v>
      </c>
      <c r="L763" s="24" t="s">
        <v>98</v>
      </c>
    </row>
    <row r="764">
      <c r="A764" s="24">
        <f t="shared" si="1"/>
        <v>763</v>
      </c>
      <c r="B764" s="24" t="s">
        <v>417</v>
      </c>
      <c r="C764" s="95">
        <v>42805.0</v>
      </c>
      <c r="D764" s="24" t="str">
        <f t="shared" si="3"/>
        <v>Mar-2017</v>
      </c>
      <c r="E764" s="24" t="s">
        <v>25</v>
      </c>
      <c r="F764" s="24" t="s">
        <v>278</v>
      </c>
      <c r="G764" s="23" t="s">
        <v>422</v>
      </c>
      <c r="H764" s="24" t="s">
        <v>27</v>
      </c>
      <c r="I764" s="24" t="s">
        <v>9</v>
      </c>
      <c r="J764" s="24" t="s">
        <v>24</v>
      </c>
      <c r="K764" s="24"/>
      <c r="L764" s="24" t="s">
        <v>69</v>
      </c>
    </row>
    <row r="765">
      <c r="A765" s="24">
        <f t="shared" si="1"/>
        <v>764</v>
      </c>
      <c r="B765" s="24" t="s">
        <v>417</v>
      </c>
      <c r="C765" s="95">
        <v>42805.0</v>
      </c>
      <c r="D765" s="24" t="str">
        <f t="shared" si="3"/>
        <v>Mar-2017</v>
      </c>
      <c r="E765" s="24" t="s">
        <v>32</v>
      </c>
      <c r="F765" s="24" t="s">
        <v>278</v>
      </c>
      <c r="G765" s="23" t="s">
        <v>422</v>
      </c>
      <c r="H765" s="24" t="s">
        <v>27</v>
      </c>
      <c r="I765" s="24" t="s">
        <v>9</v>
      </c>
      <c r="J765" s="24" t="s">
        <v>24</v>
      </c>
      <c r="K765" s="24"/>
      <c r="L765" s="24" t="s">
        <v>98</v>
      </c>
    </row>
    <row r="766">
      <c r="A766" s="24">
        <f t="shared" si="1"/>
        <v>765</v>
      </c>
      <c r="B766" s="24" t="s">
        <v>423</v>
      </c>
      <c r="C766" s="95">
        <v>42810.0</v>
      </c>
      <c r="D766" s="24" t="str">
        <f t="shared" si="3"/>
        <v>Mar-2017</v>
      </c>
      <c r="E766" s="24" t="s">
        <v>20</v>
      </c>
      <c r="F766" s="24" t="s">
        <v>35</v>
      </c>
      <c r="G766" s="23" t="s">
        <v>424</v>
      </c>
      <c r="H766" s="24" t="s">
        <v>27</v>
      </c>
      <c r="I766" s="24" t="s">
        <v>9</v>
      </c>
      <c r="J766" s="24" t="s">
        <v>24</v>
      </c>
      <c r="K766" s="24" t="s">
        <v>24</v>
      </c>
      <c r="L766" s="24" t="s">
        <v>37</v>
      </c>
    </row>
    <row r="767">
      <c r="A767" s="24">
        <f t="shared" si="1"/>
        <v>766</v>
      </c>
      <c r="B767" s="24" t="s">
        <v>423</v>
      </c>
      <c r="C767" s="95">
        <v>42810.0</v>
      </c>
      <c r="D767" s="24" t="str">
        <f t="shared" si="3"/>
        <v>Mar-2017</v>
      </c>
      <c r="E767" s="24" t="s">
        <v>25</v>
      </c>
      <c r="F767" s="24" t="s">
        <v>35</v>
      </c>
      <c r="G767" s="23" t="s">
        <v>424</v>
      </c>
      <c r="H767" s="24" t="s">
        <v>27</v>
      </c>
      <c r="I767" s="24" t="s">
        <v>9</v>
      </c>
      <c r="J767" s="24" t="s">
        <v>24</v>
      </c>
      <c r="K767" s="24"/>
      <c r="L767" s="24" t="s">
        <v>98</v>
      </c>
    </row>
    <row r="768">
      <c r="A768" s="24">
        <f t="shared" si="1"/>
        <v>767</v>
      </c>
      <c r="B768" s="24" t="s">
        <v>423</v>
      </c>
      <c r="C768" s="95">
        <v>42810.0</v>
      </c>
      <c r="D768" s="24" t="str">
        <f t="shared" si="3"/>
        <v>Mar-2017</v>
      </c>
      <c r="E768" s="24" t="s">
        <v>20</v>
      </c>
      <c r="F768" s="24" t="s">
        <v>35</v>
      </c>
      <c r="G768" s="23" t="s">
        <v>425</v>
      </c>
      <c r="H768" s="24" t="s">
        <v>71</v>
      </c>
      <c r="I768" s="24" t="s">
        <v>9</v>
      </c>
      <c r="J768" s="24" t="s">
        <v>24</v>
      </c>
      <c r="K768" s="24" t="s">
        <v>24</v>
      </c>
      <c r="L768" s="24" t="s">
        <v>99</v>
      </c>
    </row>
    <row r="769">
      <c r="A769" s="24">
        <f t="shared" si="1"/>
        <v>768</v>
      </c>
      <c r="B769" s="24" t="s">
        <v>423</v>
      </c>
      <c r="C769" s="95">
        <v>42810.0</v>
      </c>
      <c r="D769" s="24" t="str">
        <f t="shared" si="3"/>
        <v>Mar-2017</v>
      </c>
      <c r="E769" s="24" t="s">
        <v>25</v>
      </c>
      <c r="F769" s="24" t="s">
        <v>35</v>
      </c>
      <c r="G769" s="23" t="s">
        <v>425</v>
      </c>
      <c r="H769" s="24" t="s">
        <v>44</v>
      </c>
      <c r="I769" s="24" t="s">
        <v>9</v>
      </c>
      <c r="J769" s="24" t="s">
        <v>24</v>
      </c>
      <c r="K769" s="24"/>
      <c r="L769" s="24" t="s">
        <v>44</v>
      </c>
    </row>
    <row r="770">
      <c r="A770" s="24">
        <f t="shared" si="1"/>
        <v>769</v>
      </c>
      <c r="B770" s="24" t="s">
        <v>426</v>
      </c>
      <c r="C770" s="95">
        <v>42822.0</v>
      </c>
      <c r="D770" s="24" t="str">
        <f t="shared" si="3"/>
        <v>Mar-2017</v>
      </c>
      <c r="E770" s="24" t="s">
        <v>20</v>
      </c>
      <c r="F770" s="24" t="s">
        <v>35</v>
      </c>
      <c r="G770" s="23" t="s">
        <v>148</v>
      </c>
      <c r="H770" s="24" t="s">
        <v>27</v>
      </c>
      <c r="I770" s="24" t="s">
        <v>9</v>
      </c>
      <c r="J770" s="24" t="s">
        <v>30</v>
      </c>
      <c r="K770" s="24" t="s">
        <v>30</v>
      </c>
      <c r="L770" s="24" t="s">
        <v>69</v>
      </c>
    </row>
    <row r="771">
      <c r="A771" s="24">
        <f t="shared" si="1"/>
        <v>770</v>
      </c>
      <c r="B771" s="24" t="s">
        <v>426</v>
      </c>
      <c r="C771" s="95">
        <v>42822.0</v>
      </c>
      <c r="D771" s="24" t="str">
        <f t="shared" si="3"/>
        <v>Mar-2017</v>
      </c>
      <c r="E771" s="24" t="s">
        <v>25</v>
      </c>
      <c r="F771" s="24" t="s">
        <v>35</v>
      </c>
      <c r="G771" s="23" t="s">
        <v>148</v>
      </c>
      <c r="H771" s="24" t="s">
        <v>27</v>
      </c>
      <c r="I771" s="24" t="s">
        <v>9</v>
      </c>
      <c r="J771" s="24" t="s">
        <v>24</v>
      </c>
      <c r="K771" s="24"/>
      <c r="L771" s="24" t="s">
        <v>69</v>
      </c>
    </row>
    <row r="772">
      <c r="A772" s="24">
        <f t="shared" si="1"/>
        <v>771</v>
      </c>
      <c r="B772" s="24" t="s">
        <v>426</v>
      </c>
      <c r="C772" s="95">
        <v>42822.0</v>
      </c>
      <c r="D772" s="24" t="str">
        <f t="shared" si="3"/>
        <v>Mar-2017</v>
      </c>
      <c r="E772" s="24" t="s">
        <v>32</v>
      </c>
      <c r="F772" s="24" t="s">
        <v>35</v>
      </c>
      <c r="G772" s="23" t="s">
        <v>148</v>
      </c>
      <c r="H772" s="24" t="s">
        <v>27</v>
      </c>
      <c r="I772" s="24" t="s">
        <v>9</v>
      </c>
      <c r="J772" s="24" t="s">
        <v>30</v>
      </c>
      <c r="K772" s="24"/>
      <c r="L772" s="24" t="s">
        <v>37</v>
      </c>
    </row>
    <row r="773">
      <c r="A773" s="24">
        <f t="shared" si="1"/>
        <v>772</v>
      </c>
      <c r="B773" s="24" t="s">
        <v>426</v>
      </c>
      <c r="C773" s="95">
        <v>42822.0</v>
      </c>
      <c r="D773" s="24" t="str">
        <f t="shared" si="3"/>
        <v>Mar-2017</v>
      </c>
      <c r="E773" s="24" t="s">
        <v>20</v>
      </c>
      <c r="F773" s="24" t="s">
        <v>35</v>
      </c>
      <c r="G773" s="23" t="s">
        <v>142</v>
      </c>
      <c r="H773" s="24" t="s">
        <v>44</v>
      </c>
      <c r="I773" s="24" t="s">
        <v>9</v>
      </c>
      <c r="J773" s="24" t="s">
        <v>24</v>
      </c>
      <c r="K773" s="24" t="s">
        <v>24</v>
      </c>
      <c r="L773" s="24" t="s">
        <v>98</v>
      </c>
    </row>
    <row r="774">
      <c r="A774" s="24">
        <f t="shared" si="1"/>
        <v>773</v>
      </c>
      <c r="B774" s="24" t="s">
        <v>426</v>
      </c>
      <c r="C774" s="95">
        <v>42822.0</v>
      </c>
      <c r="D774" s="24" t="str">
        <f t="shared" si="3"/>
        <v>Mar-2017</v>
      </c>
      <c r="E774" s="24" t="s">
        <v>25</v>
      </c>
      <c r="F774" s="24" t="s">
        <v>35</v>
      </c>
      <c r="G774" s="23" t="s">
        <v>142</v>
      </c>
      <c r="H774" s="24" t="s">
        <v>44</v>
      </c>
      <c r="I774" s="24" t="s">
        <v>9</v>
      </c>
      <c r="J774" s="24" t="s">
        <v>24</v>
      </c>
      <c r="K774" s="24"/>
      <c r="L774" s="24" t="s">
        <v>98</v>
      </c>
    </row>
    <row r="775">
      <c r="A775" s="24">
        <f t="shared" si="1"/>
        <v>774</v>
      </c>
      <c r="B775" s="24" t="s">
        <v>426</v>
      </c>
      <c r="C775" s="95">
        <v>42822.0</v>
      </c>
      <c r="D775" s="24" t="str">
        <f t="shared" si="3"/>
        <v>Mar-2017</v>
      </c>
      <c r="E775" s="24" t="s">
        <v>20</v>
      </c>
      <c r="F775" s="24" t="s">
        <v>35</v>
      </c>
      <c r="G775" s="23" t="s">
        <v>302</v>
      </c>
      <c r="H775" s="24" t="s">
        <v>27</v>
      </c>
      <c r="I775" s="24" t="s">
        <v>9</v>
      </c>
      <c r="J775" s="24" t="s">
        <v>30</v>
      </c>
      <c r="K775" s="24" t="s">
        <v>30</v>
      </c>
      <c r="L775" s="24" t="s">
        <v>69</v>
      </c>
    </row>
    <row r="776">
      <c r="A776" s="24">
        <f t="shared" si="1"/>
        <v>775</v>
      </c>
      <c r="B776" s="24" t="s">
        <v>426</v>
      </c>
      <c r="C776" s="95">
        <v>42822.0</v>
      </c>
      <c r="D776" s="24" t="str">
        <f t="shared" si="3"/>
        <v>Mar-2017</v>
      </c>
      <c r="E776" s="24" t="s">
        <v>25</v>
      </c>
      <c r="F776" s="24" t="s">
        <v>35</v>
      </c>
      <c r="G776" s="23" t="s">
        <v>302</v>
      </c>
      <c r="H776" s="24" t="s">
        <v>27</v>
      </c>
      <c r="I776" s="24" t="s">
        <v>9</v>
      </c>
      <c r="J776" s="24" t="s">
        <v>24</v>
      </c>
      <c r="K776" s="24"/>
      <c r="L776" s="24" t="s">
        <v>37</v>
      </c>
    </row>
    <row r="777">
      <c r="A777" s="24">
        <f t="shared" si="1"/>
        <v>776</v>
      </c>
      <c r="B777" s="24" t="s">
        <v>426</v>
      </c>
      <c r="C777" s="95">
        <v>42822.0</v>
      </c>
      <c r="D777" s="24" t="str">
        <f t="shared" si="3"/>
        <v>Mar-2017</v>
      </c>
      <c r="E777" s="24" t="s">
        <v>32</v>
      </c>
      <c r="F777" s="24" t="s">
        <v>35</v>
      </c>
      <c r="G777" s="23" t="s">
        <v>302</v>
      </c>
      <c r="H777" s="24" t="s">
        <v>27</v>
      </c>
      <c r="I777" s="24" t="s">
        <v>9</v>
      </c>
      <c r="J777" s="24" t="s">
        <v>30</v>
      </c>
      <c r="K777" s="24"/>
      <c r="L777" s="24" t="s">
        <v>98</v>
      </c>
    </row>
    <row r="778">
      <c r="A778" s="24">
        <f t="shared" si="1"/>
        <v>777</v>
      </c>
      <c r="B778" s="24" t="s">
        <v>426</v>
      </c>
      <c r="C778" s="95">
        <v>42822.0</v>
      </c>
      <c r="D778" s="24" t="str">
        <f t="shared" si="3"/>
        <v>Mar-2017</v>
      </c>
      <c r="E778" s="24" t="s">
        <v>20</v>
      </c>
      <c r="F778" s="24" t="s">
        <v>35</v>
      </c>
      <c r="G778" s="23" t="s">
        <v>218</v>
      </c>
      <c r="H778" s="24" t="s">
        <v>86</v>
      </c>
      <c r="I778" s="24" t="s">
        <v>9</v>
      </c>
      <c r="J778" s="24" t="s">
        <v>24</v>
      </c>
      <c r="K778" s="24" t="s">
        <v>24</v>
      </c>
      <c r="L778" s="24" t="s">
        <v>99</v>
      </c>
    </row>
    <row r="779">
      <c r="A779" s="24">
        <f t="shared" si="1"/>
        <v>778</v>
      </c>
      <c r="B779" s="24" t="s">
        <v>426</v>
      </c>
      <c r="C779" s="95">
        <v>42822.0</v>
      </c>
      <c r="D779" s="24" t="str">
        <f t="shared" si="3"/>
        <v>Mar-2017</v>
      </c>
      <c r="E779" s="24" t="s">
        <v>25</v>
      </c>
      <c r="F779" s="24" t="s">
        <v>35</v>
      </c>
      <c r="G779" s="23" t="s">
        <v>218</v>
      </c>
      <c r="H779" s="24" t="s">
        <v>86</v>
      </c>
      <c r="I779" s="24" t="s">
        <v>9</v>
      </c>
      <c r="J779" s="24" t="s">
        <v>24</v>
      </c>
      <c r="K779" s="24"/>
      <c r="L779" s="24" t="s">
        <v>69</v>
      </c>
    </row>
    <row r="780">
      <c r="A780" s="24">
        <f t="shared" si="1"/>
        <v>779</v>
      </c>
      <c r="B780" s="24" t="s">
        <v>429</v>
      </c>
      <c r="C780" s="95">
        <v>42825.0</v>
      </c>
      <c r="D780" s="24" t="str">
        <f t="shared" si="3"/>
        <v>Mar-2017</v>
      </c>
      <c r="E780" s="24" t="s">
        <v>20</v>
      </c>
      <c r="F780" s="24" t="s">
        <v>35</v>
      </c>
      <c r="G780" s="23" t="s">
        <v>111</v>
      </c>
      <c r="H780" s="24" t="s">
        <v>216</v>
      </c>
      <c r="I780" s="24" t="s">
        <v>9</v>
      </c>
      <c r="J780" s="24" t="s">
        <v>24</v>
      </c>
      <c r="K780" s="24" t="s">
        <v>24</v>
      </c>
      <c r="L780" s="24" t="s">
        <v>98</v>
      </c>
    </row>
    <row r="781">
      <c r="A781" s="24">
        <f t="shared" si="1"/>
        <v>780</v>
      </c>
      <c r="B781" s="24" t="s">
        <v>429</v>
      </c>
      <c r="C781" s="95">
        <v>42825.0</v>
      </c>
      <c r="D781" s="24" t="str">
        <f t="shared" si="3"/>
        <v>Mar-2017</v>
      </c>
      <c r="E781" s="24" t="s">
        <v>25</v>
      </c>
      <c r="F781" s="24" t="s">
        <v>35</v>
      </c>
      <c r="G781" s="23" t="s">
        <v>111</v>
      </c>
      <c r="H781" s="24" t="s">
        <v>216</v>
      </c>
      <c r="I781" s="24" t="s">
        <v>9</v>
      </c>
      <c r="J781" s="24" t="s">
        <v>24</v>
      </c>
      <c r="K781" s="24"/>
      <c r="L781" s="24" t="s">
        <v>98</v>
      </c>
    </row>
    <row r="782">
      <c r="A782" s="24">
        <f t="shared" si="1"/>
        <v>781</v>
      </c>
      <c r="B782" s="24" t="s">
        <v>429</v>
      </c>
      <c r="C782" s="95">
        <v>42825.0</v>
      </c>
      <c r="D782" s="24" t="str">
        <f t="shared" si="3"/>
        <v>Mar-2017</v>
      </c>
      <c r="E782" s="24" t="s">
        <v>20</v>
      </c>
      <c r="F782" s="24" t="s">
        <v>35</v>
      </c>
      <c r="G782" s="23" t="s">
        <v>430</v>
      </c>
      <c r="H782" s="24" t="s">
        <v>86</v>
      </c>
      <c r="I782" s="24" t="s">
        <v>9</v>
      </c>
      <c r="J782" s="24" t="s">
        <v>30</v>
      </c>
      <c r="K782" s="24" t="s">
        <v>30</v>
      </c>
      <c r="L782" s="24" t="s">
        <v>69</v>
      </c>
    </row>
    <row r="783">
      <c r="A783" s="24">
        <f t="shared" si="1"/>
        <v>782</v>
      </c>
      <c r="B783" s="24" t="s">
        <v>429</v>
      </c>
      <c r="C783" s="95">
        <v>42825.0</v>
      </c>
      <c r="D783" s="24" t="str">
        <f t="shared" si="3"/>
        <v>Mar-2017</v>
      </c>
      <c r="E783" s="24" t="s">
        <v>25</v>
      </c>
      <c r="F783" s="24" t="s">
        <v>35</v>
      </c>
      <c r="G783" s="23" t="s">
        <v>430</v>
      </c>
      <c r="H783" s="24" t="s">
        <v>86</v>
      </c>
      <c r="I783" s="24" t="s">
        <v>9</v>
      </c>
      <c r="J783" s="24" t="s">
        <v>30</v>
      </c>
      <c r="K783" s="24"/>
      <c r="L783" s="24" t="s">
        <v>29</v>
      </c>
    </row>
    <row r="784">
      <c r="A784" s="24">
        <f t="shared" si="1"/>
        <v>783</v>
      </c>
      <c r="B784" s="24" t="s">
        <v>429</v>
      </c>
      <c r="C784" s="95">
        <v>42825.0</v>
      </c>
      <c r="D784" s="24" t="str">
        <f t="shared" si="3"/>
        <v>Mar-2017</v>
      </c>
      <c r="E784" s="24" t="s">
        <v>20</v>
      </c>
      <c r="F784" s="24" t="s">
        <v>35</v>
      </c>
      <c r="G784" s="23" t="s">
        <v>399</v>
      </c>
      <c r="H784" s="24" t="s">
        <v>9</v>
      </c>
      <c r="I784" s="24" t="s">
        <v>9</v>
      </c>
      <c r="J784" s="24" t="s">
        <v>30</v>
      </c>
      <c r="K784" s="24" t="s">
        <v>30</v>
      </c>
      <c r="L784" s="24" t="s">
        <v>99</v>
      </c>
    </row>
    <row r="785">
      <c r="A785" s="24">
        <f t="shared" si="1"/>
        <v>784</v>
      </c>
      <c r="B785" s="24" t="s">
        <v>429</v>
      </c>
      <c r="C785" s="95">
        <v>42825.0</v>
      </c>
      <c r="D785" s="24" t="str">
        <f t="shared" si="3"/>
        <v>Mar-2017</v>
      </c>
      <c r="E785" s="24" t="s">
        <v>25</v>
      </c>
      <c r="F785" s="24" t="s">
        <v>35</v>
      </c>
      <c r="G785" s="23" t="s">
        <v>399</v>
      </c>
      <c r="H785" s="24" t="s">
        <v>44</v>
      </c>
      <c r="I785" s="24" t="s">
        <v>9</v>
      </c>
      <c r="J785" s="24" t="s">
        <v>30</v>
      </c>
      <c r="K785" s="24"/>
      <c r="L785" s="24" t="s">
        <v>106</v>
      </c>
    </row>
    <row r="786">
      <c r="A786" s="24">
        <f t="shared" si="1"/>
        <v>785</v>
      </c>
      <c r="B786" s="24" t="s">
        <v>429</v>
      </c>
      <c r="C786" s="95">
        <v>42825.0</v>
      </c>
      <c r="D786" s="24" t="str">
        <f t="shared" si="3"/>
        <v>Mar-2017</v>
      </c>
      <c r="E786" s="24" t="s">
        <v>20</v>
      </c>
      <c r="F786" s="24" t="s">
        <v>35</v>
      </c>
      <c r="G786" s="23" t="s">
        <v>431</v>
      </c>
      <c r="H786" s="24" t="s">
        <v>23</v>
      </c>
      <c r="I786" s="24" t="s">
        <v>9</v>
      </c>
      <c r="J786" s="24" t="s">
        <v>30</v>
      </c>
      <c r="K786" s="24" t="s">
        <v>30</v>
      </c>
      <c r="L786" s="24" t="s">
        <v>98</v>
      </c>
    </row>
    <row r="787">
      <c r="A787" s="24">
        <f t="shared" si="1"/>
        <v>786</v>
      </c>
      <c r="B787" s="24" t="s">
        <v>429</v>
      </c>
      <c r="C787" s="95">
        <v>42825.0</v>
      </c>
      <c r="D787" s="24" t="str">
        <f t="shared" si="3"/>
        <v>Mar-2017</v>
      </c>
      <c r="E787" s="24" t="s">
        <v>25</v>
      </c>
      <c r="F787" s="24" t="s">
        <v>35</v>
      </c>
      <c r="G787" s="23" t="s">
        <v>431</v>
      </c>
      <c r="H787" s="24" t="s">
        <v>23</v>
      </c>
      <c r="I787" s="24" t="s">
        <v>9</v>
      </c>
      <c r="J787" s="24" t="s">
        <v>30</v>
      </c>
      <c r="K787" s="24"/>
      <c r="L787" s="24" t="s">
        <v>98</v>
      </c>
    </row>
    <row r="788">
      <c r="A788" s="24">
        <f t="shared" si="1"/>
        <v>787</v>
      </c>
      <c r="B788" s="24" t="s">
        <v>429</v>
      </c>
      <c r="C788" s="95">
        <v>42825.0</v>
      </c>
      <c r="D788" s="24" t="str">
        <f t="shared" si="3"/>
        <v>Mar-2017</v>
      </c>
      <c r="E788" s="24" t="s">
        <v>20</v>
      </c>
      <c r="F788" s="24" t="s">
        <v>35</v>
      </c>
      <c r="G788" s="23" t="s">
        <v>111</v>
      </c>
      <c r="H788" s="24" t="s">
        <v>216</v>
      </c>
      <c r="I788" s="24" t="s">
        <v>9</v>
      </c>
      <c r="J788" s="24" t="s">
        <v>24</v>
      </c>
      <c r="K788" s="24" t="s">
        <v>24</v>
      </c>
      <c r="L788" s="24" t="s">
        <v>98</v>
      </c>
    </row>
    <row r="789">
      <c r="A789" s="24">
        <f t="shared" si="1"/>
        <v>788</v>
      </c>
      <c r="B789" s="24" t="s">
        <v>429</v>
      </c>
      <c r="C789" s="95">
        <v>42825.0</v>
      </c>
      <c r="D789" s="24" t="str">
        <f t="shared" si="3"/>
        <v>Mar-2017</v>
      </c>
      <c r="E789" s="24" t="s">
        <v>25</v>
      </c>
      <c r="F789" s="24" t="s">
        <v>35</v>
      </c>
      <c r="G789" s="23" t="s">
        <v>111</v>
      </c>
      <c r="H789" s="24" t="s">
        <v>216</v>
      </c>
      <c r="I789" s="24" t="s">
        <v>9</v>
      </c>
      <c r="J789" s="24" t="s">
        <v>24</v>
      </c>
      <c r="K789" s="24"/>
      <c r="L789" s="24" t="s">
        <v>98</v>
      </c>
    </row>
    <row r="790">
      <c r="A790" s="24">
        <f t="shared" si="1"/>
        <v>789</v>
      </c>
      <c r="B790" s="24" t="s">
        <v>432</v>
      </c>
      <c r="C790" s="95">
        <v>42827.0</v>
      </c>
      <c r="D790" s="24" t="str">
        <f t="shared" si="3"/>
        <v>Apr-2017</v>
      </c>
      <c r="E790" s="24" t="s">
        <v>20</v>
      </c>
      <c r="F790" s="24" t="s">
        <v>35</v>
      </c>
      <c r="G790" s="23" t="s">
        <v>391</v>
      </c>
      <c r="H790" s="24" t="s">
        <v>27</v>
      </c>
      <c r="I790" s="24" t="s">
        <v>9</v>
      </c>
      <c r="J790" s="24" t="s">
        <v>30</v>
      </c>
      <c r="K790" s="24" t="s">
        <v>30</v>
      </c>
      <c r="L790" s="24" t="s">
        <v>37</v>
      </c>
    </row>
    <row r="791">
      <c r="A791" s="24">
        <f t="shared" si="1"/>
        <v>790</v>
      </c>
      <c r="B791" s="24" t="s">
        <v>432</v>
      </c>
      <c r="C791" s="95">
        <v>42827.0</v>
      </c>
      <c r="D791" s="24" t="str">
        <f t="shared" si="3"/>
        <v>Apr-2017</v>
      </c>
      <c r="E791" s="24" t="s">
        <v>25</v>
      </c>
      <c r="F791" s="24" t="s">
        <v>35</v>
      </c>
      <c r="G791" s="23" t="s">
        <v>391</v>
      </c>
      <c r="H791" s="24" t="s">
        <v>27</v>
      </c>
      <c r="I791" s="24" t="s">
        <v>9</v>
      </c>
      <c r="J791" s="24" t="s">
        <v>30</v>
      </c>
      <c r="K791" s="24"/>
      <c r="L791" s="24" t="s">
        <v>106</v>
      </c>
    </row>
    <row r="792">
      <c r="A792" s="24">
        <f t="shared" si="1"/>
        <v>791</v>
      </c>
      <c r="B792" s="24" t="s">
        <v>432</v>
      </c>
      <c r="C792" s="95">
        <v>42827.0</v>
      </c>
      <c r="D792" s="24" t="str">
        <f t="shared" si="3"/>
        <v>Apr-2017</v>
      </c>
      <c r="E792" s="24" t="s">
        <v>20</v>
      </c>
      <c r="F792" s="24" t="s">
        <v>35</v>
      </c>
      <c r="G792" s="23" t="s">
        <v>194</v>
      </c>
      <c r="H792" s="24" t="s">
        <v>23</v>
      </c>
      <c r="I792" s="24" t="s">
        <v>9</v>
      </c>
      <c r="J792" s="24" t="s">
        <v>24</v>
      </c>
      <c r="K792" s="24" t="s">
        <v>24</v>
      </c>
      <c r="L792" s="24" t="s">
        <v>98</v>
      </c>
    </row>
    <row r="793">
      <c r="A793" s="24">
        <f t="shared" si="1"/>
        <v>792</v>
      </c>
      <c r="B793" s="24" t="s">
        <v>432</v>
      </c>
      <c r="C793" s="95">
        <v>42827.0</v>
      </c>
      <c r="D793" s="24" t="str">
        <f t="shared" si="3"/>
        <v>Apr-2017</v>
      </c>
      <c r="E793" s="24" t="s">
        <v>25</v>
      </c>
      <c r="F793" s="24" t="s">
        <v>35</v>
      </c>
      <c r="G793" s="23" t="s">
        <v>194</v>
      </c>
      <c r="H793" s="24" t="s">
        <v>23</v>
      </c>
      <c r="I793" s="24" t="s">
        <v>9</v>
      </c>
      <c r="J793" s="24" t="s">
        <v>24</v>
      </c>
      <c r="K793" s="24"/>
      <c r="L793" s="24" t="s">
        <v>69</v>
      </c>
    </row>
    <row r="794">
      <c r="A794" s="24">
        <f t="shared" si="1"/>
        <v>793</v>
      </c>
      <c r="B794" s="24" t="s">
        <v>432</v>
      </c>
      <c r="C794" s="95">
        <v>42827.0</v>
      </c>
      <c r="D794" s="24" t="str">
        <f t="shared" si="3"/>
        <v>Apr-2017</v>
      </c>
      <c r="E794" s="24" t="s">
        <v>20</v>
      </c>
      <c r="F794" s="24" t="s">
        <v>35</v>
      </c>
      <c r="G794" s="23" t="s">
        <v>435</v>
      </c>
      <c r="H794" s="24" t="s">
        <v>9</v>
      </c>
      <c r="I794" s="24" t="s">
        <v>9</v>
      </c>
      <c r="J794" s="24" t="s">
        <v>24</v>
      </c>
      <c r="K794" s="24" t="s">
        <v>24</v>
      </c>
      <c r="L794" s="24" t="s">
        <v>37</v>
      </c>
    </row>
    <row r="795">
      <c r="A795" s="24">
        <f t="shared" si="1"/>
        <v>794</v>
      </c>
      <c r="B795" s="24" t="s">
        <v>432</v>
      </c>
      <c r="C795" s="95">
        <v>42827.0</v>
      </c>
      <c r="D795" s="24" t="str">
        <f t="shared" si="3"/>
        <v>Apr-2017</v>
      </c>
      <c r="E795" s="24" t="s">
        <v>25</v>
      </c>
      <c r="F795" s="24" t="s">
        <v>35</v>
      </c>
      <c r="G795" s="23" t="s">
        <v>435</v>
      </c>
      <c r="H795" s="24" t="s">
        <v>9</v>
      </c>
      <c r="I795" s="24" t="s">
        <v>9</v>
      </c>
      <c r="J795" s="24" t="s">
        <v>24</v>
      </c>
      <c r="K795" s="24"/>
      <c r="L795" s="24" t="s">
        <v>29</v>
      </c>
    </row>
    <row r="796">
      <c r="A796" s="24">
        <f t="shared" si="1"/>
        <v>795</v>
      </c>
      <c r="B796" s="24" t="s">
        <v>436</v>
      </c>
      <c r="C796" s="95">
        <v>42838.0</v>
      </c>
      <c r="D796" s="24" t="str">
        <f t="shared" si="3"/>
        <v>Apr-2017</v>
      </c>
      <c r="E796" s="24" t="s">
        <v>20</v>
      </c>
      <c r="F796" s="24" t="s">
        <v>35</v>
      </c>
      <c r="G796" s="23" t="s">
        <v>340</v>
      </c>
      <c r="H796" s="24" t="s">
        <v>23</v>
      </c>
      <c r="I796" s="24" t="s">
        <v>9</v>
      </c>
      <c r="J796" s="24" t="s">
        <v>30</v>
      </c>
      <c r="K796" s="24" t="s">
        <v>30</v>
      </c>
      <c r="L796" s="24" t="s">
        <v>69</v>
      </c>
    </row>
    <row r="797">
      <c r="A797" s="24">
        <f t="shared" si="1"/>
        <v>796</v>
      </c>
      <c r="B797" s="24" t="s">
        <v>436</v>
      </c>
      <c r="C797" s="95">
        <v>42838.0</v>
      </c>
      <c r="D797" s="24" t="str">
        <f t="shared" si="3"/>
        <v>Apr-2017</v>
      </c>
      <c r="E797" s="24" t="s">
        <v>25</v>
      </c>
      <c r="F797" s="24" t="s">
        <v>35</v>
      </c>
      <c r="G797" s="23" t="s">
        <v>340</v>
      </c>
      <c r="H797" s="24" t="s">
        <v>40</v>
      </c>
      <c r="I797" s="24" t="s">
        <v>9</v>
      </c>
      <c r="J797" s="24" t="s">
        <v>30</v>
      </c>
      <c r="K797" s="24"/>
      <c r="L797" s="24" t="s">
        <v>29</v>
      </c>
    </row>
    <row r="798">
      <c r="A798" s="24">
        <f t="shared" si="1"/>
        <v>797</v>
      </c>
      <c r="B798" s="24" t="s">
        <v>436</v>
      </c>
      <c r="C798" s="95">
        <v>42838.0</v>
      </c>
      <c r="D798" s="24" t="str">
        <f t="shared" si="3"/>
        <v>Apr-2017</v>
      </c>
      <c r="E798" s="24" t="s">
        <v>20</v>
      </c>
      <c r="F798" s="24" t="s">
        <v>35</v>
      </c>
      <c r="G798" s="23" t="s">
        <v>111</v>
      </c>
      <c r="H798" s="24" t="s">
        <v>216</v>
      </c>
      <c r="I798" s="24" t="s">
        <v>9</v>
      </c>
      <c r="J798" s="24" t="s">
        <v>24</v>
      </c>
      <c r="K798" s="24" t="s">
        <v>24</v>
      </c>
      <c r="L798" s="24" t="s">
        <v>98</v>
      </c>
    </row>
    <row r="799">
      <c r="A799" s="24">
        <f t="shared" si="1"/>
        <v>798</v>
      </c>
      <c r="B799" s="24" t="s">
        <v>436</v>
      </c>
      <c r="C799" s="95">
        <v>42838.0</v>
      </c>
      <c r="D799" s="24" t="str">
        <f t="shared" si="3"/>
        <v>Apr-2017</v>
      </c>
      <c r="E799" s="24" t="s">
        <v>25</v>
      </c>
      <c r="F799" s="24" t="s">
        <v>35</v>
      </c>
      <c r="G799" s="23" t="s">
        <v>111</v>
      </c>
      <c r="H799" s="24" t="s">
        <v>216</v>
      </c>
      <c r="I799" s="24" t="s">
        <v>9</v>
      </c>
      <c r="J799" s="24" t="s">
        <v>24</v>
      </c>
      <c r="K799" s="24"/>
      <c r="L799" s="24" t="s">
        <v>106</v>
      </c>
    </row>
    <row r="800">
      <c r="A800" s="24">
        <f t="shared" si="1"/>
        <v>799</v>
      </c>
      <c r="B800" s="24" t="s">
        <v>436</v>
      </c>
      <c r="C800" s="95">
        <v>42838.0</v>
      </c>
      <c r="D800" s="24" t="str">
        <f t="shared" si="3"/>
        <v>Apr-2017</v>
      </c>
      <c r="E800" s="24" t="s">
        <v>20</v>
      </c>
      <c r="F800" s="24" t="s">
        <v>35</v>
      </c>
      <c r="G800" s="23" t="s">
        <v>399</v>
      </c>
      <c r="H800" s="24" t="s">
        <v>9</v>
      </c>
      <c r="I800" s="24" t="s">
        <v>9</v>
      </c>
      <c r="J800" s="24" t="s">
        <v>30</v>
      </c>
      <c r="K800" s="24" t="s">
        <v>30</v>
      </c>
      <c r="L800" s="24" t="s">
        <v>98</v>
      </c>
    </row>
    <row r="801">
      <c r="A801" s="24">
        <f t="shared" si="1"/>
        <v>800</v>
      </c>
      <c r="B801" s="24" t="s">
        <v>436</v>
      </c>
      <c r="C801" s="95">
        <v>42838.0</v>
      </c>
      <c r="D801" s="24" t="str">
        <f t="shared" si="3"/>
        <v>Apr-2017</v>
      </c>
      <c r="E801" s="24" t="s">
        <v>25</v>
      </c>
      <c r="F801" s="24" t="s">
        <v>35</v>
      </c>
      <c r="G801" s="23" t="s">
        <v>399</v>
      </c>
      <c r="H801" s="24" t="s">
        <v>27</v>
      </c>
      <c r="I801" s="24" t="s">
        <v>9</v>
      </c>
      <c r="J801" s="24" t="s">
        <v>30</v>
      </c>
      <c r="K801" s="24"/>
      <c r="L801" s="24" t="s">
        <v>69</v>
      </c>
    </row>
    <row r="802">
      <c r="A802" s="24">
        <f t="shared" si="1"/>
        <v>801</v>
      </c>
      <c r="B802" s="24" t="s">
        <v>436</v>
      </c>
      <c r="C802" s="95">
        <v>42838.0</v>
      </c>
      <c r="D802" s="24" t="str">
        <f t="shared" si="3"/>
        <v>Apr-2017</v>
      </c>
      <c r="E802" s="24" t="s">
        <v>20</v>
      </c>
      <c r="F802" s="24" t="s">
        <v>35</v>
      </c>
      <c r="G802" s="23" t="s">
        <v>437</v>
      </c>
      <c r="H802" s="24" t="s">
        <v>9</v>
      </c>
      <c r="I802" s="24" t="s">
        <v>9</v>
      </c>
      <c r="J802" s="24" t="s">
        <v>30</v>
      </c>
      <c r="K802" s="24" t="s">
        <v>30</v>
      </c>
      <c r="L802" s="24" t="s">
        <v>98</v>
      </c>
    </row>
    <row r="803">
      <c r="A803" s="24">
        <f t="shared" si="1"/>
        <v>802</v>
      </c>
      <c r="B803" s="24" t="s">
        <v>436</v>
      </c>
      <c r="C803" s="95">
        <v>42838.0</v>
      </c>
      <c r="D803" s="24" t="str">
        <f t="shared" si="3"/>
        <v>Apr-2017</v>
      </c>
      <c r="E803" s="24" t="s">
        <v>25</v>
      </c>
      <c r="F803" s="24" t="s">
        <v>35</v>
      </c>
      <c r="G803" s="23" t="s">
        <v>437</v>
      </c>
      <c r="H803" s="24" t="s">
        <v>9</v>
      </c>
      <c r="I803" s="24" t="s">
        <v>9</v>
      </c>
      <c r="J803" s="24" t="s">
        <v>30</v>
      </c>
      <c r="K803" s="24"/>
      <c r="L803" s="24" t="s">
        <v>106</v>
      </c>
    </row>
    <row r="804">
      <c r="A804" s="24">
        <f t="shared" si="1"/>
        <v>803</v>
      </c>
      <c r="B804" s="24" t="s">
        <v>436</v>
      </c>
      <c r="C804" s="95">
        <v>42838.0</v>
      </c>
      <c r="D804" s="24" t="str">
        <f t="shared" si="3"/>
        <v>Apr-2017</v>
      </c>
      <c r="E804" s="24" t="s">
        <v>20</v>
      </c>
      <c r="F804" s="24" t="s">
        <v>35</v>
      </c>
      <c r="G804" s="23" t="s">
        <v>393</v>
      </c>
      <c r="H804" s="24" t="s">
        <v>102</v>
      </c>
      <c r="I804" s="24" t="s">
        <v>9</v>
      </c>
      <c r="J804" s="24" t="s">
        <v>30</v>
      </c>
      <c r="K804" s="24" t="s">
        <v>30</v>
      </c>
      <c r="L804" s="24" t="s">
        <v>98</v>
      </c>
    </row>
    <row r="805">
      <c r="A805" s="24">
        <f t="shared" si="1"/>
        <v>804</v>
      </c>
      <c r="B805" s="24" t="s">
        <v>436</v>
      </c>
      <c r="C805" s="95">
        <v>42838.0</v>
      </c>
      <c r="D805" s="24" t="str">
        <f t="shared" si="3"/>
        <v>Apr-2017</v>
      </c>
      <c r="E805" s="24" t="s">
        <v>25</v>
      </c>
      <c r="F805" s="24" t="s">
        <v>35</v>
      </c>
      <c r="G805" s="23" t="s">
        <v>393</v>
      </c>
      <c r="H805" s="24" t="s">
        <v>102</v>
      </c>
      <c r="I805" s="24" t="s">
        <v>9</v>
      </c>
      <c r="J805" s="24" t="s">
        <v>30</v>
      </c>
      <c r="K805" s="24"/>
      <c r="L805" s="24" t="s">
        <v>98</v>
      </c>
    </row>
    <row r="806">
      <c r="A806" s="24">
        <f t="shared" si="1"/>
        <v>805</v>
      </c>
      <c r="B806" s="24" t="s">
        <v>436</v>
      </c>
      <c r="C806" s="95">
        <v>42838.0</v>
      </c>
      <c r="D806" s="24" t="str">
        <f t="shared" si="3"/>
        <v>Apr-2017</v>
      </c>
      <c r="E806" s="24" t="s">
        <v>20</v>
      </c>
      <c r="F806" s="24" t="s">
        <v>35</v>
      </c>
      <c r="G806" s="23" t="s">
        <v>148</v>
      </c>
      <c r="H806" s="24" t="s">
        <v>27</v>
      </c>
      <c r="I806" s="24" t="s">
        <v>9</v>
      </c>
      <c r="J806" s="24" t="s">
        <v>30</v>
      </c>
      <c r="K806" s="24" t="s">
        <v>24</v>
      </c>
      <c r="L806" s="24" t="s">
        <v>69</v>
      </c>
    </row>
    <row r="807">
      <c r="A807" s="24">
        <f t="shared" si="1"/>
        <v>806</v>
      </c>
      <c r="B807" s="24" t="s">
        <v>436</v>
      </c>
      <c r="C807" s="95">
        <v>42838.0</v>
      </c>
      <c r="D807" s="24" t="str">
        <f t="shared" si="3"/>
        <v>Apr-2017</v>
      </c>
      <c r="E807" s="24" t="s">
        <v>25</v>
      </c>
      <c r="F807" s="24" t="s">
        <v>35</v>
      </c>
      <c r="G807" s="23" t="s">
        <v>148</v>
      </c>
      <c r="H807" s="24" t="s">
        <v>27</v>
      </c>
      <c r="I807" s="24" t="s">
        <v>9</v>
      </c>
      <c r="J807" s="24" t="s">
        <v>24</v>
      </c>
      <c r="K807" s="24"/>
      <c r="L807" s="24" t="s">
        <v>37</v>
      </c>
    </row>
    <row r="808">
      <c r="A808" s="24">
        <f t="shared" si="1"/>
        <v>807</v>
      </c>
      <c r="B808" s="24" t="s">
        <v>436</v>
      </c>
      <c r="C808" s="95">
        <v>42838.0</v>
      </c>
      <c r="D808" s="24" t="str">
        <f t="shared" si="3"/>
        <v>Apr-2017</v>
      </c>
      <c r="E808" s="24" t="s">
        <v>32</v>
      </c>
      <c r="F808" s="24" t="s">
        <v>35</v>
      </c>
      <c r="G808" s="23" t="s">
        <v>148</v>
      </c>
      <c r="H808" s="24" t="s">
        <v>27</v>
      </c>
      <c r="I808" s="24" t="s">
        <v>9</v>
      </c>
      <c r="J808" s="24" t="s">
        <v>24</v>
      </c>
      <c r="K808" s="24"/>
      <c r="L808" s="24" t="s">
        <v>98</v>
      </c>
    </row>
    <row r="809">
      <c r="A809" s="24">
        <f t="shared" si="1"/>
        <v>808</v>
      </c>
      <c r="B809" s="24" t="s">
        <v>438</v>
      </c>
      <c r="C809" s="275">
        <v>42847.0</v>
      </c>
      <c r="D809" s="24" t="str">
        <f t="shared" si="3"/>
        <v>Apr-2017</v>
      </c>
      <c r="E809" s="24" t="s">
        <v>20</v>
      </c>
      <c r="F809" s="24" t="s">
        <v>287</v>
      </c>
      <c r="G809" s="23" t="s">
        <v>439</v>
      </c>
      <c r="H809" s="24" t="s">
        <v>48</v>
      </c>
      <c r="I809" s="24" t="s">
        <v>9</v>
      </c>
      <c r="J809" s="24" t="s">
        <v>30</v>
      </c>
      <c r="K809" s="24" t="s">
        <v>30</v>
      </c>
      <c r="L809" s="24" t="s">
        <v>98</v>
      </c>
    </row>
    <row r="810">
      <c r="A810" s="24">
        <f t="shared" si="1"/>
        <v>809</v>
      </c>
      <c r="B810" s="24" t="s">
        <v>438</v>
      </c>
      <c r="C810" s="275">
        <v>42847.0</v>
      </c>
      <c r="D810" s="24" t="str">
        <f t="shared" si="3"/>
        <v>Apr-2017</v>
      </c>
      <c r="E810" s="24" t="s">
        <v>25</v>
      </c>
      <c r="F810" s="24" t="s">
        <v>287</v>
      </c>
      <c r="G810" s="23" t="s">
        <v>439</v>
      </c>
      <c r="H810" s="24" t="s">
        <v>27</v>
      </c>
      <c r="I810" s="24" t="s">
        <v>9</v>
      </c>
      <c r="J810" s="24" t="s">
        <v>30</v>
      </c>
      <c r="K810" s="24"/>
      <c r="L810" s="24" t="s">
        <v>106</v>
      </c>
    </row>
    <row r="811">
      <c r="A811" s="24">
        <f t="shared" si="1"/>
        <v>810</v>
      </c>
      <c r="B811" s="24" t="s">
        <v>438</v>
      </c>
      <c r="C811" s="275">
        <v>42847.0</v>
      </c>
      <c r="D811" s="24" t="str">
        <f t="shared" si="3"/>
        <v>Apr-2017</v>
      </c>
      <c r="E811" s="24" t="s">
        <v>20</v>
      </c>
      <c r="F811" s="24" t="s">
        <v>287</v>
      </c>
      <c r="G811" s="23" t="s">
        <v>305</v>
      </c>
      <c r="H811" s="24" t="s">
        <v>9</v>
      </c>
      <c r="I811" s="24" t="s">
        <v>9</v>
      </c>
      <c r="J811" s="24" t="s">
        <v>30</v>
      </c>
      <c r="K811" s="24" t="s">
        <v>30</v>
      </c>
      <c r="L811" s="24" t="s">
        <v>98</v>
      </c>
    </row>
    <row r="812">
      <c r="A812" s="24">
        <f t="shared" si="1"/>
        <v>811</v>
      </c>
      <c r="B812" s="24" t="s">
        <v>438</v>
      </c>
      <c r="C812" s="275">
        <v>42847.0</v>
      </c>
      <c r="D812" s="24" t="str">
        <f t="shared" si="3"/>
        <v>Apr-2017</v>
      </c>
      <c r="E812" s="24" t="s">
        <v>25</v>
      </c>
      <c r="F812" s="24" t="s">
        <v>287</v>
      </c>
      <c r="G812" s="23" t="s">
        <v>305</v>
      </c>
      <c r="H812" s="24" t="s">
        <v>9</v>
      </c>
      <c r="I812" s="24" t="s">
        <v>9</v>
      </c>
      <c r="J812" s="24" t="s">
        <v>30</v>
      </c>
      <c r="K812" s="24"/>
      <c r="L812" s="24" t="s">
        <v>29</v>
      </c>
    </row>
    <row r="813">
      <c r="A813" s="24">
        <f t="shared" si="1"/>
        <v>812</v>
      </c>
      <c r="B813" s="24" t="s">
        <v>438</v>
      </c>
      <c r="C813" s="275">
        <v>42847.0</v>
      </c>
      <c r="D813" s="24" t="str">
        <f t="shared" si="3"/>
        <v>Apr-2017</v>
      </c>
      <c r="E813" s="24" t="s">
        <v>20</v>
      </c>
      <c r="F813" s="24" t="s">
        <v>287</v>
      </c>
      <c r="G813" s="23" t="s">
        <v>358</v>
      </c>
      <c r="H813" s="24" t="s">
        <v>23</v>
      </c>
      <c r="I813" s="24" t="s">
        <v>9</v>
      </c>
      <c r="J813" s="24" t="s">
        <v>24</v>
      </c>
      <c r="K813" s="24" t="s">
        <v>24</v>
      </c>
      <c r="L813" s="24" t="s">
        <v>98</v>
      </c>
    </row>
    <row r="814">
      <c r="A814" s="24">
        <f t="shared" si="1"/>
        <v>813</v>
      </c>
      <c r="B814" s="24" t="s">
        <v>438</v>
      </c>
      <c r="C814" s="275">
        <v>42847.0</v>
      </c>
      <c r="D814" s="24" t="str">
        <f t="shared" si="3"/>
        <v>Apr-2017</v>
      </c>
      <c r="E814" s="24" t="s">
        <v>25</v>
      </c>
      <c r="F814" s="24" t="s">
        <v>287</v>
      </c>
      <c r="G814" s="23" t="s">
        <v>358</v>
      </c>
      <c r="H814" s="24" t="s">
        <v>23</v>
      </c>
      <c r="I814" s="24" t="s">
        <v>9</v>
      </c>
      <c r="J814" s="24" t="s">
        <v>24</v>
      </c>
      <c r="K814" s="24"/>
      <c r="L814" s="24" t="s">
        <v>69</v>
      </c>
    </row>
    <row r="815">
      <c r="A815" s="24">
        <f t="shared" si="1"/>
        <v>814</v>
      </c>
      <c r="B815" s="24" t="s">
        <v>438</v>
      </c>
      <c r="C815" s="275">
        <v>42847.0</v>
      </c>
      <c r="D815" s="24" t="str">
        <f t="shared" si="3"/>
        <v>Apr-2017</v>
      </c>
      <c r="E815" s="24" t="s">
        <v>20</v>
      </c>
      <c r="F815" s="24" t="s">
        <v>287</v>
      </c>
      <c r="G815" s="23" t="s">
        <v>219</v>
      </c>
      <c r="H815" s="24" t="s">
        <v>97</v>
      </c>
      <c r="I815" s="24" t="s">
        <v>9</v>
      </c>
      <c r="J815" s="24" t="s">
        <v>24</v>
      </c>
      <c r="K815" s="24" t="s">
        <v>30</v>
      </c>
      <c r="L815" s="24" t="s">
        <v>69</v>
      </c>
    </row>
    <row r="816">
      <c r="A816" s="24">
        <f t="shared" si="1"/>
        <v>815</v>
      </c>
      <c r="B816" s="24" t="s">
        <v>438</v>
      </c>
      <c r="C816" s="275">
        <v>42847.0</v>
      </c>
      <c r="D816" s="24" t="str">
        <f t="shared" si="3"/>
        <v>Apr-2017</v>
      </c>
      <c r="E816" s="24" t="s">
        <v>25</v>
      </c>
      <c r="F816" s="24" t="s">
        <v>287</v>
      </c>
      <c r="G816" s="23" t="s">
        <v>219</v>
      </c>
      <c r="H816" s="24" t="s">
        <v>97</v>
      </c>
      <c r="I816" s="24" t="s">
        <v>9</v>
      </c>
      <c r="J816" s="24" t="s">
        <v>30</v>
      </c>
      <c r="K816" s="24"/>
      <c r="L816" s="24" t="s">
        <v>106</v>
      </c>
    </row>
    <row r="817">
      <c r="A817" s="24">
        <f t="shared" si="1"/>
        <v>816</v>
      </c>
      <c r="B817" s="24" t="s">
        <v>438</v>
      </c>
      <c r="C817" s="275">
        <v>42847.0</v>
      </c>
      <c r="D817" s="24" t="str">
        <f t="shared" si="3"/>
        <v>Apr-2017</v>
      </c>
      <c r="E817" s="24" t="s">
        <v>32</v>
      </c>
      <c r="F817" s="24" t="s">
        <v>287</v>
      </c>
      <c r="G817" s="23" t="s">
        <v>219</v>
      </c>
      <c r="H817" s="24" t="s">
        <v>97</v>
      </c>
      <c r="I817" s="24" t="s">
        <v>9</v>
      </c>
      <c r="J817" s="24" t="s">
        <v>30</v>
      </c>
      <c r="K817" s="24"/>
      <c r="L817" s="24" t="s">
        <v>37</v>
      </c>
    </row>
    <row r="818">
      <c r="A818" s="24">
        <f t="shared" si="1"/>
        <v>817</v>
      </c>
      <c r="B818" s="24" t="s">
        <v>438</v>
      </c>
      <c r="C818" s="275">
        <v>42847.0</v>
      </c>
      <c r="D818" s="24" t="str">
        <f t="shared" si="3"/>
        <v>Apr-2017</v>
      </c>
      <c r="E818" s="24" t="s">
        <v>20</v>
      </c>
      <c r="F818" s="24" t="s">
        <v>35</v>
      </c>
      <c r="G818" s="23" t="s">
        <v>266</v>
      </c>
      <c r="H818" s="24" t="s">
        <v>27</v>
      </c>
      <c r="I818" s="24" t="s">
        <v>9</v>
      </c>
      <c r="J818" s="24" t="s">
        <v>24</v>
      </c>
      <c r="K818" s="24" t="s">
        <v>30</v>
      </c>
      <c r="L818" s="24" t="s">
        <v>69</v>
      </c>
    </row>
    <row r="819">
      <c r="A819" s="24">
        <f t="shared" si="1"/>
        <v>818</v>
      </c>
      <c r="B819" s="24" t="s">
        <v>438</v>
      </c>
      <c r="C819" s="275">
        <v>42847.0</v>
      </c>
      <c r="D819" s="24" t="str">
        <f t="shared" si="3"/>
        <v>Apr-2017</v>
      </c>
      <c r="E819" s="24" t="s">
        <v>25</v>
      </c>
      <c r="F819" s="24" t="s">
        <v>35</v>
      </c>
      <c r="G819" s="23" t="s">
        <v>266</v>
      </c>
      <c r="H819" s="24" t="s">
        <v>27</v>
      </c>
      <c r="I819" s="24" t="s">
        <v>9</v>
      </c>
      <c r="J819" s="24" t="s">
        <v>30</v>
      </c>
      <c r="K819" s="24"/>
      <c r="L819" s="24" t="s">
        <v>98</v>
      </c>
    </row>
    <row r="820">
      <c r="A820" s="24">
        <f t="shared" si="1"/>
        <v>819</v>
      </c>
      <c r="B820" s="24" t="s">
        <v>438</v>
      </c>
      <c r="C820" s="275">
        <v>42847.0</v>
      </c>
      <c r="D820" s="24" t="str">
        <f t="shared" si="3"/>
        <v>Apr-2017</v>
      </c>
      <c r="E820" s="24" t="s">
        <v>32</v>
      </c>
      <c r="F820" s="24" t="s">
        <v>35</v>
      </c>
      <c r="G820" s="23" t="s">
        <v>266</v>
      </c>
      <c r="H820" s="24" t="s">
        <v>27</v>
      </c>
      <c r="I820" s="24" t="s">
        <v>9</v>
      </c>
      <c r="J820" s="24" t="s">
        <v>30</v>
      </c>
      <c r="K820" s="24"/>
      <c r="L820" s="24" t="s">
        <v>106</v>
      </c>
    </row>
    <row r="821">
      <c r="A821" s="24">
        <f t="shared" si="1"/>
        <v>820</v>
      </c>
      <c r="B821" s="24" t="s">
        <v>438</v>
      </c>
      <c r="C821" s="275">
        <v>42847.0</v>
      </c>
      <c r="D821" s="24" t="str">
        <f t="shared" si="3"/>
        <v>Apr-2017</v>
      </c>
      <c r="E821" s="24" t="s">
        <v>20</v>
      </c>
      <c r="F821" s="24" t="s">
        <v>35</v>
      </c>
      <c r="G821" s="23" t="s">
        <v>212</v>
      </c>
      <c r="H821" s="24" t="s">
        <v>71</v>
      </c>
      <c r="I821" s="24" t="s">
        <v>9</v>
      </c>
      <c r="J821" s="24" t="s">
        <v>24</v>
      </c>
      <c r="K821" s="24" t="s">
        <v>24</v>
      </c>
      <c r="L821" s="24" t="s">
        <v>99</v>
      </c>
    </row>
    <row r="822">
      <c r="A822" s="24">
        <f t="shared" si="1"/>
        <v>821</v>
      </c>
      <c r="B822" s="24" t="s">
        <v>438</v>
      </c>
      <c r="C822" s="275">
        <v>42847.0</v>
      </c>
      <c r="D822" s="24" t="str">
        <f t="shared" si="3"/>
        <v>Apr-2017</v>
      </c>
      <c r="E822" s="24" t="s">
        <v>25</v>
      </c>
      <c r="F822" s="24" t="s">
        <v>35</v>
      </c>
      <c r="G822" s="23" t="s">
        <v>212</v>
      </c>
      <c r="H822" s="24" t="s">
        <v>71</v>
      </c>
      <c r="I822" s="24" t="s">
        <v>9</v>
      </c>
      <c r="J822" s="24" t="s">
        <v>24</v>
      </c>
      <c r="K822" s="24"/>
      <c r="L822" s="24" t="s">
        <v>69</v>
      </c>
    </row>
    <row r="823">
      <c r="A823" s="24">
        <f t="shared" si="1"/>
        <v>822</v>
      </c>
      <c r="B823" s="24" t="s">
        <v>438</v>
      </c>
      <c r="C823" s="275">
        <v>42847.0</v>
      </c>
      <c r="D823" s="24" t="str">
        <f t="shared" si="3"/>
        <v>Apr-2017</v>
      </c>
      <c r="E823" s="24" t="s">
        <v>20</v>
      </c>
      <c r="F823" s="24" t="s">
        <v>35</v>
      </c>
      <c r="G823" s="23" t="s">
        <v>442</v>
      </c>
      <c r="H823" s="24" t="s">
        <v>71</v>
      </c>
      <c r="I823" s="24" t="s">
        <v>9</v>
      </c>
      <c r="J823" s="24" t="s">
        <v>24</v>
      </c>
      <c r="K823" s="24" t="s">
        <v>24</v>
      </c>
      <c r="L823" s="24" t="s">
        <v>99</v>
      </c>
    </row>
    <row r="824">
      <c r="A824" s="24">
        <f t="shared" si="1"/>
        <v>823</v>
      </c>
      <c r="B824" s="24" t="s">
        <v>438</v>
      </c>
      <c r="C824" s="275">
        <v>42847.0</v>
      </c>
      <c r="D824" s="24" t="str">
        <f t="shared" si="3"/>
        <v>Apr-2017</v>
      </c>
      <c r="E824" s="24" t="s">
        <v>25</v>
      </c>
      <c r="F824" s="24" t="s">
        <v>35</v>
      </c>
      <c r="G824" s="23" t="s">
        <v>442</v>
      </c>
      <c r="H824" s="24" t="s">
        <v>71</v>
      </c>
      <c r="I824" s="24" t="s">
        <v>9</v>
      </c>
      <c r="J824" s="24" t="s">
        <v>24</v>
      </c>
      <c r="K824" s="24"/>
      <c r="L824" s="24" t="s">
        <v>106</v>
      </c>
    </row>
    <row r="825">
      <c r="A825" s="24">
        <f t="shared" si="1"/>
        <v>824</v>
      </c>
      <c r="B825" s="24" t="s">
        <v>443</v>
      </c>
      <c r="C825" s="275">
        <v>42855.0</v>
      </c>
      <c r="D825" s="24" t="str">
        <f t="shared" si="3"/>
        <v>Apr-2017</v>
      </c>
      <c r="E825" s="24" t="s">
        <v>20</v>
      </c>
      <c r="F825" s="24" t="s">
        <v>35</v>
      </c>
      <c r="G825" s="23" t="s">
        <v>444</v>
      </c>
      <c r="H825" s="24" t="s">
        <v>9</v>
      </c>
      <c r="I825" s="24" t="s">
        <v>9</v>
      </c>
      <c r="J825" s="24" t="s">
        <v>30</v>
      </c>
      <c r="K825" s="24" t="s">
        <v>30</v>
      </c>
      <c r="L825" s="24" t="s">
        <v>98</v>
      </c>
    </row>
    <row r="826">
      <c r="A826" s="24">
        <f t="shared" si="1"/>
        <v>825</v>
      </c>
      <c r="B826" s="24" t="s">
        <v>443</v>
      </c>
      <c r="C826" s="275">
        <v>42855.0</v>
      </c>
      <c r="D826" s="24" t="str">
        <f t="shared" si="3"/>
        <v>Apr-2017</v>
      </c>
      <c r="E826" s="24" t="s">
        <v>25</v>
      </c>
      <c r="F826" s="24" t="s">
        <v>35</v>
      </c>
      <c r="G826" s="23" t="s">
        <v>444</v>
      </c>
      <c r="H826" s="24" t="s">
        <v>9</v>
      </c>
      <c r="I826" s="24" t="s">
        <v>9</v>
      </c>
      <c r="J826" s="24" t="s">
        <v>30</v>
      </c>
      <c r="K826" s="24"/>
      <c r="L826" s="24" t="s">
        <v>106</v>
      </c>
    </row>
    <row r="827">
      <c r="A827" s="24">
        <f t="shared" si="1"/>
        <v>826</v>
      </c>
      <c r="B827" s="24" t="s">
        <v>443</v>
      </c>
      <c r="C827" s="275">
        <v>42855.0</v>
      </c>
      <c r="D827" s="24" t="str">
        <f t="shared" si="3"/>
        <v>Apr-2017</v>
      </c>
      <c r="E827" s="24" t="s">
        <v>20</v>
      </c>
      <c r="F827" s="24" t="s">
        <v>35</v>
      </c>
      <c r="G827" s="23" t="s">
        <v>111</v>
      </c>
      <c r="H827" s="24" t="s">
        <v>216</v>
      </c>
      <c r="I827" s="24" t="s">
        <v>9</v>
      </c>
      <c r="J827" s="24" t="s">
        <v>30</v>
      </c>
      <c r="K827" s="24" t="s">
        <v>24</v>
      </c>
      <c r="L827" s="24" t="s">
        <v>98</v>
      </c>
    </row>
    <row r="828">
      <c r="A828" s="24">
        <f t="shared" si="1"/>
        <v>827</v>
      </c>
      <c r="B828" s="24" t="s">
        <v>443</v>
      </c>
      <c r="C828" s="275">
        <v>42855.0</v>
      </c>
      <c r="D828" s="24" t="str">
        <f t="shared" si="3"/>
        <v>Apr-2017</v>
      </c>
      <c r="E828" s="24" t="s">
        <v>25</v>
      </c>
      <c r="F828" s="24" t="s">
        <v>35</v>
      </c>
      <c r="G828" s="23" t="s">
        <v>111</v>
      </c>
      <c r="H828" s="24" t="s">
        <v>216</v>
      </c>
      <c r="I828" s="24" t="s">
        <v>9</v>
      </c>
      <c r="J828" s="24" t="s">
        <v>24</v>
      </c>
      <c r="K828" s="24"/>
      <c r="L828" s="24" t="s">
        <v>106</v>
      </c>
    </row>
    <row r="829">
      <c r="A829" s="24">
        <f t="shared" si="1"/>
        <v>828</v>
      </c>
      <c r="B829" s="24" t="s">
        <v>443</v>
      </c>
      <c r="C829" s="275">
        <v>42855.0</v>
      </c>
      <c r="D829" s="24" t="str">
        <f t="shared" si="3"/>
        <v>Apr-2017</v>
      </c>
      <c r="E829" s="24" t="s">
        <v>32</v>
      </c>
      <c r="F829" s="24" t="s">
        <v>35</v>
      </c>
      <c r="G829" s="23" t="s">
        <v>111</v>
      </c>
      <c r="H829" s="24" t="s">
        <v>216</v>
      </c>
      <c r="I829" s="24" t="s">
        <v>9</v>
      </c>
      <c r="J829" s="24" t="s">
        <v>24</v>
      </c>
      <c r="K829" s="24"/>
      <c r="L829" s="24" t="s">
        <v>99</v>
      </c>
    </row>
    <row r="830">
      <c r="A830" s="24">
        <f t="shared" si="1"/>
        <v>829</v>
      </c>
      <c r="B830" s="24" t="s">
        <v>443</v>
      </c>
      <c r="C830" s="275">
        <v>42855.0</v>
      </c>
      <c r="D830" s="24" t="str">
        <f t="shared" si="3"/>
        <v>Apr-2017</v>
      </c>
      <c r="E830" s="24" t="s">
        <v>20</v>
      </c>
      <c r="F830" s="24" t="s">
        <v>35</v>
      </c>
      <c r="G830" s="23" t="s">
        <v>291</v>
      </c>
      <c r="H830" s="24" t="s">
        <v>44</v>
      </c>
      <c r="I830" s="24" t="s">
        <v>9</v>
      </c>
      <c r="J830" s="24" t="s">
        <v>30</v>
      </c>
      <c r="K830" s="24" t="s">
        <v>30</v>
      </c>
      <c r="L830" s="24" t="s">
        <v>98</v>
      </c>
    </row>
    <row r="831">
      <c r="A831" s="24">
        <f t="shared" si="1"/>
        <v>830</v>
      </c>
      <c r="B831" s="24" t="s">
        <v>443</v>
      </c>
      <c r="C831" s="275">
        <v>42855.0</v>
      </c>
      <c r="D831" s="24" t="str">
        <f t="shared" si="3"/>
        <v>Apr-2017</v>
      </c>
      <c r="E831" s="24" t="s">
        <v>25</v>
      </c>
      <c r="F831" s="24" t="s">
        <v>35</v>
      </c>
      <c r="G831" s="23" t="s">
        <v>291</v>
      </c>
      <c r="H831" s="24" t="s">
        <v>44</v>
      </c>
      <c r="I831" s="24" t="s">
        <v>9</v>
      </c>
      <c r="J831" s="24" t="s">
        <v>30</v>
      </c>
      <c r="K831" s="24"/>
      <c r="L831" s="24" t="s">
        <v>106</v>
      </c>
    </row>
    <row r="832">
      <c r="A832" s="24">
        <f t="shared" si="1"/>
        <v>831</v>
      </c>
      <c r="B832" s="24" t="s">
        <v>443</v>
      </c>
      <c r="C832" s="275">
        <v>42855.0</v>
      </c>
      <c r="D832" s="24" t="str">
        <f t="shared" si="3"/>
        <v>Apr-2017</v>
      </c>
      <c r="E832" s="24" t="s">
        <v>20</v>
      </c>
      <c r="F832" s="24" t="s">
        <v>35</v>
      </c>
      <c r="G832" s="23" t="s">
        <v>445</v>
      </c>
      <c r="H832" s="24" t="s">
        <v>23</v>
      </c>
      <c r="I832" s="24" t="s">
        <v>9</v>
      </c>
      <c r="J832" s="24" t="s">
        <v>30</v>
      </c>
      <c r="K832" s="24" t="s">
        <v>30</v>
      </c>
      <c r="L832" s="24" t="s">
        <v>98</v>
      </c>
    </row>
    <row r="833">
      <c r="A833" s="24">
        <f t="shared" si="1"/>
        <v>832</v>
      </c>
      <c r="B833" s="24" t="s">
        <v>443</v>
      </c>
      <c r="C833" s="275">
        <v>42855.0</v>
      </c>
      <c r="D833" s="24" t="str">
        <f t="shared" si="3"/>
        <v>Apr-2017</v>
      </c>
      <c r="E833" s="24" t="s">
        <v>25</v>
      </c>
      <c r="F833" s="24" t="s">
        <v>35</v>
      </c>
      <c r="G833" s="23" t="s">
        <v>445</v>
      </c>
      <c r="H833" s="24" t="s">
        <v>23</v>
      </c>
      <c r="I833" s="24" t="s">
        <v>9</v>
      </c>
      <c r="J833" s="24" t="s">
        <v>24</v>
      </c>
      <c r="K833" s="24"/>
      <c r="L833" s="24" t="s">
        <v>98</v>
      </c>
    </row>
    <row r="834">
      <c r="A834" s="24">
        <f t="shared" si="1"/>
        <v>833</v>
      </c>
      <c r="B834" s="24" t="s">
        <v>443</v>
      </c>
      <c r="C834" s="275">
        <v>42855.0</v>
      </c>
      <c r="D834" s="24" t="str">
        <f t="shared" si="3"/>
        <v>Apr-2017</v>
      </c>
      <c r="E834" s="24" t="s">
        <v>32</v>
      </c>
      <c r="F834" s="24" t="s">
        <v>35</v>
      </c>
      <c r="G834" s="23" t="s">
        <v>445</v>
      </c>
      <c r="H834" s="24" t="s">
        <v>23</v>
      </c>
      <c r="I834" s="24" t="s">
        <v>9</v>
      </c>
      <c r="J834" s="24" t="s">
        <v>30</v>
      </c>
      <c r="K834" s="24"/>
      <c r="L834" s="24" t="s">
        <v>106</v>
      </c>
    </row>
    <row r="835">
      <c r="A835" s="24">
        <f t="shared" si="1"/>
        <v>834</v>
      </c>
      <c r="B835" s="24" t="s">
        <v>443</v>
      </c>
      <c r="C835" s="275">
        <v>42855.0</v>
      </c>
      <c r="D835" s="24" t="str">
        <f t="shared" si="3"/>
        <v>Apr-2017</v>
      </c>
      <c r="E835" s="24" t="s">
        <v>20</v>
      </c>
      <c r="F835" s="24" t="s">
        <v>35</v>
      </c>
      <c r="G835" s="23" t="s">
        <v>399</v>
      </c>
      <c r="H835" s="24" t="s">
        <v>9</v>
      </c>
      <c r="I835" s="24" t="s">
        <v>9</v>
      </c>
      <c r="J835" s="24" t="s">
        <v>30</v>
      </c>
      <c r="K835" s="24" t="s">
        <v>30</v>
      </c>
      <c r="L835" s="24" t="s">
        <v>69</v>
      </c>
    </row>
    <row r="836">
      <c r="A836" s="24">
        <f t="shared" si="1"/>
        <v>835</v>
      </c>
      <c r="B836" s="24" t="s">
        <v>443</v>
      </c>
      <c r="C836" s="275">
        <v>42855.0</v>
      </c>
      <c r="D836" s="24" t="str">
        <f t="shared" si="3"/>
        <v>Apr-2017</v>
      </c>
      <c r="E836" s="24" t="s">
        <v>25</v>
      </c>
      <c r="F836" s="24" t="s">
        <v>35</v>
      </c>
      <c r="G836" s="23" t="s">
        <v>399</v>
      </c>
      <c r="H836" s="24" t="s">
        <v>9</v>
      </c>
      <c r="I836" s="24" t="s">
        <v>9</v>
      </c>
      <c r="J836" s="24" t="s">
        <v>30</v>
      </c>
      <c r="K836" s="24"/>
      <c r="L836" s="24" t="s">
        <v>99</v>
      </c>
    </row>
    <row r="837">
      <c r="A837" s="24">
        <f t="shared" si="1"/>
        <v>836</v>
      </c>
      <c r="B837" s="24" t="s">
        <v>443</v>
      </c>
      <c r="C837" s="275">
        <v>42855.0</v>
      </c>
      <c r="D837" s="24" t="str">
        <f t="shared" si="3"/>
        <v>Apr-2017</v>
      </c>
      <c r="E837" s="24" t="s">
        <v>20</v>
      </c>
      <c r="F837" s="24" t="s">
        <v>35</v>
      </c>
      <c r="G837" s="23" t="s">
        <v>446</v>
      </c>
      <c r="H837" s="24" t="s">
        <v>86</v>
      </c>
      <c r="I837" s="24" t="s">
        <v>9</v>
      </c>
      <c r="J837" s="24" t="s">
        <v>30</v>
      </c>
      <c r="K837" s="24" t="s">
        <v>30</v>
      </c>
      <c r="L837" s="24" t="s">
        <v>69</v>
      </c>
    </row>
    <row r="838">
      <c r="A838" s="24">
        <f t="shared" si="1"/>
        <v>837</v>
      </c>
      <c r="B838" s="24" t="s">
        <v>443</v>
      </c>
      <c r="C838" s="275">
        <v>42855.0</v>
      </c>
      <c r="D838" s="24" t="str">
        <f t="shared" si="3"/>
        <v>Apr-2017</v>
      </c>
      <c r="E838" s="24" t="s">
        <v>25</v>
      </c>
      <c r="F838" s="24" t="s">
        <v>35</v>
      </c>
      <c r="G838" s="23" t="s">
        <v>446</v>
      </c>
      <c r="H838" s="24" t="s">
        <v>86</v>
      </c>
      <c r="I838" s="24" t="s">
        <v>9</v>
      </c>
      <c r="J838" s="24" t="s">
        <v>24</v>
      </c>
      <c r="K838" s="24"/>
      <c r="L838" s="24" t="s">
        <v>106</v>
      </c>
    </row>
    <row r="839">
      <c r="A839" s="24">
        <f t="shared" si="1"/>
        <v>838</v>
      </c>
      <c r="B839" s="24" t="s">
        <v>443</v>
      </c>
      <c r="C839" s="275">
        <v>42855.0</v>
      </c>
      <c r="D839" s="24" t="str">
        <f t="shared" si="3"/>
        <v>Apr-2017</v>
      </c>
      <c r="E839" s="24" t="s">
        <v>32</v>
      </c>
      <c r="F839" s="24" t="s">
        <v>35</v>
      </c>
      <c r="G839" s="23" t="s">
        <v>446</v>
      </c>
      <c r="H839" s="24" t="s">
        <v>86</v>
      </c>
      <c r="I839" s="24" t="s">
        <v>9</v>
      </c>
      <c r="J839" s="24" t="s">
        <v>30</v>
      </c>
      <c r="K839" s="24"/>
      <c r="L839" s="24" t="s">
        <v>29</v>
      </c>
    </row>
    <row r="840">
      <c r="A840" s="24">
        <f t="shared" si="1"/>
        <v>839</v>
      </c>
      <c r="B840" s="24" t="s">
        <v>443</v>
      </c>
      <c r="C840" s="275">
        <v>42855.0</v>
      </c>
      <c r="D840" s="24" t="str">
        <f t="shared" si="3"/>
        <v>Apr-2017</v>
      </c>
      <c r="E840" s="24" t="s">
        <v>146</v>
      </c>
      <c r="F840" s="24" t="s">
        <v>35</v>
      </c>
      <c r="G840" s="23" t="s">
        <v>111</v>
      </c>
      <c r="H840" s="24" t="s">
        <v>216</v>
      </c>
      <c r="I840" s="24" t="s">
        <v>9</v>
      </c>
      <c r="J840" s="24" t="s">
        <v>24</v>
      </c>
      <c r="K840" s="24" t="s">
        <v>24</v>
      </c>
      <c r="L840" s="24" t="s">
        <v>98</v>
      </c>
    </row>
    <row r="841">
      <c r="A841" s="24">
        <f t="shared" si="1"/>
        <v>840</v>
      </c>
      <c r="B841" s="24" t="s">
        <v>443</v>
      </c>
      <c r="C841" s="275">
        <v>42855.0</v>
      </c>
      <c r="D841" s="24" t="str">
        <f t="shared" si="3"/>
        <v>Apr-2017</v>
      </c>
      <c r="E841" s="24" t="s">
        <v>149</v>
      </c>
      <c r="F841" s="24" t="s">
        <v>35</v>
      </c>
      <c r="G841" s="23" t="s">
        <v>111</v>
      </c>
      <c r="H841" s="24" t="s">
        <v>216</v>
      </c>
      <c r="I841" s="24" t="s">
        <v>9</v>
      </c>
      <c r="J841" s="24" t="s">
        <v>24</v>
      </c>
      <c r="K841" s="24"/>
      <c r="L841" s="24" t="s">
        <v>69</v>
      </c>
    </row>
    <row r="842">
      <c r="A842" s="24">
        <f t="shared" si="1"/>
        <v>841</v>
      </c>
      <c r="B842" s="24" t="s">
        <v>443</v>
      </c>
      <c r="C842" s="275">
        <v>42855.0</v>
      </c>
      <c r="D842" s="24" t="str">
        <f t="shared" si="3"/>
        <v>Apr-2017</v>
      </c>
      <c r="E842" s="24" t="s">
        <v>222</v>
      </c>
      <c r="F842" s="24" t="s">
        <v>35</v>
      </c>
      <c r="G842" s="23" t="s">
        <v>111</v>
      </c>
      <c r="H842" s="24" t="s">
        <v>216</v>
      </c>
      <c r="I842" s="24" t="s">
        <v>9</v>
      </c>
      <c r="J842" s="24" t="s">
        <v>24</v>
      </c>
      <c r="K842" s="24"/>
      <c r="L842" s="24" t="s">
        <v>69</v>
      </c>
    </row>
    <row r="843">
      <c r="A843" s="24">
        <f t="shared" si="1"/>
        <v>842</v>
      </c>
      <c r="B843" s="24" t="s">
        <v>447</v>
      </c>
      <c r="C843" s="95">
        <v>42858.0</v>
      </c>
      <c r="D843" s="24" t="str">
        <f t="shared" si="3"/>
        <v>May-2017</v>
      </c>
      <c r="E843" s="24" t="s">
        <v>20</v>
      </c>
      <c r="F843" s="24" t="s">
        <v>35</v>
      </c>
      <c r="G843" s="23" t="s">
        <v>448</v>
      </c>
      <c r="H843" s="24" t="s">
        <v>9</v>
      </c>
      <c r="I843" s="24" t="s">
        <v>9</v>
      </c>
      <c r="J843" s="24" t="s">
        <v>30</v>
      </c>
      <c r="K843" s="24" t="s">
        <v>30</v>
      </c>
      <c r="L843" s="24" t="s">
        <v>98</v>
      </c>
    </row>
    <row r="844">
      <c r="A844" s="24">
        <f t="shared" si="1"/>
        <v>843</v>
      </c>
      <c r="B844" s="24" t="s">
        <v>447</v>
      </c>
      <c r="C844" s="95">
        <v>42858.0</v>
      </c>
      <c r="D844" s="24" t="str">
        <f t="shared" si="3"/>
        <v>May-2017</v>
      </c>
      <c r="E844" s="24" t="s">
        <v>25</v>
      </c>
      <c r="F844" s="24" t="s">
        <v>35</v>
      </c>
      <c r="G844" s="23" t="s">
        <v>448</v>
      </c>
      <c r="H844" s="24" t="s">
        <v>27</v>
      </c>
      <c r="I844" s="24" t="s">
        <v>9</v>
      </c>
      <c r="J844" s="24" t="s">
        <v>30</v>
      </c>
      <c r="K844" s="24"/>
      <c r="L844" s="24" t="s">
        <v>106</v>
      </c>
    </row>
    <row r="845">
      <c r="A845" s="24">
        <f t="shared" si="1"/>
        <v>844</v>
      </c>
      <c r="B845" s="24" t="s">
        <v>447</v>
      </c>
      <c r="C845" s="95">
        <v>42858.0</v>
      </c>
      <c r="D845" s="24" t="str">
        <f t="shared" si="3"/>
        <v>May-2017</v>
      </c>
      <c r="E845" s="24" t="s">
        <v>20</v>
      </c>
      <c r="F845" s="24" t="s">
        <v>35</v>
      </c>
      <c r="G845" s="23" t="s">
        <v>449</v>
      </c>
      <c r="H845" s="24" t="s">
        <v>86</v>
      </c>
      <c r="I845" s="24" t="s">
        <v>9</v>
      </c>
      <c r="J845" s="24" t="s">
        <v>30</v>
      </c>
      <c r="K845" s="24" t="s">
        <v>30</v>
      </c>
      <c r="L845" s="24" t="s">
        <v>69</v>
      </c>
    </row>
    <row r="846">
      <c r="A846" s="24">
        <f t="shared" si="1"/>
        <v>845</v>
      </c>
      <c r="B846" s="24" t="s">
        <v>447</v>
      </c>
      <c r="C846" s="95">
        <v>42858.0</v>
      </c>
      <c r="D846" s="24" t="str">
        <f t="shared" si="3"/>
        <v>May-2017</v>
      </c>
      <c r="E846" s="24" t="s">
        <v>25</v>
      </c>
      <c r="F846" s="24" t="s">
        <v>35</v>
      </c>
      <c r="G846" s="23" t="s">
        <v>449</v>
      </c>
      <c r="H846" s="24" t="s">
        <v>86</v>
      </c>
      <c r="I846" s="24" t="s">
        <v>9</v>
      </c>
      <c r="J846" s="24" t="s">
        <v>24</v>
      </c>
      <c r="K846" s="24"/>
      <c r="L846" s="24" t="s">
        <v>98</v>
      </c>
    </row>
    <row r="847">
      <c r="A847" s="24">
        <f t="shared" si="1"/>
        <v>846</v>
      </c>
      <c r="B847" s="24" t="s">
        <v>447</v>
      </c>
      <c r="C847" s="95">
        <v>42858.0</v>
      </c>
      <c r="D847" s="24" t="str">
        <f t="shared" si="3"/>
        <v>May-2017</v>
      </c>
      <c r="E847" s="24" t="s">
        <v>32</v>
      </c>
      <c r="F847" s="24" t="s">
        <v>35</v>
      </c>
      <c r="G847" s="23" t="s">
        <v>449</v>
      </c>
      <c r="H847" s="24" t="s">
        <v>86</v>
      </c>
      <c r="I847" s="24" t="s">
        <v>9</v>
      </c>
      <c r="J847" s="24" t="s">
        <v>30</v>
      </c>
      <c r="K847" s="24"/>
      <c r="L847" s="24" t="s">
        <v>29</v>
      </c>
    </row>
    <row r="848">
      <c r="A848" s="24">
        <f t="shared" si="1"/>
        <v>847</v>
      </c>
      <c r="B848" s="24" t="s">
        <v>447</v>
      </c>
      <c r="C848" s="95">
        <v>42858.0</v>
      </c>
      <c r="D848" s="24" t="str">
        <f t="shared" si="3"/>
        <v>May-2017</v>
      </c>
      <c r="E848" s="24" t="s">
        <v>20</v>
      </c>
      <c r="F848" s="24" t="s">
        <v>35</v>
      </c>
      <c r="G848" s="23" t="s">
        <v>450</v>
      </c>
      <c r="H848" s="24" t="s">
        <v>9</v>
      </c>
      <c r="I848" s="24" t="s">
        <v>9</v>
      </c>
      <c r="J848" s="24" t="s">
        <v>24</v>
      </c>
      <c r="K848" s="24" t="s">
        <v>24</v>
      </c>
      <c r="L848" s="24" t="s">
        <v>69</v>
      </c>
    </row>
    <row r="849">
      <c r="A849" s="24">
        <f t="shared" si="1"/>
        <v>848</v>
      </c>
      <c r="B849" s="24" t="s">
        <v>447</v>
      </c>
      <c r="C849" s="95">
        <v>42858.0</v>
      </c>
      <c r="D849" s="24" t="str">
        <f t="shared" si="3"/>
        <v>May-2017</v>
      </c>
      <c r="E849" s="24" t="s">
        <v>25</v>
      </c>
      <c r="F849" s="24" t="s">
        <v>35</v>
      </c>
      <c r="G849" s="23" t="s">
        <v>450</v>
      </c>
      <c r="H849" s="24" t="s">
        <v>9</v>
      </c>
      <c r="I849" s="24" t="s">
        <v>9</v>
      </c>
      <c r="J849" s="24" t="s">
        <v>24</v>
      </c>
      <c r="K849" s="24"/>
      <c r="L849" s="24" t="s">
        <v>99</v>
      </c>
    </row>
    <row r="850">
      <c r="A850" s="24">
        <f t="shared" si="1"/>
        <v>849</v>
      </c>
      <c r="B850" s="24" t="s">
        <v>447</v>
      </c>
      <c r="C850" s="95">
        <v>42858.0</v>
      </c>
      <c r="D850" s="24" t="str">
        <f t="shared" si="3"/>
        <v>May-2017</v>
      </c>
      <c r="E850" s="24" t="s">
        <v>20</v>
      </c>
      <c r="F850" s="24" t="s">
        <v>35</v>
      </c>
      <c r="G850" s="23" t="s">
        <v>127</v>
      </c>
      <c r="H850" s="24" t="s">
        <v>44</v>
      </c>
      <c r="I850" s="24" t="s">
        <v>9</v>
      </c>
      <c r="J850" s="24" t="s">
        <v>30</v>
      </c>
      <c r="K850" s="24" t="s">
        <v>30</v>
      </c>
      <c r="L850" s="24" t="s">
        <v>98</v>
      </c>
    </row>
    <row r="851">
      <c r="A851" s="24">
        <f t="shared" si="1"/>
        <v>850</v>
      </c>
      <c r="B851" s="24" t="s">
        <v>447</v>
      </c>
      <c r="C851" s="95">
        <v>42858.0</v>
      </c>
      <c r="D851" s="24" t="str">
        <f t="shared" si="3"/>
        <v>May-2017</v>
      </c>
      <c r="E851" s="24" t="s">
        <v>25</v>
      </c>
      <c r="F851" s="24" t="s">
        <v>35</v>
      </c>
      <c r="G851" s="23" t="s">
        <v>127</v>
      </c>
      <c r="H851" s="24" t="s">
        <v>44</v>
      </c>
      <c r="I851" s="24" t="s">
        <v>9</v>
      </c>
      <c r="J851" s="24" t="s">
        <v>30</v>
      </c>
      <c r="K851" s="24"/>
      <c r="L851" s="24" t="s">
        <v>98</v>
      </c>
    </row>
    <row r="852">
      <c r="A852" s="24">
        <f t="shared" si="1"/>
        <v>851</v>
      </c>
      <c r="B852" s="24" t="s">
        <v>447</v>
      </c>
      <c r="C852" s="95">
        <v>42858.0</v>
      </c>
      <c r="D852" s="24" t="str">
        <f t="shared" si="3"/>
        <v>May-2017</v>
      </c>
      <c r="E852" s="24" t="s">
        <v>20</v>
      </c>
      <c r="F852" s="24" t="s">
        <v>35</v>
      </c>
      <c r="G852" s="23" t="s">
        <v>185</v>
      </c>
      <c r="H852" s="24" t="s">
        <v>138</v>
      </c>
      <c r="I852" s="24" t="s">
        <v>9</v>
      </c>
      <c r="J852" s="24" t="s">
        <v>24</v>
      </c>
      <c r="K852" s="24" t="s">
        <v>24</v>
      </c>
      <c r="L852" s="24" t="s">
        <v>98</v>
      </c>
    </row>
    <row r="853">
      <c r="A853" s="24">
        <f t="shared" si="1"/>
        <v>852</v>
      </c>
      <c r="B853" s="24" t="s">
        <v>447</v>
      </c>
      <c r="C853" s="95">
        <v>42858.0</v>
      </c>
      <c r="D853" s="24" t="str">
        <f t="shared" si="3"/>
        <v>May-2017</v>
      </c>
      <c r="E853" s="24" t="s">
        <v>25</v>
      </c>
      <c r="F853" s="24" t="s">
        <v>35</v>
      </c>
      <c r="G853" s="23" t="s">
        <v>185</v>
      </c>
      <c r="H853" s="24" t="s">
        <v>138</v>
      </c>
      <c r="I853" s="24" t="s">
        <v>9</v>
      </c>
      <c r="J853" s="24" t="s">
        <v>30</v>
      </c>
      <c r="K853" s="24"/>
      <c r="L853" s="24" t="s">
        <v>98</v>
      </c>
    </row>
    <row r="854">
      <c r="A854" s="24">
        <f t="shared" si="1"/>
        <v>853</v>
      </c>
      <c r="B854" s="24" t="s">
        <v>447</v>
      </c>
      <c r="C854" s="95">
        <v>42858.0</v>
      </c>
      <c r="D854" s="24" t="str">
        <f t="shared" si="3"/>
        <v>May-2017</v>
      </c>
      <c r="E854" s="24" t="s">
        <v>32</v>
      </c>
      <c r="F854" s="24" t="s">
        <v>35</v>
      </c>
      <c r="G854" s="23" t="s">
        <v>185</v>
      </c>
      <c r="H854" s="24" t="s">
        <v>138</v>
      </c>
      <c r="I854" s="24" t="s">
        <v>9</v>
      </c>
      <c r="J854" s="24" t="s">
        <v>24</v>
      </c>
      <c r="K854" s="24"/>
      <c r="L854" s="24" t="s">
        <v>37</v>
      </c>
    </row>
    <row r="855">
      <c r="A855" s="24">
        <f t="shared" si="1"/>
        <v>854</v>
      </c>
      <c r="B855" s="24" t="s">
        <v>447</v>
      </c>
      <c r="C855" s="95">
        <v>42858.0</v>
      </c>
      <c r="D855" s="24" t="str">
        <f t="shared" si="3"/>
        <v>May-2017</v>
      </c>
      <c r="E855" s="24" t="s">
        <v>20</v>
      </c>
      <c r="F855" s="24" t="s">
        <v>278</v>
      </c>
      <c r="G855" s="23" t="s">
        <v>451</v>
      </c>
      <c r="H855" s="24" t="s">
        <v>139</v>
      </c>
      <c r="I855" s="24" t="s">
        <v>9</v>
      </c>
      <c r="J855" s="24" t="s">
        <v>24</v>
      </c>
      <c r="K855" s="24" t="s">
        <v>24</v>
      </c>
      <c r="L855" s="24" t="s">
        <v>98</v>
      </c>
    </row>
    <row r="856">
      <c r="A856" s="24">
        <f t="shared" si="1"/>
        <v>855</v>
      </c>
      <c r="B856" s="24" t="s">
        <v>447</v>
      </c>
      <c r="C856" s="95">
        <v>42858.0</v>
      </c>
      <c r="D856" s="24" t="str">
        <f t="shared" si="3"/>
        <v>May-2017</v>
      </c>
      <c r="E856" s="24" t="s">
        <v>25</v>
      </c>
      <c r="F856" s="24" t="s">
        <v>278</v>
      </c>
      <c r="G856" s="23" t="s">
        <v>451</v>
      </c>
      <c r="H856" s="24" t="s">
        <v>139</v>
      </c>
      <c r="I856" s="24" t="s">
        <v>9</v>
      </c>
      <c r="J856" s="24" t="s">
        <v>24</v>
      </c>
      <c r="K856" s="24"/>
      <c r="L856" s="24" t="s">
        <v>106</v>
      </c>
    </row>
    <row r="857">
      <c r="A857" s="24">
        <f t="shared" si="1"/>
        <v>856</v>
      </c>
      <c r="B857" s="24" t="s">
        <v>447</v>
      </c>
      <c r="C857" s="95">
        <v>42858.0</v>
      </c>
      <c r="D857" s="24" t="str">
        <f t="shared" si="3"/>
        <v>May-2017</v>
      </c>
      <c r="E857" s="24" t="s">
        <v>20</v>
      </c>
      <c r="F857" s="24" t="s">
        <v>278</v>
      </c>
      <c r="G857" s="23" t="s">
        <v>270</v>
      </c>
      <c r="H857" s="24" t="s">
        <v>9</v>
      </c>
      <c r="I857" s="24" t="s">
        <v>9</v>
      </c>
      <c r="J857" s="24" t="s">
        <v>30</v>
      </c>
      <c r="K857" s="24" t="s">
        <v>30</v>
      </c>
      <c r="L857" s="24" t="s">
        <v>98</v>
      </c>
    </row>
    <row r="858">
      <c r="A858" s="24">
        <f t="shared" si="1"/>
        <v>857</v>
      </c>
      <c r="B858" s="24" t="s">
        <v>447</v>
      </c>
      <c r="C858" s="95">
        <v>42858.0</v>
      </c>
      <c r="D858" s="24" t="str">
        <f t="shared" si="3"/>
        <v>May-2017</v>
      </c>
      <c r="E858" s="24" t="s">
        <v>25</v>
      </c>
      <c r="F858" s="24" t="s">
        <v>278</v>
      </c>
      <c r="G858" s="23" t="s">
        <v>270</v>
      </c>
      <c r="H858" s="24" t="s">
        <v>9</v>
      </c>
      <c r="I858" s="24" t="s">
        <v>9</v>
      </c>
      <c r="J858" s="24" t="s">
        <v>30</v>
      </c>
      <c r="K858" s="24"/>
      <c r="L858" s="24" t="s">
        <v>98</v>
      </c>
    </row>
    <row r="859">
      <c r="A859" s="24">
        <f t="shared" si="1"/>
        <v>858</v>
      </c>
      <c r="B859" s="24" t="s">
        <v>447</v>
      </c>
      <c r="C859" s="95">
        <v>42858.0</v>
      </c>
      <c r="D859" s="24" t="str">
        <f t="shared" si="3"/>
        <v>May-2017</v>
      </c>
      <c r="E859" s="24" t="s">
        <v>20</v>
      </c>
      <c r="F859" s="24" t="s">
        <v>278</v>
      </c>
      <c r="G859" s="23" t="s">
        <v>452</v>
      </c>
      <c r="H859" s="24" t="s">
        <v>86</v>
      </c>
      <c r="I859" s="24" t="s">
        <v>27</v>
      </c>
      <c r="J859" s="24" t="s">
        <v>30</v>
      </c>
      <c r="K859" s="24" t="s">
        <v>30</v>
      </c>
      <c r="L859" s="24" t="s">
        <v>98</v>
      </c>
    </row>
    <row r="860">
      <c r="A860" s="24">
        <f t="shared" si="1"/>
        <v>859</v>
      </c>
      <c r="B860" s="24" t="s">
        <v>447</v>
      </c>
      <c r="C860" s="95">
        <v>42858.0</v>
      </c>
      <c r="D860" s="24" t="str">
        <f t="shared" si="3"/>
        <v>May-2017</v>
      </c>
      <c r="E860" s="24" t="s">
        <v>25</v>
      </c>
      <c r="F860" s="24" t="s">
        <v>278</v>
      </c>
      <c r="G860" s="23" t="s">
        <v>452</v>
      </c>
      <c r="H860" s="24" t="s">
        <v>86</v>
      </c>
      <c r="I860" s="24" t="s">
        <v>27</v>
      </c>
      <c r="J860" s="24" t="s">
        <v>30</v>
      </c>
      <c r="K860" s="24"/>
      <c r="L860" s="24" t="s">
        <v>98</v>
      </c>
    </row>
    <row r="861">
      <c r="A861" s="24">
        <f t="shared" si="1"/>
        <v>860</v>
      </c>
      <c r="B861" s="24" t="s">
        <v>447</v>
      </c>
      <c r="C861" s="95">
        <v>42858.0</v>
      </c>
      <c r="D861" s="24" t="str">
        <f t="shared" si="3"/>
        <v>May-2017</v>
      </c>
      <c r="E861" s="24" t="s">
        <v>20</v>
      </c>
      <c r="F861" s="24" t="s">
        <v>278</v>
      </c>
      <c r="G861" s="23" t="s">
        <v>453</v>
      </c>
      <c r="H861" s="24" t="s">
        <v>23</v>
      </c>
      <c r="I861" s="24" t="s">
        <v>9</v>
      </c>
      <c r="J861" s="24" t="s">
        <v>24</v>
      </c>
      <c r="K861" s="24" t="s">
        <v>24</v>
      </c>
      <c r="L861" s="24" t="s">
        <v>98</v>
      </c>
    </row>
    <row r="862">
      <c r="A862" s="24">
        <f t="shared" si="1"/>
        <v>861</v>
      </c>
      <c r="B862" s="24" t="s">
        <v>447</v>
      </c>
      <c r="C862" s="95">
        <v>42858.0</v>
      </c>
      <c r="D862" s="24" t="str">
        <f t="shared" si="3"/>
        <v>May-2017</v>
      </c>
      <c r="E862" s="24" t="s">
        <v>25</v>
      </c>
      <c r="F862" s="24" t="s">
        <v>278</v>
      </c>
      <c r="G862" s="23" t="s">
        <v>453</v>
      </c>
      <c r="H862" s="24" t="s">
        <v>23</v>
      </c>
      <c r="I862" s="24" t="s">
        <v>9</v>
      </c>
      <c r="J862" s="24" t="s">
        <v>24</v>
      </c>
      <c r="K862" s="24"/>
      <c r="L862" s="24" t="s">
        <v>69</v>
      </c>
    </row>
    <row r="863">
      <c r="A863" s="24">
        <f t="shared" si="1"/>
        <v>862</v>
      </c>
      <c r="B863" s="24" t="s">
        <v>454</v>
      </c>
      <c r="C863" s="340">
        <v>42860.0</v>
      </c>
      <c r="D863" s="24" t="str">
        <f t="shared" si="3"/>
        <v>May-2017</v>
      </c>
      <c r="E863" s="24" t="s">
        <v>20</v>
      </c>
      <c r="F863" s="24" t="s">
        <v>35</v>
      </c>
      <c r="G863" s="23" t="s">
        <v>291</v>
      </c>
      <c r="H863" s="24" t="s">
        <v>44</v>
      </c>
      <c r="I863" s="24" t="s">
        <v>9</v>
      </c>
      <c r="J863" s="24" t="s">
        <v>30</v>
      </c>
      <c r="K863" s="24" t="s">
        <v>30</v>
      </c>
      <c r="L863" s="24" t="s">
        <v>98</v>
      </c>
    </row>
    <row r="864">
      <c r="A864" s="24">
        <f t="shared" si="1"/>
        <v>863</v>
      </c>
      <c r="B864" s="24" t="s">
        <v>454</v>
      </c>
      <c r="C864" s="340">
        <v>42860.0</v>
      </c>
      <c r="D864" s="24" t="str">
        <f t="shared" si="3"/>
        <v>May-2017</v>
      </c>
      <c r="E864" s="24" t="s">
        <v>25</v>
      </c>
      <c r="F864" s="24" t="s">
        <v>35</v>
      </c>
      <c r="G864" s="23" t="s">
        <v>291</v>
      </c>
      <c r="H864" s="24" t="s">
        <v>44</v>
      </c>
      <c r="I864" s="24" t="s">
        <v>9</v>
      </c>
      <c r="J864" s="24" t="s">
        <v>30</v>
      </c>
      <c r="K864" s="24"/>
      <c r="L864" s="24" t="s">
        <v>99</v>
      </c>
    </row>
    <row r="865">
      <c r="A865" s="24">
        <f t="shared" si="1"/>
        <v>864</v>
      </c>
      <c r="B865" s="24" t="s">
        <v>454</v>
      </c>
      <c r="C865" s="340">
        <v>42860.0</v>
      </c>
      <c r="D865" s="24" t="str">
        <f t="shared" si="3"/>
        <v>May-2017</v>
      </c>
      <c r="E865" s="24" t="s">
        <v>20</v>
      </c>
      <c r="F865" s="24" t="s">
        <v>35</v>
      </c>
      <c r="G865" s="23" t="s">
        <v>226</v>
      </c>
      <c r="H865" s="24" t="s">
        <v>216</v>
      </c>
      <c r="I865" s="24" t="s">
        <v>9</v>
      </c>
      <c r="J865" s="24" t="s">
        <v>24</v>
      </c>
      <c r="K865" s="24" t="s">
        <v>24</v>
      </c>
      <c r="L865" s="24" t="s">
        <v>98</v>
      </c>
    </row>
    <row r="866">
      <c r="A866" s="24">
        <f t="shared" si="1"/>
        <v>865</v>
      </c>
      <c r="B866" s="24" t="s">
        <v>454</v>
      </c>
      <c r="C866" s="340">
        <v>42860.0</v>
      </c>
      <c r="D866" s="24" t="str">
        <f t="shared" si="3"/>
        <v>May-2017</v>
      </c>
      <c r="E866" s="24" t="s">
        <v>25</v>
      </c>
      <c r="F866" s="24" t="s">
        <v>35</v>
      </c>
      <c r="G866" s="23" t="s">
        <v>226</v>
      </c>
      <c r="H866" s="24" t="s">
        <v>216</v>
      </c>
      <c r="I866" s="24" t="s">
        <v>9</v>
      </c>
      <c r="J866" s="24" t="s">
        <v>24</v>
      </c>
      <c r="K866" s="24"/>
      <c r="L866" s="24" t="s">
        <v>98</v>
      </c>
    </row>
    <row r="867">
      <c r="A867" s="24">
        <f t="shared" si="1"/>
        <v>866</v>
      </c>
      <c r="B867" s="24" t="s">
        <v>454</v>
      </c>
      <c r="C867" s="340">
        <v>42860.0</v>
      </c>
      <c r="D867" s="24" t="str">
        <f t="shared" si="3"/>
        <v>May-2017</v>
      </c>
      <c r="E867" s="24" t="s">
        <v>20</v>
      </c>
      <c r="F867" s="24" t="s">
        <v>35</v>
      </c>
      <c r="G867" s="23" t="s">
        <v>446</v>
      </c>
      <c r="H867" s="24" t="s">
        <v>86</v>
      </c>
      <c r="I867" s="24" t="s">
        <v>9</v>
      </c>
      <c r="J867" s="24" t="s">
        <v>30</v>
      </c>
      <c r="K867" s="24" t="s">
        <v>30</v>
      </c>
      <c r="L867" s="24" t="s">
        <v>69</v>
      </c>
    </row>
    <row r="868">
      <c r="A868" s="24">
        <f t="shared" si="1"/>
        <v>867</v>
      </c>
      <c r="B868" s="24" t="s">
        <v>454</v>
      </c>
      <c r="C868" s="340">
        <v>42860.0</v>
      </c>
      <c r="D868" s="24" t="str">
        <f t="shared" si="3"/>
        <v>May-2017</v>
      </c>
      <c r="E868" s="24" t="s">
        <v>25</v>
      </c>
      <c r="F868" s="24" t="s">
        <v>35</v>
      </c>
      <c r="G868" s="23" t="s">
        <v>446</v>
      </c>
      <c r="H868" s="24" t="s">
        <v>86</v>
      </c>
      <c r="I868" s="24" t="s">
        <v>9</v>
      </c>
      <c r="J868" s="24" t="s">
        <v>30</v>
      </c>
      <c r="K868" s="24"/>
      <c r="L868" s="24" t="s">
        <v>106</v>
      </c>
    </row>
    <row r="869">
      <c r="A869" s="24">
        <f t="shared" si="1"/>
        <v>868</v>
      </c>
      <c r="B869" s="24" t="s">
        <v>454</v>
      </c>
      <c r="C869" s="340">
        <v>42860.0</v>
      </c>
      <c r="D869" s="24" t="str">
        <f t="shared" si="3"/>
        <v>May-2017</v>
      </c>
      <c r="E869" s="24" t="s">
        <v>20</v>
      </c>
      <c r="F869" s="24" t="s">
        <v>35</v>
      </c>
      <c r="G869" s="23" t="s">
        <v>111</v>
      </c>
      <c r="H869" s="24" t="s">
        <v>216</v>
      </c>
      <c r="I869" s="24" t="s">
        <v>9</v>
      </c>
      <c r="J869" s="24" t="s">
        <v>24</v>
      </c>
      <c r="K869" s="24" t="s">
        <v>24</v>
      </c>
      <c r="L869" s="24" t="s">
        <v>98</v>
      </c>
    </row>
    <row r="870">
      <c r="A870" s="24">
        <f t="shared" si="1"/>
        <v>869</v>
      </c>
      <c r="B870" s="24" t="s">
        <v>454</v>
      </c>
      <c r="C870" s="340">
        <v>42860.0</v>
      </c>
      <c r="D870" s="24" t="str">
        <f t="shared" si="3"/>
        <v>May-2017</v>
      </c>
      <c r="E870" s="24" t="s">
        <v>25</v>
      </c>
      <c r="F870" s="24" t="s">
        <v>35</v>
      </c>
      <c r="G870" s="23" t="s">
        <v>111</v>
      </c>
      <c r="H870" s="24" t="s">
        <v>216</v>
      </c>
      <c r="I870" s="24" t="s">
        <v>9</v>
      </c>
      <c r="J870" s="24" t="s">
        <v>24</v>
      </c>
      <c r="K870" s="24"/>
      <c r="L870" s="24" t="s">
        <v>98</v>
      </c>
    </row>
    <row r="871">
      <c r="A871" s="24">
        <f t="shared" si="1"/>
        <v>870</v>
      </c>
      <c r="B871" s="24" t="s">
        <v>455</v>
      </c>
      <c r="C871" s="275">
        <v>42861.0</v>
      </c>
      <c r="D871" s="24" t="str">
        <f t="shared" si="3"/>
        <v>May-2017</v>
      </c>
      <c r="E871" s="24" t="s">
        <v>20</v>
      </c>
      <c r="F871" s="24" t="s">
        <v>35</v>
      </c>
      <c r="G871" s="23" t="s">
        <v>456</v>
      </c>
      <c r="H871" s="24" t="s">
        <v>48</v>
      </c>
      <c r="I871" s="24" t="s">
        <v>9</v>
      </c>
      <c r="J871" s="24" t="s">
        <v>24</v>
      </c>
      <c r="K871" s="24" t="s">
        <v>24</v>
      </c>
      <c r="L871" s="24" t="s">
        <v>98</v>
      </c>
    </row>
    <row r="872">
      <c r="A872" s="24">
        <f t="shared" si="1"/>
        <v>871</v>
      </c>
      <c r="B872" s="24" t="s">
        <v>455</v>
      </c>
      <c r="C872" s="275">
        <v>42861.0</v>
      </c>
      <c r="D872" s="24" t="str">
        <f t="shared" si="3"/>
        <v>May-2017</v>
      </c>
      <c r="E872" s="24" t="s">
        <v>25</v>
      </c>
      <c r="F872" s="24" t="s">
        <v>35</v>
      </c>
      <c r="G872" s="23" t="s">
        <v>456</v>
      </c>
      <c r="H872" s="24" t="s">
        <v>48</v>
      </c>
      <c r="I872" s="24" t="s">
        <v>9</v>
      </c>
      <c r="J872" s="24" t="s">
        <v>30</v>
      </c>
      <c r="K872" s="24"/>
      <c r="L872" s="24" t="s">
        <v>106</v>
      </c>
    </row>
    <row r="873">
      <c r="A873" s="24">
        <f t="shared" si="1"/>
        <v>872</v>
      </c>
      <c r="B873" s="24" t="s">
        <v>455</v>
      </c>
      <c r="C873" s="275">
        <v>42861.0</v>
      </c>
      <c r="D873" s="24" t="str">
        <f t="shared" si="3"/>
        <v>May-2017</v>
      </c>
      <c r="E873" s="24" t="s">
        <v>32</v>
      </c>
      <c r="F873" s="24" t="s">
        <v>35</v>
      </c>
      <c r="G873" s="23" t="s">
        <v>456</v>
      </c>
      <c r="H873" s="24" t="s">
        <v>48</v>
      </c>
      <c r="I873" s="24" t="s">
        <v>9</v>
      </c>
      <c r="J873" s="24" t="s">
        <v>24</v>
      </c>
      <c r="K873" s="24"/>
      <c r="L873" s="24" t="s">
        <v>29</v>
      </c>
    </row>
    <row r="874">
      <c r="A874" s="24">
        <f t="shared" si="1"/>
        <v>873</v>
      </c>
      <c r="B874" s="24" t="s">
        <v>455</v>
      </c>
      <c r="C874" s="275">
        <v>42861.0</v>
      </c>
      <c r="D874" s="24" t="str">
        <f t="shared" si="3"/>
        <v>May-2017</v>
      </c>
      <c r="E874" s="24" t="s">
        <v>20</v>
      </c>
      <c r="F874" s="24" t="s">
        <v>35</v>
      </c>
      <c r="G874" s="23" t="s">
        <v>458</v>
      </c>
      <c r="H874" s="24" t="s">
        <v>23</v>
      </c>
      <c r="I874" s="24" t="s">
        <v>9</v>
      </c>
      <c r="J874" s="24" t="s">
        <v>24</v>
      </c>
      <c r="K874" s="24" t="s">
        <v>24</v>
      </c>
      <c r="L874" s="24" t="s">
        <v>37</v>
      </c>
    </row>
    <row r="875">
      <c r="A875" s="24">
        <f t="shared" si="1"/>
        <v>874</v>
      </c>
      <c r="B875" s="24" t="s">
        <v>455</v>
      </c>
      <c r="C875" s="275">
        <v>42861.0</v>
      </c>
      <c r="D875" s="24" t="str">
        <f t="shared" si="3"/>
        <v>May-2017</v>
      </c>
      <c r="E875" s="24" t="s">
        <v>25</v>
      </c>
      <c r="F875" s="24" t="s">
        <v>35</v>
      </c>
      <c r="G875" s="23" t="s">
        <v>458</v>
      </c>
      <c r="H875" s="24" t="s">
        <v>23</v>
      </c>
      <c r="I875" s="24" t="s">
        <v>9</v>
      </c>
      <c r="J875" s="24" t="s">
        <v>24</v>
      </c>
      <c r="K875" s="24"/>
      <c r="L875" s="24" t="s">
        <v>106</v>
      </c>
    </row>
    <row r="876">
      <c r="A876" s="24">
        <f t="shared" si="1"/>
        <v>875</v>
      </c>
      <c r="B876" s="24" t="s">
        <v>455</v>
      </c>
      <c r="C876" s="275">
        <v>42861.0</v>
      </c>
      <c r="D876" s="24" t="str">
        <f t="shared" si="3"/>
        <v>May-2017</v>
      </c>
      <c r="E876" s="24" t="s">
        <v>20</v>
      </c>
      <c r="F876" s="24" t="s">
        <v>278</v>
      </c>
      <c r="G876" s="23" t="s">
        <v>460</v>
      </c>
      <c r="H876" s="24" t="s">
        <v>27</v>
      </c>
      <c r="I876" s="24" t="s">
        <v>9</v>
      </c>
      <c r="J876" s="24" t="s">
        <v>30</v>
      </c>
      <c r="K876" s="24" t="s">
        <v>30</v>
      </c>
      <c r="L876" s="24" t="s">
        <v>37</v>
      </c>
    </row>
    <row r="877">
      <c r="A877" s="24">
        <f t="shared" si="1"/>
        <v>876</v>
      </c>
      <c r="B877" s="24" t="s">
        <v>455</v>
      </c>
      <c r="C877" s="275">
        <v>42861.0</v>
      </c>
      <c r="D877" s="24" t="str">
        <f t="shared" si="3"/>
        <v>May-2017</v>
      </c>
      <c r="E877" s="24" t="s">
        <v>25</v>
      </c>
      <c r="F877" s="24" t="s">
        <v>278</v>
      </c>
      <c r="G877" s="23" t="s">
        <v>460</v>
      </c>
      <c r="H877" s="24" t="s">
        <v>27</v>
      </c>
      <c r="I877" s="24" t="s">
        <v>9</v>
      </c>
      <c r="J877" s="24" t="s">
        <v>30</v>
      </c>
      <c r="K877" s="24"/>
      <c r="L877" s="24" t="s">
        <v>99</v>
      </c>
    </row>
    <row r="878">
      <c r="A878" s="24">
        <f t="shared" si="1"/>
        <v>877</v>
      </c>
      <c r="B878" s="24" t="s">
        <v>455</v>
      </c>
      <c r="C878" s="275">
        <v>42861.0</v>
      </c>
      <c r="D878" s="24" t="str">
        <f t="shared" si="3"/>
        <v>May-2017</v>
      </c>
      <c r="E878" s="24" t="s">
        <v>20</v>
      </c>
      <c r="F878" s="24" t="s">
        <v>278</v>
      </c>
      <c r="G878" s="23" t="s">
        <v>461</v>
      </c>
      <c r="H878" s="24" t="s">
        <v>44</v>
      </c>
      <c r="I878" s="24" t="s">
        <v>9</v>
      </c>
      <c r="J878" s="24" t="s">
        <v>30</v>
      </c>
      <c r="K878" s="24" t="s">
        <v>30</v>
      </c>
      <c r="L878" s="24" t="s">
        <v>98</v>
      </c>
    </row>
    <row r="879">
      <c r="A879" s="24">
        <f t="shared" si="1"/>
        <v>878</v>
      </c>
      <c r="B879" s="24" t="s">
        <v>455</v>
      </c>
      <c r="C879" s="275">
        <v>42861.0</v>
      </c>
      <c r="D879" s="24" t="str">
        <f t="shared" si="3"/>
        <v>May-2017</v>
      </c>
      <c r="E879" s="24" t="s">
        <v>25</v>
      </c>
      <c r="F879" s="24" t="s">
        <v>278</v>
      </c>
      <c r="G879" s="23" t="s">
        <v>461</v>
      </c>
      <c r="H879" s="24" t="s">
        <v>44</v>
      </c>
      <c r="I879" s="24" t="s">
        <v>9</v>
      </c>
      <c r="J879" s="24" t="s">
        <v>30</v>
      </c>
      <c r="K879" s="24"/>
      <c r="L879" s="24" t="s">
        <v>69</v>
      </c>
    </row>
    <row r="880">
      <c r="A880" s="24">
        <f t="shared" si="1"/>
        <v>879</v>
      </c>
      <c r="B880" s="24" t="s">
        <v>455</v>
      </c>
      <c r="C880" s="275">
        <v>42861.0</v>
      </c>
      <c r="D880" s="24" t="str">
        <f t="shared" si="3"/>
        <v>May-2017</v>
      </c>
      <c r="E880" s="24" t="s">
        <v>20</v>
      </c>
      <c r="F880" s="24" t="s">
        <v>278</v>
      </c>
      <c r="G880" s="23" t="s">
        <v>462</v>
      </c>
      <c r="H880" s="24" t="s">
        <v>48</v>
      </c>
      <c r="I880" s="24" t="s">
        <v>9</v>
      </c>
      <c r="J880" s="24" t="s">
        <v>30</v>
      </c>
      <c r="K880" s="24" t="s">
        <v>30</v>
      </c>
      <c r="L880" s="24" t="s">
        <v>98</v>
      </c>
    </row>
    <row r="881">
      <c r="A881" s="24">
        <f t="shared" si="1"/>
        <v>880</v>
      </c>
      <c r="B881" s="24" t="s">
        <v>455</v>
      </c>
      <c r="C881" s="275">
        <v>42861.0</v>
      </c>
      <c r="D881" s="24" t="str">
        <f t="shared" si="3"/>
        <v>May-2017</v>
      </c>
      <c r="E881" s="24" t="s">
        <v>25</v>
      </c>
      <c r="F881" s="24" t="s">
        <v>278</v>
      </c>
      <c r="G881" s="23" t="s">
        <v>462</v>
      </c>
      <c r="H881" s="24" t="s">
        <v>48</v>
      </c>
      <c r="I881" s="24" t="s">
        <v>9</v>
      </c>
      <c r="J881" s="24" t="s">
        <v>24</v>
      </c>
      <c r="K881" s="24"/>
      <c r="L881" s="24" t="s">
        <v>99</v>
      </c>
    </row>
    <row r="882">
      <c r="A882" s="24">
        <f t="shared" si="1"/>
        <v>881</v>
      </c>
      <c r="B882" s="24" t="s">
        <v>455</v>
      </c>
      <c r="C882" s="275">
        <v>42861.0</v>
      </c>
      <c r="D882" s="24" t="str">
        <f t="shared" si="3"/>
        <v>May-2017</v>
      </c>
      <c r="E882" s="24" t="s">
        <v>32</v>
      </c>
      <c r="F882" s="24" t="s">
        <v>278</v>
      </c>
      <c r="G882" s="23" t="s">
        <v>462</v>
      </c>
      <c r="H882" s="24" t="s">
        <v>48</v>
      </c>
      <c r="I882" s="24" t="s">
        <v>9</v>
      </c>
      <c r="J882" s="24" t="s">
        <v>30</v>
      </c>
      <c r="K882" s="24"/>
      <c r="L882" s="24" t="s">
        <v>106</v>
      </c>
    </row>
    <row r="883">
      <c r="A883" s="24">
        <f t="shared" si="1"/>
        <v>882</v>
      </c>
      <c r="B883" s="24" t="s">
        <v>455</v>
      </c>
      <c r="C883" s="275">
        <v>42861.0</v>
      </c>
      <c r="D883" s="24" t="str">
        <f t="shared" si="3"/>
        <v>May-2017</v>
      </c>
      <c r="E883" s="24" t="s">
        <v>20</v>
      </c>
      <c r="F883" s="24" t="s">
        <v>278</v>
      </c>
      <c r="G883" s="23" t="s">
        <v>463</v>
      </c>
      <c r="H883" s="24" t="s">
        <v>9</v>
      </c>
      <c r="I883" s="24" t="s">
        <v>9</v>
      </c>
      <c r="J883" s="24" t="s">
        <v>30</v>
      </c>
      <c r="K883" s="24" t="s">
        <v>30</v>
      </c>
      <c r="L883" s="24" t="s">
        <v>98</v>
      </c>
    </row>
    <row r="884">
      <c r="A884" s="24">
        <f t="shared" si="1"/>
        <v>883</v>
      </c>
      <c r="B884" s="24" t="s">
        <v>455</v>
      </c>
      <c r="C884" s="275">
        <v>42861.0</v>
      </c>
      <c r="D884" s="24" t="str">
        <f t="shared" si="3"/>
        <v>May-2017</v>
      </c>
      <c r="E884" s="24" t="s">
        <v>25</v>
      </c>
      <c r="F884" s="24" t="s">
        <v>278</v>
      </c>
      <c r="G884" s="23" t="s">
        <v>463</v>
      </c>
      <c r="H884" s="24" t="s">
        <v>9</v>
      </c>
      <c r="I884" s="24" t="s">
        <v>9</v>
      </c>
      <c r="J884" s="24" t="s">
        <v>30</v>
      </c>
      <c r="K884" s="24"/>
      <c r="L884" s="24" t="s">
        <v>29</v>
      </c>
    </row>
    <row r="885">
      <c r="A885" s="24">
        <f t="shared" si="1"/>
        <v>884</v>
      </c>
      <c r="B885" s="24" t="s">
        <v>455</v>
      </c>
      <c r="C885" s="275">
        <v>42861.0</v>
      </c>
      <c r="D885" s="24" t="str">
        <f t="shared" si="3"/>
        <v>May-2017</v>
      </c>
      <c r="E885" s="24" t="s">
        <v>20</v>
      </c>
      <c r="F885" s="24" t="s">
        <v>278</v>
      </c>
      <c r="G885" s="23" t="s">
        <v>464</v>
      </c>
      <c r="H885" s="24" t="s">
        <v>27</v>
      </c>
      <c r="I885" s="24" t="s">
        <v>9</v>
      </c>
      <c r="J885" s="24" t="s">
        <v>30</v>
      </c>
      <c r="K885" s="24" t="s">
        <v>30</v>
      </c>
      <c r="L885" s="24" t="s">
        <v>37</v>
      </c>
    </row>
    <row r="886">
      <c r="A886" s="24">
        <f t="shared" si="1"/>
        <v>885</v>
      </c>
      <c r="B886" s="24" t="s">
        <v>455</v>
      </c>
      <c r="C886" s="275">
        <v>42861.0</v>
      </c>
      <c r="D886" s="24" t="str">
        <f t="shared" si="3"/>
        <v>May-2017</v>
      </c>
      <c r="E886" s="24" t="s">
        <v>25</v>
      </c>
      <c r="F886" s="24" t="s">
        <v>278</v>
      </c>
      <c r="G886" s="23" t="s">
        <v>464</v>
      </c>
      <c r="H886" s="24" t="s">
        <v>27</v>
      </c>
      <c r="I886" s="24" t="s">
        <v>9</v>
      </c>
      <c r="J886" s="24" t="s">
        <v>30</v>
      </c>
      <c r="K886" s="24"/>
      <c r="L886" s="24" t="s">
        <v>99</v>
      </c>
    </row>
    <row r="887">
      <c r="A887" s="24">
        <f t="shared" si="1"/>
        <v>886</v>
      </c>
      <c r="B887" s="24" t="s">
        <v>455</v>
      </c>
      <c r="C887" s="275">
        <v>42861.0</v>
      </c>
      <c r="D887" s="24" t="str">
        <f t="shared" si="3"/>
        <v>May-2017</v>
      </c>
      <c r="E887" s="24" t="s">
        <v>146</v>
      </c>
      <c r="F887" s="24" t="s">
        <v>278</v>
      </c>
      <c r="G887" s="23" t="s">
        <v>465</v>
      </c>
      <c r="H887" s="24" t="s">
        <v>139</v>
      </c>
      <c r="I887" s="24" t="s">
        <v>9</v>
      </c>
      <c r="J887" s="24" t="s">
        <v>24</v>
      </c>
      <c r="K887" s="24" t="s">
        <v>24</v>
      </c>
      <c r="L887" s="24" t="s">
        <v>98</v>
      </c>
    </row>
    <row r="888">
      <c r="A888" s="24">
        <f t="shared" si="1"/>
        <v>887</v>
      </c>
      <c r="B888" s="24" t="s">
        <v>455</v>
      </c>
      <c r="C888" s="275">
        <v>42861.0</v>
      </c>
      <c r="D888" s="24" t="str">
        <f t="shared" si="3"/>
        <v>May-2017</v>
      </c>
      <c r="E888" s="24" t="s">
        <v>149</v>
      </c>
      <c r="F888" s="24" t="s">
        <v>278</v>
      </c>
      <c r="G888" s="23" t="s">
        <v>465</v>
      </c>
      <c r="H888" s="24" t="s">
        <v>139</v>
      </c>
      <c r="I888" s="24" t="s">
        <v>9</v>
      </c>
      <c r="J888" s="24" t="s">
        <v>24</v>
      </c>
      <c r="K888" s="24"/>
      <c r="L888" s="24" t="s">
        <v>106</v>
      </c>
    </row>
    <row r="889">
      <c r="A889" s="24">
        <f t="shared" si="1"/>
        <v>888</v>
      </c>
      <c r="B889" s="24" t="s">
        <v>455</v>
      </c>
      <c r="C889" s="275">
        <v>42861.0</v>
      </c>
      <c r="D889" s="24" t="str">
        <f t="shared" si="3"/>
        <v>May-2017</v>
      </c>
      <c r="E889" s="24" t="s">
        <v>222</v>
      </c>
      <c r="F889" s="24" t="s">
        <v>278</v>
      </c>
      <c r="G889" s="23" t="s">
        <v>465</v>
      </c>
      <c r="H889" s="24" t="s">
        <v>139</v>
      </c>
      <c r="I889" s="24" t="s">
        <v>27</v>
      </c>
      <c r="J889" s="24" t="s">
        <v>30</v>
      </c>
      <c r="K889" s="24"/>
      <c r="L889" s="24" t="s">
        <v>106</v>
      </c>
    </row>
    <row r="890">
      <c r="A890" s="24">
        <f t="shared" si="1"/>
        <v>889</v>
      </c>
      <c r="B890" s="24" t="s">
        <v>455</v>
      </c>
      <c r="C890" s="275">
        <v>42861.0</v>
      </c>
      <c r="D890" s="24" t="str">
        <f t="shared" si="3"/>
        <v>May-2017</v>
      </c>
      <c r="E890" s="24" t="s">
        <v>467</v>
      </c>
      <c r="F890" s="24" t="s">
        <v>278</v>
      </c>
      <c r="G890" s="23" t="s">
        <v>465</v>
      </c>
      <c r="H890" s="24" t="s">
        <v>139</v>
      </c>
      <c r="I890" s="24" t="s">
        <v>27</v>
      </c>
      <c r="J890" s="24" t="s">
        <v>24</v>
      </c>
      <c r="K890" s="24"/>
      <c r="L890" s="24" t="s">
        <v>29</v>
      </c>
    </row>
    <row r="891">
      <c r="A891" s="24">
        <f t="shared" si="1"/>
        <v>890</v>
      </c>
      <c r="B891" s="24" t="s">
        <v>468</v>
      </c>
      <c r="C891" s="275">
        <v>42863.0</v>
      </c>
      <c r="D891" s="24" t="str">
        <f t="shared" si="3"/>
        <v>May-2017</v>
      </c>
      <c r="E891" s="24" t="s">
        <v>20</v>
      </c>
      <c r="F891" s="24" t="s">
        <v>35</v>
      </c>
      <c r="G891" s="23" t="s">
        <v>469</v>
      </c>
      <c r="H891" s="24" t="s">
        <v>44</v>
      </c>
      <c r="I891" s="24" t="s">
        <v>9</v>
      </c>
      <c r="J891" s="24" t="s">
        <v>30</v>
      </c>
      <c r="K891" s="24" t="s">
        <v>30</v>
      </c>
      <c r="L891" s="24" t="s">
        <v>98</v>
      </c>
    </row>
    <row r="892">
      <c r="A892" s="24">
        <f t="shared" si="1"/>
        <v>891</v>
      </c>
      <c r="B892" s="24" t="s">
        <v>468</v>
      </c>
      <c r="C892" s="275">
        <v>42863.0</v>
      </c>
      <c r="D892" s="24" t="str">
        <f t="shared" si="3"/>
        <v>May-2017</v>
      </c>
      <c r="E892" s="24" t="s">
        <v>25</v>
      </c>
      <c r="F892" s="24" t="s">
        <v>35</v>
      </c>
      <c r="G892" s="23" t="s">
        <v>469</v>
      </c>
      <c r="H892" s="24" t="s">
        <v>44</v>
      </c>
      <c r="I892" s="24" t="s">
        <v>9</v>
      </c>
      <c r="J892" s="24" t="s">
        <v>30</v>
      </c>
      <c r="K892" s="24"/>
      <c r="L892" s="24" t="s">
        <v>69</v>
      </c>
    </row>
    <row r="893">
      <c r="A893" s="24">
        <f t="shared" si="1"/>
        <v>892</v>
      </c>
      <c r="B893" s="24" t="s">
        <v>468</v>
      </c>
      <c r="C893" s="275">
        <v>42863.0</v>
      </c>
      <c r="D893" s="24" t="str">
        <f t="shared" si="3"/>
        <v>May-2017</v>
      </c>
      <c r="E893" s="24" t="s">
        <v>20</v>
      </c>
      <c r="F893" s="24" t="s">
        <v>35</v>
      </c>
      <c r="G893" s="23" t="s">
        <v>470</v>
      </c>
      <c r="H893" s="24" t="s">
        <v>44</v>
      </c>
      <c r="I893" s="24" t="s">
        <v>9</v>
      </c>
      <c r="J893" s="24" t="s">
        <v>24</v>
      </c>
      <c r="K893" s="24" t="s">
        <v>24</v>
      </c>
      <c r="L893" s="24" t="s">
        <v>69</v>
      </c>
    </row>
    <row r="894">
      <c r="A894" s="24">
        <f t="shared" si="1"/>
        <v>893</v>
      </c>
      <c r="B894" s="24" t="s">
        <v>468</v>
      </c>
      <c r="C894" s="275">
        <v>42863.0</v>
      </c>
      <c r="D894" s="24" t="str">
        <f t="shared" si="3"/>
        <v>May-2017</v>
      </c>
      <c r="E894" s="24" t="s">
        <v>25</v>
      </c>
      <c r="F894" s="24" t="s">
        <v>35</v>
      </c>
      <c r="G894" s="23" t="s">
        <v>470</v>
      </c>
      <c r="H894" s="24" t="s">
        <v>44</v>
      </c>
      <c r="I894" s="24" t="s">
        <v>9</v>
      </c>
      <c r="J894" s="24" t="s">
        <v>30</v>
      </c>
      <c r="K894" s="24"/>
      <c r="L894" s="24" t="s">
        <v>98</v>
      </c>
    </row>
    <row r="895">
      <c r="A895" s="24">
        <f t="shared" si="1"/>
        <v>894</v>
      </c>
      <c r="B895" s="24" t="s">
        <v>468</v>
      </c>
      <c r="C895" s="275">
        <v>42863.0</v>
      </c>
      <c r="D895" s="24" t="str">
        <f t="shared" si="3"/>
        <v>May-2017</v>
      </c>
      <c r="E895" s="24" t="s">
        <v>32</v>
      </c>
      <c r="F895" s="24" t="s">
        <v>35</v>
      </c>
      <c r="G895" s="23" t="s">
        <v>470</v>
      </c>
      <c r="H895" s="24" t="s">
        <v>44</v>
      </c>
      <c r="I895" s="24" t="s">
        <v>9</v>
      </c>
      <c r="J895" s="24" t="s">
        <v>24</v>
      </c>
      <c r="K895" s="24"/>
      <c r="L895" s="24" t="s">
        <v>99</v>
      </c>
    </row>
    <row r="896">
      <c r="A896" s="24">
        <f t="shared" si="1"/>
        <v>895</v>
      </c>
      <c r="B896" s="24" t="s">
        <v>468</v>
      </c>
      <c r="C896" s="275">
        <v>42863.0</v>
      </c>
      <c r="D896" s="24" t="str">
        <f t="shared" si="3"/>
        <v>May-2017</v>
      </c>
      <c r="E896" s="24" t="s">
        <v>20</v>
      </c>
      <c r="F896" s="24" t="s">
        <v>35</v>
      </c>
      <c r="G896" s="23" t="s">
        <v>471</v>
      </c>
      <c r="H896" s="24" t="s">
        <v>48</v>
      </c>
      <c r="I896" s="24" t="s">
        <v>9</v>
      </c>
      <c r="J896" s="24" t="s">
        <v>30</v>
      </c>
      <c r="K896" s="24" t="s">
        <v>30</v>
      </c>
      <c r="L896" s="24" t="s">
        <v>29</v>
      </c>
    </row>
    <row r="897">
      <c r="A897" s="24">
        <f t="shared" si="1"/>
        <v>896</v>
      </c>
      <c r="B897" s="24" t="s">
        <v>468</v>
      </c>
      <c r="C897" s="275">
        <v>42863.0</v>
      </c>
      <c r="D897" s="24" t="str">
        <f t="shared" si="3"/>
        <v>May-2017</v>
      </c>
      <c r="E897" s="24" t="s">
        <v>25</v>
      </c>
      <c r="F897" s="24" t="s">
        <v>35</v>
      </c>
      <c r="G897" s="23" t="s">
        <v>471</v>
      </c>
      <c r="H897" s="24" t="s">
        <v>48</v>
      </c>
      <c r="I897" s="24" t="s">
        <v>9</v>
      </c>
      <c r="J897" s="24" t="s">
        <v>30</v>
      </c>
      <c r="K897" s="24"/>
      <c r="L897" s="24" t="s">
        <v>106</v>
      </c>
    </row>
    <row r="898">
      <c r="A898" s="24">
        <f t="shared" si="1"/>
        <v>897</v>
      </c>
      <c r="B898" s="24" t="s">
        <v>468</v>
      </c>
      <c r="C898" s="275">
        <v>42863.0</v>
      </c>
      <c r="D898" s="24" t="str">
        <f t="shared" si="3"/>
        <v>May-2017</v>
      </c>
      <c r="E898" s="24" t="s">
        <v>20</v>
      </c>
      <c r="F898" s="24" t="s">
        <v>35</v>
      </c>
      <c r="G898" s="23" t="s">
        <v>472</v>
      </c>
      <c r="H898" s="24" t="s">
        <v>71</v>
      </c>
      <c r="I898" s="24" t="s">
        <v>9</v>
      </c>
      <c r="J898" s="24" t="s">
        <v>30</v>
      </c>
      <c r="K898" s="24" t="s">
        <v>30</v>
      </c>
      <c r="L898" s="24" t="s">
        <v>99</v>
      </c>
    </row>
    <row r="899">
      <c r="A899" s="24">
        <f t="shared" si="1"/>
        <v>898</v>
      </c>
      <c r="B899" s="24" t="s">
        <v>468</v>
      </c>
      <c r="C899" s="275">
        <v>42863.0</v>
      </c>
      <c r="D899" s="24" t="str">
        <f t="shared" si="3"/>
        <v>May-2017</v>
      </c>
      <c r="E899" s="24" t="s">
        <v>25</v>
      </c>
      <c r="F899" s="24" t="s">
        <v>35</v>
      </c>
      <c r="G899" s="23" t="s">
        <v>472</v>
      </c>
      <c r="H899" s="24" t="s">
        <v>71</v>
      </c>
      <c r="I899" s="24" t="s">
        <v>9</v>
      </c>
      <c r="J899" s="24" t="s">
        <v>30</v>
      </c>
      <c r="K899" s="24"/>
      <c r="L899" s="24" t="s">
        <v>99</v>
      </c>
    </row>
    <row r="900">
      <c r="A900" s="24">
        <f t="shared" si="1"/>
        <v>899</v>
      </c>
      <c r="B900" s="24" t="s">
        <v>468</v>
      </c>
      <c r="C900" s="275">
        <v>42863.0</v>
      </c>
      <c r="D900" s="24" t="str">
        <f t="shared" si="3"/>
        <v>May-2017</v>
      </c>
      <c r="E900" s="24" t="s">
        <v>20</v>
      </c>
      <c r="F900" s="24" t="s">
        <v>35</v>
      </c>
      <c r="G900" s="23" t="s">
        <v>190</v>
      </c>
      <c r="H900" s="24" t="s">
        <v>9</v>
      </c>
      <c r="I900" s="24" t="s">
        <v>9</v>
      </c>
      <c r="J900" s="24" t="s">
        <v>24</v>
      </c>
      <c r="K900" s="24" t="s">
        <v>24</v>
      </c>
      <c r="L900" s="24" t="s">
        <v>98</v>
      </c>
    </row>
    <row r="901">
      <c r="A901" s="24">
        <f t="shared" si="1"/>
        <v>900</v>
      </c>
      <c r="B901" s="24" t="s">
        <v>468</v>
      </c>
      <c r="C901" s="275">
        <v>42863.0</v>
      </c>
      <c r="D901" s="24" t="str">
        <f t="shared" si="3"/>
        <v>May-2017</v>
      </c>
      <c r="E901" s="24" t="s">
        <v>25</v>
      </c>
      <c r="F901" s="24" t="s">
        <v>35</v>
      </c>
      <c r="G901" s="23" t="s">
        <v>190</v>
      </c>
      <c r="H901" s="24" t="s">
        <v>9</v>
      </c>
      <c r="I901" s="24" t="s">
        <v>9</v>
      </c>
      <c r="J901" s="24" t="s">
        <v>30</v>
      </c>
      <c r="K901" s="24"/>
      <c r="L901" s="24" t="s">
        <v>69</v>
      </c>
    </row>
    <row r="902">
      <c r="A902" s="24">
        <f t="shared" si="1"/>
        <v>901</v>
      </c>
      <c r="B902" s="24" t="s">
        <v>468</v>
      </c>
      <c r="C902" s="275">
        <v>42863.0</v>
      </c>
      <c r="D902" s="24" t="str">
        <f t="shared" si="3"/>
        <v>May-2017</v>
      </c>
      <c r="E902" s="24" t="s">
        <v>32</v>
      </c>
      <c r="F902" s="24" t="s">
        <v>35</v>
      </c>
      <c r="G902" s="23" t="s">
        <v>190</v>
      </c>
      <c r="H902" s="24" t="s">
        <v>9</v>
      </c>
      <c r="I902" s="24" t="s">
        <v>9</v>
      </c>
      <c r="J902" s="24" t="s">
        <v>24</v>
      </c>
      <c r="K902" s="24"/>
      <c r="L902" s="24" t="s">
        <v>37</v>
      </c>
    </row>
    <row r="903">
      <c r="A903" s="24">
        <f t="shared" si="1"/>
        <v>902</v>
      </c>
      <c r="B903" s="24" t="s">
        <v>473</v>
      </c>
      <c r="C903" s="275">
        <v>42865.0</v>
      </c>
      <c r="D903" s="24" t="str">
        <f t="shared" si="3"/>
        <v>May-2017</v>
      </c>
      <c r="E903" s="24" t="s">
        <v>20</v>
      </c>
      <c r="F903" s="24" t="s">
        <v>35</v>
      </c>
      <c r="G903" s="23" t="s">
        <v>135</v>
      </c>
      <c r="H903" s="24" t="s">
        <v>86</v>
      </c>
      <c r="I903" s="24" t="s">
        <v>9</v>
      </c>
      <c r="J903" s="24" t="s">
        <v>24</v>
      </c>
      <c r="K903" s="24" t="s">
        <v>24</v>
      </c>
      <c r="L903" s="24" t="s">
        <v>69</v>
      </c>
    </row>
    <row r="904">
      <c r="A904" s="24">
        <f t="shared" si="1"/>
        <v>903</v>
      </c>
      <c r="B904" s="24" t="s">
        <v>473</v>
      </c>
      <c r="C904" s="275">
        <v>42865.0</v>
      </c>
      <c r="D904" s="24" t="str">
        <f t="shared" si="3"/>
        <v>May-2017</v>
      </c>
      <c r="E904" s="24" t="s">
        <v>25</v>
      </c>
      <c r="F904" s="24" t="s">
        <v>35</v>
      </c>
      <c r="G904" s="23" t="s">
        <v>135</v>
      </c>
      <c r="H904" s="24" t="s">
        <v>86</v>
      </c>
      <c r="I904" s="24" t="s">
        <v>9</v>
      </c>
      <c r="J904" s="24" t="s">
        <v>30</v>
      </c>
      <c r="K904" s="24"/>
      <c r="L904" s="24" t="s">
        <v>99</v>
      </c>
    </row>
    <row r="905">
      <c r="A905" s="24">
        <f t="shared" si="1"/>
        <v>904</v>
      </c>
      <c r="B905" s="24" t="s">
        <v>473</v>
      </c>
      <c r="C905" s="275">
        <v>42865.0</v>
      </c>
      <c r="D905" s="24" t="str">
        <f t="shared" si="3"/>
        <v>May-2017</v>
      </c>
      <c r="E905" s="24" t="s">
        <v>32</v>
      </c>
      <c r="F905" s="24" t="s">
        <v>35</v>
      </c>
      <c r="G905" s="23" t="s">
        <v>135</v>
      </c>
      <c r="H905" s="24" t="s">
        <v>86</v>
      </c>
      <c r="I905" s="24" t="s">
        <v>9</v>
      </c>
      <c r="J905" s="24" t="s">
        <v>24</v>
      </c>
      <c r="K905" s="24"/>
      <c r="L905" s="24" t="s">
        <v>98</v>
      </c>
    </row>
    <row r="906">
      <c r="A906" s="24">
        <f t="shared" si="1"/>
        <v>905</v>
      </c>
      <c r="B906" s="24" t="s">
        <v>473</v>
      </c>
      <c r="C906" s="275">
        <v>42865.0</v>
      </c>
      <c r="D906" s="24" t="str">
        <f t="shared" si="3"/>
        <v>May-2017</v>
      </c>
      <c r="E906" s="24" t="s">
        <v>20</v>
      </c>
      <c r="F906" s="24" t="s">
        <v>35</v>
      </c>
      <c r="G906" s="23" t="s">
        <v>474</v>
      </c>
      <c r="H906" s="24" t="s">
        <v>27</v>
      </c>
      <c r="I906" s="24" t="s">
        <v>9</v>
      </c>
      <c r="J906" s="24" t="s">
        <v>30</v>
      </c>
      <c r="K906" s="24" t="s">
        <v>30</v>
      </c>
      <c r="L906" s="24" t="s">
        <v>69</v>
      </c>
    </row>
    <row r="907">
      <c r="A907" s="24">
        <f t="shared" si="1"/>
        <v>906</v>
      </c>
      <c r="B907" s="24" t="s">
        <v>473</v>
      </c>
      <c r="C907" s="275">
        <v>42865.0</v>
      </c>
      <c r="D907" s="24" t="str">
        <f t="shared" si="3"/>
        <v>May-2017</v>
      </c>
      <c r="E907" s="24" t="s">
        <v>25</v>
      </c>
      <c r="F907" s="24" t="s">
        <v>35</v>
      </c>
      <c r="G907" s="23" t="s">
        <v>474</v>
      </c>
      <c r="H907" s="24" t="s">
        <v>27</v>
      </c>
      <c r="I907" s="24" t="s">
        <v>9</v>
      </c>
      <c r="J907" s="24" t="s">
        <v>30</v>
      </c>
      <c r="K907" s="24"/>
      <c r="L907" s="24" t="s">
        <v>99</v>
      </c>
    </row>
    <row r="908">
      <c r="A908" s="24">
        <f t="shared" si="1"/>
        <v>907</v>
      </c>
      <c r="B908" s="24" t="s">
        <v>473</v>
      </c>
      <c r="C908" s="275">
        <v>42865.0</v>
      </c>
      <c r="D908" s="24" t="str">
        <f t="shared" si="3"/>
        <v>May-2017</v>
      </c>
      <c r="E908" s="24" t="s">
        <v>20</v>
      </c>
      <c r="F908" s="24" t="s">
        <v>35</v>
      </c>
      <c r="G908" s="23" t="s">
        <v>472</v>
      </c>
      <c r="H908" s="24" t="s">
        <v>71</v>
      </c>
      <c r="I908" s="24" t="s">
        <v>9</v>
      </c>
      <c r="J908" s="24" t="s">
        <v>30</v>
      </c>
      <c r="K908" s="24" t="s">
        <v>30</v>
      </c>
      <c r="L908" s="24" t="s">
        <v>99</v>
      </c>
    </row>
    <row r="909">
      <c r="A909" s="24">
        <f t="shared" si="1"/>
        <v>908</v>
      </c>
      <c r="B909" s="24" t="s">
        <v>473</v>
      </c>
      <c r="C909" s="275">
        <v>42865.0</v>
      </c>
      <c r="D909" s="24" t="str">
        <f t="shared" si="3"/>
        <v>May-2017</v>
      </c>
      <c r="E909" s="24" t="s">
        <v>25</v>
      </c>
      <c r="F909" s="24" t="s">
        <v>35</v>
      </c>
      <c r="G909" s="23" t="s">
        <v>472</v>
      </c>
      <c r="H909" s="24" t="s">
        <v>71</v>
      </c>
      <c r="I909" s="24" t="s">
        <v>9</v>
      </c>
      <c r="J909" s="24" t="s">
        <v>30</v>
      </c>
      <c r="K909" s="24"/>
      <c r="L909" s="24" t="s">
        <v>37</v>
      </c>
    </row>
    <row r="910">
      <c r="A910" s="24">
        <f t="shared" si="1"/>
        <v>909</v>
      </c>
      <c r="B910" s="24" t="s">
        <v>473</v>
      </c>
      <c r="C910" s="275">
        <v>42865.0</v>
      </c>
      <c r="D910" s="24" t="str">
        <f t="shared" si="3"/>
        <v>May-2017</v>
      </c>
      <c r="E910" s="24" t="s">
        <v>20</v>
      </c>
      <c r="F910" s="24" t="s">
        <v>35</v>
      </c>
      <c r="G910" s="23" t="s">
        <v>218</v>
      </c>
      <c r="H910" s="24" t="s">
        <v>86</v>
      </c>
      <c r="I910" s="24" t="s">
        <v>9</v>
      </c>
      <c r="J910" s="24" t="s">
        <v>24</v>
      </c>
      <c r="K910" s="24" t="s">
        <v>30</v>
      </c>
      <c r="L910" s="24" t="s">
        <v>69</v>
      </c>
    </row>
    <row r="911">
      <c r="A911" s="24">
        <f t="shared" si="1"/>
        <v>910</v>
      </c>
      <c r="B911" s="24" t="s">
        <v>473</v>
      </c>
      <c r="C911" s="275">
        <v>42865.0</v>
      </c>
      <c r="D911" s="24" t="str">
        <f t="shared" si="3"/>
        <v>May-2017</v>
      </c>
      <c r="E911" s="24" t="s">
        <v>25</v>
      </c>
      <c r="F911" s="24" t="s">
        <v>35</v>
      </c>
      <c r="G911" s="23" t="s">
        <v>218</v>
      </c>
      <c r="H911" s="24" t="s">
        <v>86</v>
      </c>
      <c r="I911" s="24" t="s">
        <v>9</v>
      </c>
      <c r="J911" s="24" t="s">
        <v>30</v>
      </c>
      <c r="K911" s="24"/>
      <c r="L911" s="24" t="s">
        <v>99</v>
      </c>
    </row>
    <row r="912">
      <c r="A912" s="24">
        <f t="shared" si="1"/>
        <v>911</v>
      </c>
      <c r="B912" s="24" t="s">
        <v>473</v>
      </c>
      <c r="C912" s="275">
        <v>42865.0</v>
      </c>
      <c r="D912" s="24" t="str">
        <f t="shared" si="3"/>
        <v>May-2017</v>
      </c>
      <c r="E912" s="24" t="s">
        <v>32</v>
      </c>
      <c r="F912" s="24" t="s">
        <v>35</v>
      </c>
      <c r="G912" s="23" t="s">
        <v>218</v>
      </c>
      <c r="H912" s="24" t="s">
        <v>86</v>
      </c>
      <c r="I912" s="24" t="s">
        <v>9</v>
      </c>
      <c r="J912" s="24" t="s">
        <v>30</v>
      </c>
      <c r="K912" s="24"/>
      <c r="L912" s="24" t="s">
        <v>98</v>
      </c>
    </row>
    <row r="913">
      <c r="A913" s="24">
        <f t="shared" si="1"/>
        <v>912</v>
      </c>
      <c r="B913" s="24" t="s">
        <v>473</v>
      </c>
      <c r="C913" s="275">
        <v>42865.0</v>
      </c>
      <c r="D913" s="24" t="str">
        <f t="shared" si="3"/>
        <v>May-2017</v>
      </c>
      <c r="E913" s="24" t="s">
        <v>20</v>
      </c>
      <c r="F913" s="24" t="s">
        <v>35</v>
      </c>
      <c r="G913" s="23" t="s">
        <v>142</v>
      </c>
      <c r="H913" s="24" t="s">
        <v>44</v>
      </c>
      <c r="I913" s="24" t="s">
        <v>9</v>
      </c>
      <c r="J913" s="24" t="s">
        <v>24</v>
      </c>
      <c r="K913" s="24" t="s">
        <v>24</v>
      </c>
      <c r="L913" s="24" t="s">
        <v>98</v>
      </c>
    </row>
    <row r="914">
      <c r="A914" s="24">
        <f t="shared" si="1"/>
        <v>913</v>
      </c>
      <c r="B914" s="24" t="s">
        <v>473</v>
      </c>
      <c r="C914" s="275">
        <v>42865.0</v>
      </c>
      <c r="D914" s="24" t="str">
        <f t="shared" si="3"/>
        <v>May-2017</v>
      </c>
      <c r="E914" s="24" t="s">
        <v>25</v>
      </c>
      <c r="F914" s="24" t="s">
        <v>35</v>
      </c>
      <c r="G914" s="23" t="s">
        <v>142</v>
      </c>
      <c r="H914" s="24" t="s">
        <v>44</v>
      </c>
      <c r="I914" s="24" t="s">
        <v>9</v>
      </c>
      <c r="J914" s="24" t="s">
        <v>24</v>
      </c>
      <c r="K914" s="24"/>
      <c r="L914" s="24" t="s">
        <v>99</v>
      </c>
    </row>
    <row r="915">
      <c r="A915" s="24">
        <f t="shared" si="1"/>
        <v>914</v>
      </c>
      <c r="B915" s="24" t="s">
        <v>477</v>
      </c>
      <c r="C915" s="275">
        <v>42867.0</v>
      </c>
      <c r="D915" s="24" t="str">
        <f t="shared" si="3"/>
        <v>May-2017</v>
      </c>
      <c r="E915" s="24" t="s">
        <v>20</v>
      </c>
      <c r="F915" s="24" t="s">
        <v>35</v>
      </c>
      <c r="G915" s="23" t="s">
        <v>119</v>
      </c>
      <c r="H915" s="24" t="s">
        <v>48</v>
      </c>
      <c r="I915" s="24" t="s">
        <v>9</v>
      </c>
      <c r="J915" s="24" t="s">
        <v>30</v>
      </c>
      <c r="K915" s="24" t="s">
        <v>30</v>
      </c>
      <c r="L915" s="24" t="s">
        <v>98</v>
      </c>
    </row>
    <row r="916">
      <c r="A916" s="24">
        <f t="shared" si="1"/>
        <v>915</v>
      </c>
      <c r="B916" s="24" t="s">
        <v>477</v>
      </c>
      <c r="C916" s="275">
        <v>42867.0</v>
      </c>
      <c r="D916" s="24" t="str">
        <f t="shared" si="3"/>
        <v>May-2017</v>
      </c>
      <c r="E916" s="24" t="s">
        <v>25</v>
      </c>
      <c r="F916" s="24" t="s">
        <v>35</v>
      </c>
      <c r="G916" s="23" t="s">
        <v>119</v>
      </c>
      <c r="H916" s="24" t="s">
        <v>48</v>
      </c>
      <c r="I916" s="24" t="s">
        <v>9</v>
      </c>
      <c r="J916" s="24" t="s">
        <v>30</v>
      </c>
      <c r="K916" s="24"/>
      <c r="L916" s="24" t="s">
        <v>99</v>
      </c>
    </row>
    <row r="917">
      <c r="A917" s="24">
        <f t="shared" si="1"/>
        <v>916</v>
      </c>
      <c r="B917" s="24" t="s">
        <v>477</v>
      </c>
      <c r="C917" s="275">
        <v>42867.0</v>
      </c>
      <c r="D917" s="24" t="str">
        <f t="shared" si="3"/>
        <v>May-2017</v>
      </c>
      <c r="E917" s="24" t="s">
        <v>20</v>
      </c>
      <c r="F917" s="24" t="s">
        <v>35</v>
      </c>
      <c r="G917" s="23" t="s">
        <v>431</v>
      </c>
      <c r="H917" s="24" t="s">
        <v>23</v>
      </c>
      <c r="I917" s="24" t="s">
        <v>9</v>
      </c>
      <c r="J917" s="24" t="s">
        <v>30</v>
      </c>
      <c r="K917" s="24" t="s">
        <v>30</v>
      </c>
      <c r="L917" s="24" t="s">
        <v>98</v>
      </c>
    </row>
    <row r="918">
      <c r="A918" s="24">
        <f t="shared" si="1"/>
        <v>917</v>
      </c>
      <c r="B918" s="24" t="s">
        <v>477</v>
      </c>
      <c r="C918" s="275">
        <v>42867.0</v>
      </c>
      <c r="D918" s="24" t="str">
        <f t="shared" si="3"/>
        <v>May-2017</v>
      </c>
      <c r="E918" s="24" t="s">
        <v>25</v>
      </c>
      <c r="F918" s="24" t="s">
        <v>35</v>
      </c>
      <c r="G918" s="23" t="s">
        <v>431</v>
      </c>
      <c r="H918" s="24" t="s">
        <v>23</v>
      </c>
      <c r="I918" s="24" t="s">
        <v>9</v>
      </c>
      <c r="J918" s="24" t="s">
        <v>30</v>
      </c>
      <c r="K918" s="24"/>
      <c r="L918" s="24" t="s">
        <v>37</v>
      </c>
    </row>
    <row r="919">
      <c r="A919" s="24">
        <f t="shared" si="1"/>
        <v>918</v>
      </c>
      <c r="B919" s="24" t="s">
        <v>477</v>
      </c>
      <c r="C919" s="275">
        <v>42867.0</v>
      </c>
      <c r="D919" s="24" t="str">
        <f t="shared" si="3"/>
        <v>May-2017</v>
      </c>
      <c r="E919" s="24" t="s">
        <v>146</v>
      </c>
      <c r="F919" s="24" t="s">
        <v>35</v>
      </c>
      <c r="G919" s="23" t="s">
        <v>274</v>
      </c>
      <c r="H919" s="24" t="s">
        <v>71</v>
      </c>
      <c r="I919" s="24" t="s">
        <v>9</v>
      </c>
      <c r="J919" s="24" t="s">
        <v>24</v>
      </c>
      <c r="K919" s="24" t="s">
        <v>24</v>
      </c>
      <c r="L919" s="24" t="s">
        <v>99</v>
      </c>
    </row>
    <row r="920">
      <c r="A920" s="24">
        <f t="shared" si="1"/>
        <v>919</v>
      </c>
      <c r="B920" s="24" t="s">
        <v>477</v>
      </c>
      <c r="C920" s="275">
        <v>42867.0</v>
      </c>
      <c r="D920" s="24" t="str">
        <f t="shared" si="3"/>
        <v>May-2017</v>
      </c>
      <c r="E920" s="24" t="s">
        <v>149</v>
      </c>
      <c r="F920" s="24" t="s">
        <v>35</v>
      </c>
      <c r="G920" s="23" t="s">
        <v>274</v>
      </c>
      <c r="H920" s="24" t="s">
        <v>71</v>
      </c>
      <c r="I920" s="24" t="s">
        <v>9</v>
      </c>
      <c r="J920" s="24" t="s">
        <v>30</v>
      </c>
      <c r="K920" s="24"/>
      <c r="L920" s="24" t="s">
        <v>69</v>
      </c>
    </row>
    <row r="921">
      <c r="A921" s="24">
        <f t="shared" si="1"/>
        <v>920</v>
      </c>
      <c r="B921" s="24" t="s">
        <v>477</v>
      </c>
      <c r="C921" s="275">
        <v>42867.0</v>
      </c>
      <c r="D921" s="24" t="str">
        <f t="shared" si="3"/>
        <v>May-2017</v>
      </c>
      <c r="E921" s="24" t="s">
        <v>222</v>
      </c>
      <c r="F921" s="24" t="s">
        <v>35</v>
      </c>
      <c r="G921" s="23" t="s">
        <v>274</v>
      </c>
      <c r="H921" s="24" t="s">
        <v>71</v>
      </c>
      <c r="I921" s="24" t="s">
        <v>9</v>
      </c>
      <c r="J921" s="24" t="s">
        <v>24</v>
      </c>
      <c r="K921" s="24"/>
      <c r="L921" s="24" t="s">
        <v>37</v>
      </c>
    </row>
    <row r="922">
      <c r="A922" s="24">
        <f t="shared" si="1"/>
        <v>921</v>
      </c>
      <c r="B922" s="24" t="s">
        <v>477</v>
      </c>
      <c r="C922" s="275">
        <v>42867.0</v>
      </c>
      <c r="D922" s="24" t="str">
        <f t="shared" si="3"/>
        <v>May-2017</v>
      </c>
      <c r="E922" s="24" t="s">
        <v>467</v>
      </c>
      <c r="F922" s="24" t="s">
        <v>35</v>
      </c>
      <c r="G922" s="23" t="s">
        <v>274</v>
      </c>
      <c r="H922" s="24" t="s">
        <v>71</v>
      </c>
      <c r="I922" s="24" t="s">
        <v>9</v>
      </c>
      <c r="J922" s="24" t="s">
        <v>24</v>
      </c>
      <c r="K922" s="24"/>
      <c r="L922" s="24" t="s">
        <v>106</v>
      </c>
    </row>
    <row r="923">
      <c r="A923" s="24">
        <f t="shared" si="1"/>
        <v>922</v>
      </c>
      <c r="B923" s="24" t="s">
        <v>477</v>
      </c>
      <c r="C923" s="275">
        <v>42867.0</v>
      </c>
      <c r="D923" s="24" t="str">
        <f t="shared" si="3"/>
        <v>May-2017</v>
      </c>
      <c r="E923" s="24" t="s">
        <v>146</v>
      </c>
      <c r="F923" s="24" t="s">
        <v>35</v>
      </c>
      <c r="G923" s="23" t="s">
        <v>478</v>
      </c>
      <c r="H923" s="24" t="s">
        <v>479</v>
      </c>
      <c r="I923" s="24" t="s">
        <v>9</v>
      </c>
      <c r="J923" s="24" t="s">
        <v>30</v>
      </c>
      <c r="K923" s="24" t="s">
        <v>30</v>
      </c>
      <c r="L923" s="24" t="s">
        <v>99</v>
      </c>
    </row>
    <row r="924">
      <c r="A924" s="24">
        <f t="shared" si="1"/>
        <v>923</v>
      </c>
      <c r="B924" s="24" t="s">
        <v>477</v>
      </c>
      <c r="C924" s="275">
        <v>42867.0</v>
      </c>
      <c r="D924" s="24" t="str">
        <f t="shared" si="3"/>
        <v>May-2017</v>
      </c>
      <c r="E924" s="24" t="s">
        <v>149</v>
      </c>
      <c r="F924" s="24" t="s">
        <v>35</v>
      </c>
      <c r="G924" s="23" t="s">
        <v>478</v>
      </c>
      <c r="H924" s="24" t="s">
        <v>479</v>
      </c>
      <c r="I924" s="24" t="s">
        <v>9</v>
      </c>
      <c r="J924" s="24" t="s">
        <v>24</v>
      </c>
      <c r="K924" s="24"/>
      <c r="L924" s="24" t="s">
        <v>99</v>
      </c>
    </row>
    <row r="925">
      <c r="A925" s="24">
        <f t="shared" si="1"/>
        <v>924</v>
      </c>
      <c r="B925" s="24" t="s">
        <v>477</v>
      </c>
      <c r="C925" s="275">
        <v>42867.0</v>
      </c>
      <c r="D925" s="24" t="str">
        <f t="shared" si="3"/>
        <v>May-2017</v>
      </c>
      <c r="E925" s="24" t="s">
        <v>222</v>
      </c>
      <c r="F925" s="24" t="s">
        <v>35</v>
      </c>
      <c r="G925" s="23" t="s">
        <v>478</v>
      </c>
      <c r="H925" s="24" t="s">
        <v>479</v>
      </c>
      <c r="I925" s="24" t="s">
        <v>9</v>
      </c>
      <c r="J925" s="24" t="s">
        <v>30</v>
      </c>
      <c r="K925" s="24"/>
      <c r="L925" s="24" t="s">
        <v>29</v>
      </c>
    </row>
    <row r="926">
      <c r="A926" s="24">
        <f t="shared" si="1"/>
        <v>925</v>
      </c>
      <c r="B926" s="24" t="s">
        <v>477</v>
      </c>
      <c r="C926" s="275">
        <v>42867.0</v>
      </c>
      <c r="D926" s="24" t="str">
        <f t="shared" si="3"/>
        <v>May-2017</v>
      </c>
      <c r="E926" s="24" t="s">
        <v>467</v>
      </c>
      <c r="F926" s="24" t="s">
        <v>35</v>
      </c>
      <c r="G926" s="23" t="s">
        <v>478</v>
      </c>
      <c r="H926" s="24" t="s">
        <v>479</v>
      </c>
      <c r="I926" s="24" t="s">
        <v>9</v>
      </c>
      <c r="J926" s="24" t="s">
        <v>24</v>
      </c>
      <c r="K926" s="24"/>
      <c r="L926" s="24" t="s">
        <v>98</v>
      </c>
    </row>
    <row r="927">
      <c r="A927" s="24">
        <f t="shared" si="1"/>
        <v>926</v>
      </c>
      <c r="B927" s="24" t="s">
        <v>477</v>
      </c>
      <c r="C927" s="275">
        <v>42867.0</v>
      </c>
      <c r="D927" s="24" t="str">
        <f t="shared" si="3"/>
        <v>May-2017</v>
      </c>
      <c r="E927" s="24" t="s">
        <v>480</v>
      </c>
      <c r="F927" s="24" t="s">
        <v>35</v>
      </c>
      <c r="G927" s="23" t="s">
        <v>478</v>
      </c>
      <c r="H927" s="24" t="s">
        <v>479</v>
      </c>
      <c r="I927" s="24" t="s">
        <v>9</v>
      </c>
      <c r="J927" s="24" t="s">
        <v>30</v>
      </c>
      <c r="K927" s="24"/>
      <c r="L927" s="24" t="s">
        <v>106</v>
      </c>
    </row>
    <row r="928">
      <c r="A928" s="24">
        <f t="shared" si="1"/>
        <v>927</v>
      </c>
      <c r="B928" s="24" t="s">
        <v>477</v>
      </c>
      <c r="C928" s="275">
        <v>42867.0</v>
      </c>
      <c r="D928" s="24" t="str">
        <f t="shared" si="3"/>
        <v>May-2017</v>
      </c>
      <c r="E928" s="24" t="s">
        <v>146</v>
      </c>
      <c r="F928" s="24" t="s">
        <v>35</v>
      </c>
      <c r="G928" s="23" t="s">
        <v>274</v>
      </c>
      <c r="H928" s="24" t="s">
        <v>71</v>
      </c>
      <c r="I928" s="24" t="s">
        <v>9</v>
      </c>
      <c r="J928" s="24" t="s">
        <v>24</v>
      </c>
      <c r="K928" s="24" t="s">
        <v>24</v>
      </c>
      <c r="L928" s="24" t="s">
        <v>99</v>
      </c>
    </row>
    <row r="929">
      <c r="A929" s="24">
        <f t="shared" si="1"/>
        <v>928</v>
      </c>
      <c r="B929" s="24" t="s">
        <v>477</v>
      </c>
      <c r="C929" s="275">
        <v>42867.0</v>
      </c>
      <c r="D929" s="24" t="str">
        <f t="shared" si="3"/>
        <v>May-2017</v>
      </c>
      <c r="E929" s="24" t="s">
        <v>149</v>
      </c>
      <c r="F929" s="24" t="s">
        <v>35</v>
      </c>
      <c r="G929" s="23" t="s">
        <v>274</v>
      </c>
      <c r="H929" s="24" t="s">
        <v>71</v>
      </c>
      <c r="I929" s="24" t="s">
        <v>9</v>
      </c>
      <c r="J929" s="24" t="s">
        <v>24</v>
      </c>
      <c r="K929" s="24"/>
      <c r="L929" s="24" t="s">
        <v>69</v>
      </c>
    </row>
    <row r="930">
      <c r="A930" s="24">
        <f t="shared" si="1"/>
        <v>929</v>
      </c>
      <c r="B930" s="24" t="s">
        <v>477</v>
      </c>
      <c r="C930" s="275">
        <v>42867.0</v>
      </c>
      <c r="D930" s="24" t="str">
        <f t="shared" si="3"/>
        <v>May-2017</v>
      </c>
      <c r="E930" s="24" t="s">
        <v>222</v>
      </c>
      <c r="F930" s="24" t="s">
        <v>35</v>
      </c>
      <c r="G930" s="23" t="s">
        <v>274</v>
      </c>
      <c r="H930" s="24" t="s">
        <v>71</v>
      </c>
      <c r="I930" s="24" t="s">
        <v>9</v>
      </c>
      <c r="J930" s="24" t="s">
        <v>24</v>
      </c>
      <c r="K930" s="24"/>
      <c r="L930" s="24" t="s">
        <v>69</v>
      </c>
    </row>
    <row r="931">
      <c r="A931" s="24">
        <f t="shared" si="1"/>
        <v>930</v>
      </c>
      <c r="B931" s="24" t="s">
        <v>481</v>
      </c>
      <c r="C931" s="275">
        <v>42872.0</v>
      </c>
      <c r="D931" s="24" t="str">
        <f t="shared" si="3"/>
        <v>May-2017</v>
      </c>
      <c r="E931" s="24" t="s">
        <v>20</v>
      </c>
      <c r="F931" s="24" t="s">
        <v>35</v>
      </c>
      <c r="G931" s="23" t="s">
        <v>236</v>
      </c>
      <c r="H931" s="24" t="s">
        <v>44</v>
      </c>
      <c r="I931" s="24" t="s">
        <v>9</v>
      </c>
      <c r="J931" s="24" t="s">
        <v>30</v>
      </c>
      <c r="K931" s="24" t="s">
        <v>30</v>
      </c>
      <c r="L931" s="24" t="s">
        <v>69</v>
      </c>
    </row>
    <row r="932">
      <c r="A932" s="24">
        <f t="shared" si="1"/>
        <v>931</v>
      </c>
      <c r="B932" s="24" t="s">
        <v>481</v>
      </c>
      <c r="C932" s="275">
        <v>42872.0</v>
      </c>
      <c r="D932" s="24" t="str">
        <f t="shared" si="3"/>
        <v>May-2017</v>
      </c>
      <c r="E932" s="24" t="s">
        <v>25</v>
      </c>
      <c r="F932" s="24" t="s">
        <v>35</v>
      </c>
      <c r="G932" s="23" t="s">
        <v>236</v>
      </c>
      <c r="H932" s="24" t="s">
        <v>44</v>
      </c>
      <c r="I932" s="24" t="s">
        <v>9</v>
      </c>
      <c r="J932" s="24" t="s">
        <v>24</v>
      </c>
      <c r="K932" s="24"/>
      <c r="L932" s="24" t="s">
        <v>69</v>
      </c>
    </row>
    <row r="933">
      <c r="A933" s="24">
        <f t="shared" si="1"/>
        <v>932</v>
      </c>
      <c r="B933" s="24" t="s">
        <v>481</v>
      </c>
      <c r="C933" s="275">
        <v>42872.0</v>
      </c>
      <c r="D933" s="24" t="str">
        <f t="shared" si="3"/>
        <v>May-2017</v>
      </c>
      <c r="E933" s="24" t="s">
        <v>32</v>
      </c>
      <c r="F933" s="24" t="s">
        <v>35</v>
      </c>
      <c r="G933" s="23" t="s">
        <v>236</v>
      </c>
      <c r="H933" s="24" t="s">
        <v>44</v>
      </c>
      <c r="I933" s="24" t="s">
        <v>9</v>
      </c>
      <c r="J933" s="24" t="s">
        <v>30</v>
      </c>
      <c r="K933" s="24"/>
      <c r="L933" s="24" t="s">
        <v>37</v>
      </c>
    </row>
    <row r="934">
      <c r="A934" s="24">
        <f t="shared" si="1"/>
        <v>933</v>
      </c>
      <c r="B934" s="24" t="s">
        <v>481</v>
      </c>
      <c r="C934" s="275">
        <v>42872.0</v>
      </c>
      <c r="D934" s="24" t="str">
        <f t="shared" si="3"/>
        <v>May-2017</v>
      </c>
      <c r="E934" s="24" t="s">
        <v>20</v>
      </c>
      <c r="F934" s="24" t="s">
        <v>35</v>
      </c>
      <c r="G934" s="23" t="s">
        <v>394</v>
      </c>
      <c r="H934" s="24" t="s">
        <v>27</v>
      </c>
      <c r="I934" s="24" t="s">
        <v>9</v>
      </c>
      <c r="J934" s="24" t="s">
        <v>24</v>
      </c>
      <c r="K934" s="24" t="s">
        <v>24</v>
      </c>
      <c r="L934" s="24" t="s">
        <v>69</v>
      </c>
    </row>
    <row r="935">
      <c r="A935" s="24">
        <f t="shared" si="1"/>
        <v>934</v>
      </c>
      <c r="B935" s="24" t="s">
        <v>481</v>
      </c>
      <c r="C935" s="275">
        <v>42872.0</v>
      </c>
      <c r="D935" s="24" t="str">
        <f t="shared" si="3"/>
        <v>May-2017</v>
      </c>
      <c r="E935" s="24" t="s">
        <v>25</v>
      </c>
      <c r="F935" s="24" t="s">
        <v>35</v>
      </c>
      <c r="G935" s="23" t="s">
        <v>394</v>
      </c>
      <c r="H935" s="24" t="s">
        <v>27</v>
      </c>
      <c r="I935" s="24" t="s">
        <v>9</v>
      </c>
      <c r="J935" s="24" t="s">
        <v>24</v>
      </c>
      <c r="K935" s="24"/>
      <c r="L935" s="24" t="s">
        <v>106</v>
      </c>
    </row>
    <row r="936">
      <c r="A936" s="24">
        <f t="shared" si="1"/>
        <v>935</v>
      </c>
      <c r="B936" s="24" t="s">
        <v>481</v>
      </c>
      <c r="C936" s="275">
        <v>42872.0</v>
      </c>
      <c r="D936" s="24" t="str">
        <f t="shared" si="3"/>
        <v>May-2017</v>
      </c>
      <c r="E936" s="24" t="s">
        <v>20</v>
      </c>
      <c r="F936" s="24" t="s">
        <v>35</v>
      </c>
      <c r="G936" s="23" t="s">
        <v>345</v>
      </c>
      <c r="H936" s="24" t="s">
        <v>9</v>
      </c>
      <c r="I936" s="24" t="s">
        <v>9</v>
      </c>
      <c r="J936" s="24" t="s">
        <v>30</v>
      </c>
      <c r="K936" s="24" t="s">
        <v>30</v>
      </c>
      <c r="L936" s="24" t="s">
        <v>98</v>
      </c>
    </row>
    <row r="937">
      <c r="A937" s="24">
        <f t="shared" si="1"/>
        <v>936</v>
      </c>
      <c r="B937" s="24" t="s">
        <v>481</v>
      </c>
      <c r="C937" s="275">
        <v>42872.0</v>
      </c>
      <c r="D937" s="24" t="str">
        <f t="shared" si="3"/>
        <v>May-2017</v>
      </c>
      <c r="E937" s="24" t="s">
        <v>25</v>
      </c>
      <c r="F937" s="24" t="s">
        <v>35</v>
      </c>
      <c r="G937" s="23" t="s">
        <v>345</v>
      </c>
      <c r="H937" s="24" t="s">
        <v>9</v>
      </c>
      <c r="I937" s="24" t="s">
        <v>9</v>
      </c>
      <c r="J937" s="24" t="s">
        <v>30</v>
      </c>
      <c r="K937" s="24"/>
      <c r="L937" s="24" t="s">
        <v>37</v>
      </c>
    </row>
    <row r="938">
      <c r="A938" s="24">
        <f t="shared" si="1"/>
        <v>937</v>
      </c>
      <c r="B938" s="24" t="s">
        <v>481</v>
      </c>
      <c r="C938" s="275">
        <v>42872.0</v>
      </c>
      <c r="D938" s="24" t="str">
        <f t="shared" si="3"/>
        <v>May-2017</v>
      </c>
      <c r="E938" s="24" t="s">
        <v>20</v>
      </c>
      <c r="F938" s="24" t="s">
        <v>35</v>
      </c>
      <c r="G938" s="23" t="s">
        <v>482</v>
      </c>
      <c r="H938" s="24" t="s">
        <v>27</v>
      </c>
      <c r="I938" s="24" t="s">
        <v>9</v>
      </c>
      <c r="J938" s="24" t="s">
        <v>30</v>
      </c>
      <c r="K938" s="24" t="s">
        <v>24</v>
      </c>
      <c r="L938" s="24" t="s">
        <v>98</v>
      </c>
    </row>
    <row r="939">
      <c r="A939" s="24">
        <f t="shared" si="1"/>
        <v>938</v>
      </c>
      <c r="B939" s="24" t="s">
        <v>481</v>
      </c>
      <c r="C939" s="275">
        <v>42872.0</v>
      </c>
      <c r="D939" s="24" t="str">
        <f t="shared" si="3"/>
        <v>May-2017</v>
      </c>
      <c r="E939" s="24" t="s">
        <v>25</v>
      </c>
      <c r="F939" s="24" t="s">
        <v>35</v>
      </c>
      <c r="G939" s="23" t="s">
        <v>482</v>
      </c>
      <c r="H939" s="24" t="s">
        <v>338</v>
      </c>
      <c r="I939" s="24" t="s">
        <v>9</v>
      </c>
      <c r="J939" s="24" t="s">
        <v>24</v>
      </c>
      <c r="K939" s="24"/>
      <c r="L939" s="24" t="s">
        <v>69</v>
      </c>
    </row>
    <row r="940">
      <c r="A940" s="24">
        <f t="shared" si="1"/>
        <v>939</v>
      </c>
      <c r="B940" s="24" t="s">
        <v>481</v>
      </c>
      <c r="C940" s="275">
        <v>42872.0</v>
      </c>
      <c r="D940" s="24" t="str">
        <f t="shared" si="3"/>
        <v>May-2017</v>
      </c>
      <c r="E940" s="24" t="s">
        <v>32</v>
      </c>
      <c r="F940" s="24" t="s">
        <v>35</v>
      </c>
      <c r="G940" s="23" t="s">
        <v>482</v>
      </c>
      <c r="H940" s="24" t="s">
        <v>338</v>
      </c>
      <c r="I940" s="24" t="s">
        <v>9</v>
      </c>
      <c r="J940" s="24" t="s">
        <v>24</v>
      </c>
      <c r="K940" s="24"/>
      <c r="L940" s="24" t="s">
        <v>106</v>
      </c>
    </row>
    <row r="941">
      <c r="A941" s="24">
        <f t="shared" si="1"/>
        <v>940</v>
      </c>
      <c r="B941" s="24" t="s">
        <v>483</v>
      </c>
      <c r="C941" s="275">
        <v>42874.0</v>
      </c>
      <c r="D941" s="24" t="str">
        <f t="shared" si="3"/>
        <v>May-2017</v>
      </c>
      <c r="E941" s="24" t="s">
        <v>20</v>
      </c>
      <c r="F941" s="24" t="s">
        <v>35</v>
      </c>
      <c r="G941" s="23" t="s">
        <v>484</v>
      </c>
      <c r="H941" s="24" t="s">
        <v>9</v>
      </c>
      <c r="I941" s="24" t="s">
        <v>9</v>
      </c>
      <c r="J941" s="24" t="s">
        <v>30</v>
      </c>
      <c r="K941" s="24" t="s">
        <v>30</v>
      </c>
      <c r="L941" s="24" t="s">
        <v>98</v>
      </c>
    </row>
    <row r="942">
      <c r="A942" s="24">
        <f t="shared" si="1"/>
        <v>941</v>
      </c>
      <c r="B942" s="24" t="s">
        <v>483</v>
      </c>
      <c r="C942" s="275">
        <v>42874.0</v>
      </c>
      <c r="D942" s="24" t="str">
        <f t="shared" si="3"/>
        <v>May-2017</v>
      </c>
      <c r="E942" s="24" t="s">
        <v>25</v>
      </c>
      <c r="F942" s="24" t="s">
        <v>35</v>
      </c>
      <c r="G942" s="23" t="s">
        <v>484</v>
      </c>
      <c r="H942" s="24" t="s">
        <v>9</v>
      </c>
      <c r="I942" s="24" t="s">
        <v>9</v>
      </c>
      <c r="J942" s="24" t="s">
        <v>30</v>
      </c>
      <c r="K942" s="24"/>
      <c r="L942" s="24" t="s">
        <v>106</v>
      </c>
    </row>
    <row r="943">
      <c r="A943" s="24">
        <f t="shared" si="1"/>
        <v>942</v>
      </c>
      <c r="B943" s="24" t="s">
        <v>483</v>
      </c>
      <c r="C943" s="275">
        <v>42874.0</v>
      </c>
      <c r="D943" s="24" t="str">
        <f>TEXT(C943:C944, "mmm") &amp; "-" &amp; TEXT(C943:C944, "yyyy") </f>
        <v>May-2017</v>
      </c>
      <c r="E943" s="24" t="s">
        <v>20</v>
      </c>
      <c r="F943" s="24" t="s">
        <v>35</v>
      </c>
      <c r="G943" s="23" t="s">
        <v>442</v>
      </c>
      <c r="H943" s="24" t="s">
        <v>71</v>
      </c>
      <c r="I943" s="24" t="s">
        <v>9</v>
      </c>
      <c r="J943" s="24" t="s">
        <v>24</v>
      </c>
      <c r="K943" s="24" t="s">
        <v>24</v>
      </c>
      <c r="L943" s="24" t="s">
        <v>99</v>
      </c>
    </row>
    <row r="944">
      <c r="A944" s="24">
        <f t="shared" si="1"/>
        <v>943</v>
      </c>
      <c r="B944" s="24" t="s">
        <v>483</v>
      </c>
      <c r="C944" s="275">
        <v>42874.0</v>
      </c>
      <c r="D944" s="24" t="str">
        <f t="shared" ref="D944:D949" si="5">TEXT(C943:C944, "mmm") &amp; "-" &amp; TEXT(C943:C944, "yyyy") </f>
        <v>May-2017</v>
      </c>
      <c r="E944" s="24" t="s">
        <v>25</v>
      </c>
      <c r="F944" s="24" t="s">
        <v>35</v>
      </c>
      <c r="G944" s="23" t="s">
        <v>442</v>
      </c>
      <c r="H944" s="24" t="s">
        <v>71</v>
      </c>
      <c r="I944" s="24" t="s">
        <v>9</v>
      </c>
      <c r="J944" s="24" t="s">
        <v>24</v>
      </c>
      <c r="K944" s="24"/>
      <c r="L944" s="24" t="s">
        <v>106</v>
      </c>
    </row>
    <row r="945">
      <c r="A945" s="24">
        <f t="shared" si="1"/>
        <v>944</v>
      </c>
      <c r="B945" s="24" t="s">
        <v>483</v>
      </c>
      <c r="C945" s="275">
        <v>42874.0</v>
      </c>
      <c r="D945" s="24" t="str">
        <f t="shared" si="5"/>
        <v>May-2017</v>
      </c>
      <c r="E945" s="24" t="s">
        <v>20</v>
      </c>
      <c r="F945" s="24" t="s">
        <v>35</v>
      </c>
      <c r="G945" s="23" t="s">
        <v>478</v>
      </c>
      <c r="H945" s="24" t="s">
        <v>479</v>
      </c>
      <c r="I945" s="24" t="s">
        <v>9</v>
      </c>
      <c r="J945" s="24" t="s">
        <v>30</v>
      </c>
      <c r="K945" s="24" t="s">
        <v>30</v>
      </c>
      <c r="L945" s="24" t="s">
        <v>37</v>
      </c>
    </row>
    <row r="946">
      <c r="A946" s="24">
        <f t="shared" si="1"/>
        <v>945</v>
      </c>
      <c r="B946" s="24" t="s">
        <v>483</v>
      </c>
      <c r="C946" s="275">
        <v>42874.0</v>
      </c>
      <c r="D946" s="24" t="str">
        <f t="shared" si="5"/>
        <v>May-2017</v>
      </c>
      <c r="E946" s="24" t="s">
        <v>25</v>
      </c>
      <c r="F946" s="24" t="s">
        <v>35</v>
      </c>
      <c r="G946" s="23" t="s">
        <v>478</v>
      </c>
      <c r="H946" s="24" t="s">
        <v>479</v>
      </c>
      <c r="I946" s="24" t="s">
        <v>9</v>
      </c>
      <c r="J946" s="24" t="s">
        <v>30</v>
      </c>
      <c r="K946" s="24"/>
      <c r="L946" s="24" t="s">
        <v>106</v>
      </c>
    </row>
    <row r="947">
      <c r="A947" s="24">
        <f t="shared" si="1"/>
        <v>946</v>
      </c>
      <c r="B947" s="24" t="s">
        <v>483</v>
      </c>
      <c r="C947" s="275">
        <v>42874.0</v>
      </c>
      <c r="D947" s="24" t="str">
        <f t="shared" si="5"/>
        <v>May-2017</v>
      </c>
      <c r="E947" s="24" t="s">
        <v>20</v>
      </c>
      <c r="F947" s="24" t="s">
        <v>35</v>
      </c>
      <c r="G947" s="23" t="s">
        <v>446</v>
      </c>
      <c r="H947" s="24" t="s">
        <v>86</v>
      </c>
      <c r="I947" s="24" t="s">
        <v>9</v>
      </c>
      <c r="J947" s="24" t="s">
        <v>24</v>
      </c>
      <c r="K947" s="24" t="s">
        <v>24</v>
      </c>
      <c r="L947" s="24" t="s">
        <v>69</v>
      </c>
    </row>
    <row r="948">
      <c r="A948" s="24">
        <f t="shared" si="1"/>
        <v>947</v>
      </c>
      <c r="B948" s="24" t="s">
        <v>483</v>
      </c>
      <c r="C948" s="275">
        <v>42874.0</v>
      </c>
      <c r="D948" s="24" t="str">
        <f t="shared" si="5"/>
        <v>May-2017</v>
      </c>
      <c r="E948" s="24" t="s">
        <v>25</v>
      </c>
      <c r="F948" s="24" t="s">
        <v>35</v>
      </c>
      <c r="G948" s="23" t="s">
        <v>446</v>
      </c>
      <c r="H948" s="24" t="s">
        <v>86</v>
      </c>
      <c r="I948" s="24" t="s">
        <v>9</v>
      </c>
      <c r="J948" s="24" t="s">
        <v>30</v>
      </c>
      <c r="K948" s="24"/>
      <c r="L948" s="24" t="s">
        <v>99</v>
      </c>
    </row>
    <row r="949">
      <c r="A949" s="24">
        <f t="shared" si="1"/>
        <v>948</v>
      </c>
      <c r="B949" s="24" t="s">
        <v>483</v>
      </c>
      <c r="C949" s="275">
        <v>42874.0</v>
      </c>
      <c r="D949" s="24" t="str">
        <f t="shared" si="5"/>
        <v>May-2017</v>
      </c>
      <c r="E949" s="24" t="s">
        <v>32</v>
      </c>
      <c r="F949" s="24" t="s">
        <v>35</v>
      </c>
      <c r="G949" s="23" t="s">
        <v>446</v>
      </c>
      <c r="H949" s="24" t="s">
        <v>86</v>
      </c>
      <c r="I949" s="24" t="s">
        <v>9</v>
      </c>
      <c r="J949" s="24" t="s">
        <v>24</v>
      </c>
      <c r="K949" s="24"/>
      <c r="L949" s="24" t="s">
        <v>106</v>
      </c>
    </row>
    <row r="950">
      <c r="A950" s="24">
        <f t="shared" si="1"/>
        <v>949</v>
      </c>
      <c r="B950" s="24" t="s">
        <v>485</v>
      </c>
      <c r="C950" s="275">
        <v>42875.0</v>
      </c>
      <c r="D950" s="24" t="str">
        <f>TEXT(C950, "mmm") &amp; "-" &amp; TEXT(C950, "yyyy") </f>
        <v>May-2017</v>
      </c>
      <c r="E950" s="24" t="s">
        <v>20</v>
      </c>
      <c r="F950" s="24" t="s">
        <v>273</v>
      </c>
      <c r="G950" s="23" t="s">
        <v>456</v>
      </c>
      <c r="H950" s="24" t="s">
        <v>48</v>
      </c>
      <c r="I950" s="24" t="s">
        <v>9</v>
      </c>
      <c r="J950" s="24" t="s">
        <v>30</v>
      </c>
      <c r="K950" s="24" t="s">
        <v>30</v>
      </c>
      <c r="L950" s="24" t="s">
        <v>98</v>
      </c>
    </row>
    <row r="951">
      <c r="A951" s="24">
        <f t="shared" si="1"/>
        <v>950</v>
      </c>
      <c r="B951" s="24" t="s">
        <v>485</v>
      </c>
      <c r="C951" s="275">
        <v>42875.0</v>
      </c>
      <c r="D951" s="24" t="str">
        <f t="shared" ref="D951:D964" si="6">TEXT(C950:C951, "mmm") &amp; "-" &amp; TEXT(C950:C951, "yyyy") </f>
        <v>May-2017</v>
      </c>
      <c r="E951" s="24" t="s">
        <v>25</v>
      </c>
      <c r="F951" s="24" t="s">
        <v>273</v>
      </c>
      <c r="G951" s="23" t="s">
        <v>456</v>
      </c>
      <c r="H951" s="24" t="s">
        <v>48</v>
      </c>
      <c r="I951" s="24" t="s">
        <v>9</v>
      </c>
      <c r="J951" s="24" t="s">
        <v>30</v>
      </c>
      <c r="K951" s="24"/>
      <c r="L951" s="24" t="s">
        <v>98</v>
      </c>
    </row>
    <row r="952">
      <c r="A952" s="24">
        <f t="shared" si="1"/>
        <v>951</v>
      </c>
      <c r="B952" s="24" t="s">
        <v>485</v>
      </c>
      <c r="C952" s="275">
        <v>42875.0</v>
      </c>
      <c r="D952" s="24" t="str">
        <f t="shared" si="6"/>
        <v>May-2017</v>
      </c>
      <c r="E952" s="24" t="s">
        <v>20</v>
      </c>
      <c r="F952" s="24" t="s">
        <v>273</v>
      </c>
      <c r="G952" s="23" t="s">
        <v>239</v>
      </c>
      <c r="H952" s="24" t="s">
        <v>27</v>
      </c>
      <c r="I952" s="24" t="s">
        <v>9</v>
      </c>
      <c r="J952" s="24" t="s">
        <v>24</v>
      </c>
      <c r="K952" s="24" t="s">
        <v>24</v>
      </c>
      <c r="L952" s="24" t="s">
        <v>69</v>
      </c>
    </row>
    <row r="953">
      <c r="A953" s="24">
        <f t="shared" si="1"/>
        <v>952</v>
      </c>
      <c r="B953" s="24" t="s">
        <v>485</v>
      </c>
      <c r="C953" s="275">
        <v>42875.0</v>
      </c>
      <c r="D953" s="24" t="str">
        <f t="shared" si="6"/>
        <v>May-2017</v>
      </c>
      <c r="E953" s="24" t="s">
        <v>25</v>
      </c>
      <c r="F953" s="24" t="s">
        <v>273</v>
      </c>
      <c r="G953" s="23" t="s">
        <v>239</v>
      </c>
      <c r="H953" s="24" t="s">
        <v>27</v>
      </c>
      <c r="I953" s="24" t="s">
        <v>9</v>
      </c>
      <c r="J953" s="24" t="s">
        <v>24</v>
      </c>
      <c r="K953" s="24"/>
      <c r="L953" s="24" t="s">
        <v>98</v>
      </c>
    </row>
    <row r="954">
      <c r="A954" s="24">
        <f t="shared" si="1"/>
        <v>953</v>
      </c>
      <c r="B954" s="24" t="s">
        <v>485</v>
      </c>
      <c r="C954" s="275">
        <v>42875.0</v>
      </c>
      <c r="D954" s="24" t="str">
        <f t="shared" si="6"/>
        <v>May-2017</v>
      </c>
      <c r="E954" s="24" t="s">
        <v>20</v>
      </c>
      <c r="F954" s="24" t="s">
        <v>273</v>
      </c>
      <c r="G954" s="23" t="s">
        <v>487</v>
      </c>
      <c r="H954" s="24" t="s">
        <v>44</v>
      </c>
      <c r="I954" s="24" t="s">
        <v>9</v>
      </c>
      <c r="J954" s="24" t="s">
        <v>24</v>
      </c>
      <c r="K954" s="24" t="s">
        <v>30</v>
      </c>
      <c r="L954" s="24" t="s">
        <v>98</v>
      </c>
    </row>
    <row r="955">
      <c r="A955" s="24">
        <f t="shared" si="1"/>
        <v>954</v>
      </c>
      <c r="B955" s="24" t="s">
        <v>485</v>
      </c>
      <c r="C955" s="275">
        <v>42875.0</v>
      </c>
      <c r="D955" s="24" t="str">
        <f t="shared" si="6"/>
        <v>May-2017</v>
      </c>
      <c r="E955" s="24" t="s">
        <v>25</v>
      </c>
      <c r="F955" s="24" t="s">
        <v>273</v>
      </c>
      <c r="G955" s="23" t="s">
        <v>487</v>
      </c>
      <c r="H955" s="24" t="s">
        <v>44</v>
      </c>
      <c r="I955" s="24" t="s">
        <v>9</v>
      </c>
      <c r="J955" s="24" t="s">
        <v>30</v>
      </c>
      <c r="K955" s="24"/>
      <c r="L955" s="24" t="s">
        <v>106</v>
      </c>
    </row>
    <row r="956">
      <c r="A956" s="24">
        <f t="shared" si="1"/>
        <v>955</v>
      </c>
      <c r="B956" s="24" t="s">
        <v>485</v>
      </c>
      <c r="C956" s="275">
        <v>42875.0</v>
      </c>
      <c r="D956" s="24" t="str">
        <f t="shared" si="6"/>
        <v>May-2017</v>
      </c>
      <c r="E956" s="24" t="s">
        <v>32</v>
      </c>
      <c r="F956" s="24" t="s">
        <v>273</v>
      </c>
      <c r="G956" s="23" t="s">
        <v>487</v>
      </c>
      <c r="H956" s="24" t="s">
        <v>44</v>
      </c>
      <c r="I956" s="24" t="s">
        <v>9</v>
      </c>
      <c r="J956" s="24" t="s">
        <v>30</v>
      </c>
      <c r="K956" s="24"/>
      <c r="L956" s="24" t="s">
        <v>69</v>
      </c>
    </row>
    <row r="957">
      <c r="A957" s="24">
        <f t="shared" si="1"/>
        <v>956</v>
      </c>
      <c r="B957" s="24" t="s">
        <v>485</v>
      </c>
      <c r="C957" s="275">
        <v>42875.0</v>
      </c>
      <c r="D957" s="24" t="str">
        <f t="shared" si="6"/>
        <v>May-2017</v>
      </c>
      <c r="E957" s="24" t="s">
        <v>20</v>
      </c>
      <c r="F957" s="24" t="s">
        <v>273</v>
      </c>
      <c r="G957" s="23" t="s">
        <v>212</v>
      </c>
      <c r="H957" s="24" t="s">
        <v>71</v>
      </c>
      <c r="I957" s="24" t="s">
        <v>9</v>
      </c>
      <c r="J957" s="24" t="s">
        <v>24</v>
      </c>
      <c r="K957" s="24" t="s">
        <v>24</v>
      </c>
      <c r="L957" s="24" t="s">
        <v>99</v>
      </c>
    </row>
    <row r="958">
      <c r="A958" s="24">
        <f t="shared" si="1"/>
        <v>957</v>
      </c>
      <c r="B958" s="24" t="s">
        <v>485</v>
      </c>
      <c r="C958" s="275">
        <v>42875.0</v>
      </c>
      <c r="D958" s="24" t="str">
        <f t="shared" si="6"/>
        <v>May-2017</v>
      </c>
      <c r="E958" s="24" t="s">
        <v>25</v>
      </c>
      <c r="F958" s="24" t="s">
        <v>273</v>
      </c>
      <c r="G958" s="23" t="s">
        <v>212</v>
      </c>
      <c r="H958" s="24" t="s">
        <v>71</v>
      </c>
      <c r="I958" s="24" t="s">
        <v>9</v>
      </c>
      <c r="J958" s="24" t="s">
        <v>24</v>
      </c>
      <c r="K958" s="24"/>
      <c r="L958" s="24" t="s">
        <v>106</v>
      </c>
    </row>
    <row r="959">
      <c r="A959" s="24">
        <f t="shared" si="1"/>
        <v>958</v>
      </c>
      <c r="B959" s="24" t="s">
        <v>485</v>
      </c>
      <c r="C959" s="275">
        <v>42875.0</v>
      </c>
      <c r="D959" s="24" t="str">
        <f t="shared" si="6"/>
        <v>May-2017</v>
      </c>
      <c r="E959" s="24" t="s">
        <v>20</v>
      </c>
      <c r="F959" s="24" t="s">
        <v>278</v>
      </c>
      <c r="G959" s="23" t="s">
        <v>464</v>
      </c>
      <c r="H959" s="24" t="s">
        <v>27</v>
      </c>
      <c r="I959" s="24" t="s">
        <v>9</v>
      </c>
      <c r="J959" s="24" t="s">
        <v>24</v>
      </c>
      <c r="K959" s="24" t="s">
        <v>30</v>
      </c>
      <c r="L959" s="24" t="s">
        <v>37</v>
      </c>
    </row>
    <row r="960">
      <c r="A960" s="24">
        <f t="shared" si="1"/>
        <v>959</v>
      </c>
      <c r="B960" s="24" t="s">
        <v>485</v>
      </c>
      <c r="C960" s="275">
        <v>42875.0</v>
      </c>
      <c r="D960" s="24" t="str">
        <f t="shared" si="6"/>
        <v>May-2017</v>
      </c>
      <c r="E960" s="24" t="s">
        <v>25</v>
      </c>
      <c r="F960" s="24" t="s">
        <v>278</v>
      </c>
      <c r="G960" s="23" t="s">
        <v>464</v>
      </c>
      <c r="H960" s="24" t="s">
        <v>27</v>
      </c>
      <c r="I960" s="24" t="s">
        <v>9</v>
      </c>
      <c r="J960" s="24" t="s">
        <v>30</v>
      </c>
      <c r="K960" s="24"/>
      <c r="L960" s="24" t="s">
        <v>69</v>
      </c>
    </row>
    <row r="961">
      <c r="A961" s="24">
        <f t="shared" si="1"/>
        <v>960</v>
      </c>
      <c r="B961" s="24" t="s">
        <v>485</v>
      </c>
      <c r="C961" s="275">
        <v>42875.0</v>
      </c>
      <c r="D961" s="24" t="str">
        <f t="shared" si="6"/>
        <v>May-2017</v>
      </c>
      <c r="E961" s="24" t="s">
        <v>32</v>
      </c>
      <c r="F961" s="24" t="s">
        <v>278</v>
      </c>
      <c r="G961" s="23" t="s">
        <v>464</v>
      </c>
      <c r="H961" s="24" t="s">
        <v>27</v>
      </c>
      <c r="I961" s="24" t="s">
        <v>9</v>
      </c>
      <c r="J961" s="24" t="s">
        <v>30</v>
      </c>
      <c r="K961" s="24"/>
      <c r="L961" s="24" t="s">
        <v>29</v>
      </c>
    </row>
    <row r="962">
      <c r="A962" s="24">
        <f t="shared" si="1"/>
        <v>961</v>
      </c>
      <c r="B962" s="24" t="s">
        <v>485</v>
      </c>
      <c r="C962" s="275">
        <v>42875.0</v>
      </c>
      <c r="D962" s="24" t="str">
        <f t="shared" si="6"/>
        <v>May-2017</v>
      </c>
      <c r="E962" s="24" t="s">
        <v>20</v>
      </c>
      <c r="F962" s="24" t="s">
        <v>278</v>
      </c>
      <c r="G962" s="23" t="s">
        <v>310</v>
      </c>
      <c r="H962" s="24" t="s">
        <v>48</v>
      </c>
      <c r="I962" s="24" t="s">
        <v>9</v>
      </c>
      <c r="J962" s="24" t="s">
        <v>24</v>
      </c>
      <c r="K962" s="24" t="s">
        <v>24</v>
      </c>
      <c r="L962" s="24" t="s">
        <v>98</v>
      </c>
    </row>
    <row r="963">
      <c r="A963" s="24">
        <f t="shared" si="1"/>
        <v>962</v>
      </c>
      <c r="B963" s="24" t="s">
        <v>485</v>
      </c>
      <c r="C963" s="275">
        <v>42875.0</v>
      </c>
      <c r="D963" s="24" t="str">
        <f t="shared" si="6"/>
        <v>May-2017</v>
      </c>
      <c r="E963" s="24" t="s">
        <v>25</v>
      </c>
      <c r="F963" s="24" t="s">
        <v>278</v>
      </c>
      <c r="G963" s="23" t="s">
        <v>310</v>
      </c>
      <c r="H963" s="24" t="s">
        <v>48</v>
      </c>
      <c r="I963" s="24" t="s">
        <v>9</v>
      </c>
      <c r="J963" s="24" t="s">
        <v>30</v>
      </c>
      <c r="K963" s="24"/>
      <c r="L963" s="24" t="s">
        <v>106</v>
      </c>
    </row>
    <row r="964">
      <c r="A964" s="24">
        <f t="shared" si="1"/>
        <v>963</v>
      </c>
      <c r="B964" s="24" t="s">
        <v>485</v>
      </c>
      <c r="C964" s="275">
        <v>42875.0</v>
      </c>
      <c r="D964" s="24" t="str">
        <f t="shared" si="6"/>
        <v>May-2017</v>
      </c>
      <c r="E964" s="24" t="s">
        <v>32</v>
      </c>
      <c r="F964" s="24" t="s">
        <v>278</v>
      </c>
      <c r="G964" s="23" t="s">
        <v>310</v>
      </c>
      <c r="H964" s="24" t="s">
        <v>48</v>
      </c>
      <c r="I964" s="24" t="s">
        <v>9</v>
      </c>
      <c r="J964" s="24" t="s">
        <v>24</v>
      </c>
      <c r="K964" s="24"/>
      <c r="L964" s="24" t="s">
        <v>98</v>
      </c>
    </row>
    <row r="965">
      <c r="A965" s="24">
        <f t="shared" si="1"/>
        <v>964</v>
      </c>
      <c r="B965" s="24" t="s">
        <v>488</v>
      </c>
      <c r="C965" s="275">
        <v>42879.0</v>
      </c>
      <c r="D965" s="24" t="str">
        <f>TEXT(C965, "mmm") &amp; "-" &amp; TEXT(C965, "yyyy") </f>
        <v>May-2017</v>
      </c>
      <c r="E965" s="24" t="s">
        <v>20</v>
      </c>
      <c r="F965" s="24" t="s">
        <v>35</v>
      </c>
      <c r="G965" s="23" t="s">
        <v>489</v>
      </c>
      <c r="H965" s="24" t="s">
        <v>318</v>
      </c>
      <c r="I965" s="24" t="s">
        <v>9</v>
      </c>
      <c r="J965" s="24" t="s">
        <v>30</v>
      </c>
      <c r="K965" s="24" t="s">
        <v>30</v>
      </c>
      <c r="L965" s="24" t="s">
        <v>69</v>
      </c>
    </row>
    <row r="966">
      <c r="A966" s="24">
        <f t="shared" si="1"/>
        <v>965</v>
      </c>
      <c r="B966" s="24" t="s">
        <v>488</v>
      </c>
      <c r="C966" s="275">
        <v>42879.0</v>
      </c>
      <c r="D966" s="24" t="str">
        <f t="shared" ref="D966:D979" si="7">TEXT(C965:C966, "mmm") &amp; "-" &amp; TEXT(C965:C966, "yyyy") </f>
        <v>May-2017</v>
      </c>
      <c r="E966" s="24" t="s">
        <v>25</v>
      </c>
      <c r="F966" s="24" t="s">
        <v>35</v>
      </c>
      <c r="G966" s="23" t="s">
        <v>489</v>
      </c>
      <c r="H966" s="24" t="s">
        <v>318</v>
      </c>
      <c r="I966" s="24" t="s">
        <v>9</v>
      </c>
      <c r="J966" s="24" t="s">
        <v>30</v>
      </c>
      <c r="K966" s="24"/>
      <c r="L966" s="24" t="s">
        <v>98</v>
      </c>
    </row>
    <row r="967">
      <c r="A967" s="24">
        <f t="shared" si="1"/>
        <v>966</v>
      </c>
      <c r="B967" s="24" t="s">
        <v>488</v>
      </c>
      <c r="C967" s="275">
        <v>42879.0</v>
      </c>
      <c r="D967" s="24" t="str">
        <f t="shared" si="7"/>
        <v>May-2017</v>
      </c>
      <c r="E967" s="24" t="s">
        <v>20</v>
      </c>
      <c r="F967" s="24" t="s">
        <v>35</v>
      </c>
      <c r="G967" s="23" t="s">
        <v>133</v>
      </c>
      <c r="H967" s="24" t="s">
        <v>86</v>
      </c>
      <c r="I967" s="24" t="s">
        <v>9</v>
      </c>
      <c r="J967" s="24" t="s">
        <v>30</v>
      </c>
      <c r="K967" s="24" t="s">
        <v>24</v>
      </c>
      <c r="L967" s="24" t="s">
        <v>69</v>
      </c>
    </row>
    <row r="968">
      <c r="A968" s="24">
        <f t="shared" si="1"/>
        <v>967</v>
      </c>
      <c r="B968" s="24" t="s">
        <v>488</v>
      </c>
      <c r="C968" s="275">
        <v>42879.0</v>
      </c>
      <c r="D968" s="24" t="str">
        <f t="shared" si="7"/>
        <v>May-2017</v>
      </c>
      <c r="E968" s="24" t="s">
        <v>25</v>
      </c>
      <c r="F968" s="24" t="s">
        <v>35</v>
      </c>
      <c r="G968" s="23" t="s">
        <v>133</v>
      </c>
      <c r="H968" s="24" t="s">
        <v>86</v>
      </c>
      <c r="I968" s="24" t="s">
        <v>9</v>
      </c>
      <c r="J968" s="24" t="s">
        <v>24</v>
      </c>
      <c r="K968" s="24"/>
      <c r="L968" s="24" t="s">
        <v>98</v>
      </c>
    </row>
    <row r="969">
      <c r="A969" s="24">
        <f t="shared" si="1"/>
        <v>968</v>
      </c>
      <c r="B969" s="24" t="s">
        <v>488</v>
      </c>
      <c r="C969" s="275">
        <v>42879.0</v>
      </c>
      <c r="D969" s="24" t="str">
        <f t="shared" si="7"/>
        <v>May-2017</v>
      </c>
      <c r="E969" s="24" t="s">
        <v>32</v>
      </c>
      <c r="F969" s="24" t="s">
        <v>35</v>
      </c>
      <c r="G969" s="23" t="s">
        <v>133</v>
      </c>
      <c r="H969" s="24" t="s">
        <v>86</v>
      </c>
      <c r="I969" s="24" t="s">
        <v>9</v>
      </c>
      <c r="J969" s="24" t="s">
        <v>24</v>
      </c>
      <c r="K969" s="24"/>
      <c r="L969" s="24" t="s">
        <v>106</v>
      </c>
    </row>
    <row r="970">
      <c r="A970" s="24">
        <f t="shared" si="1"/>
        <v>969</v>
      </c>
      <c r="B970" s="24" t="s">
        <v>488</v>
      </c>
      <c r="C970" s="275">
        <v>42879.0</v>
      </c>
      <c r="D970" s="24" t="str">
        <f t="shared" si="7"/>
        <v>May-2017</v>
      </c>
      <c r="E970" s="24" t="s">
        <v>20</v>
      </c>
      <c r="F970" s="24" t="s">
        <v>35</v>
      </c>
      <c r="G970" s="23" t="s">
        <v>345</v>
      </c>
      <c r="H970" s="24" t="s">
        <v>9</v>
      </c>
      <c r="I970" s="24" t="s">
        <v>9</v>
      </c>
      <c r="J970" s="24" t="s">
        <v>30</v>
      </c>
      <c r="K970" s="24" t="s">
        <v>30</v>
      </c>
      <c r="L970" s="24" t="s">
        <v>98</v>
      </c>
    </row>
    <row r="971">
      <c r="A971" s="24">
        <f t="shared" si="1"/>
        <v>970</v>
      </c>
      <c r="B971" s="24" t="s">
        <v>488</v>
      </c>
      <c r="C971" s="275">
        <v>42879.0</v>
      </c>
      <c r="D971" s="24" t="str">
        <f t="shared" si="7"/>
        <v>May-2017</v>
      </c>
      <c r="E971" s="24" t="s">
        <v>25</v>
      </c>
      <c r="F971" s="24" t="s">
        <v>35</v>
      </c>
      <c r="G971" s="23" t="s">
        <v>345</v>
      </c>
      <c r="H971" s="24" t="s">
        <v>9</v>
      </c>
      <c r="I971" s="24" t="s">
        <v>9</v>
      </c>
      <c r="J971" s="24" t="s">
        <v>30</v>
      </c>
      <c r="K971" s="24"/>
      <c r="L971" s="24" t="s">
        <v>37</v>
      </c>
    </row>
    <row r="972">
      <c r="A972" s="24">
        <f t="shared" si="1"/>
        <v>971</v>
      </c>
      <c r="B972" s="24" t="s">
        <v>488</v>
      </c>
      <c r="C972" s="275">
        <v>42879.0</v>
      </c>
      <c r="D972" s="24" t="str">
        <f t="shared" si="7"/>
        <v>May-2017</v>
      </c>
      <c r="E972" s="24" t="s">
        <v>20</v>
      </c>
      <c r="F972" s="24" t="s">
        <v>35</v>
      </c>
      <c r="G972" s="23" t="s">
        <v>174</v>
      </c>
      <c r="H972" s="24" t="s">
        <v>71</v>
      </c>
      <c r="I972" s="24" t="s">
        <v>9</v>
      </c>
      <c r="J972" s="24" t="s">
        <v>24</v>
      </c>
      <c r="K972" s="24" t="s">
        <v>30</v>
      </c>
      <c r="L972" s="24" t="s">
        <v>99</v>
      </c>
    </row>
    <row r="973">
      <c r="A973" s="24">
        <f t="shared" si="1"/>
        <v>972</v>
      </c>
      <c r="B973" s="24" t="s">
        <v>488</v>
      </c>
      <c r="C973" s="275">
        <v>42879.0</v>
      </c>
      <c r="D973" s="24" t="str">
        <f t="shared" si="7"/>
        <v>May-2017</v>
      </c>
      <c r="E973" s="24" t="s">
        <v>25</v>
      </c>
      <c r="F973" s="24" t="s">
        <v>35</v>
      </c>
      <c r="G973" s="23" t="s">
        <v>174</v>
      </c>
      <c r="H973" s="24" t="s">
        <v>71</v>
      </c>
      <c r="I973" s="24" t="s">
        <v>9</v>
      </c>
      <c r="J973" s="24" t="s">
        <v>30</v>
      </c>
      <c r="K973" s="24"/>
      <c r="L973" s="24" t="s">
        <v>106</v>
      </c>
    </row>
    <row r="974">
      <c r="A974" s="24">
        <f t="shared" si="1"/>
        <v>973</v>
      </c>
      <c r="B974" s="24" t="s">
        <v>488</v>
      </c>
      <c r="C974" s="275">
        <v>42879.0</v>
      </c>
      <c r="D974" s="24" t="str">
        <f t="shared" si="7"/>
        <v>May-2017</v>
      </c>
      <c r="E974" s="24" t="s">
        <v>32</v>
      </c>
      <c r="F974" s="24" t="s">
        <v>35</v>
      </c>
      <c r="G974" s="23" t="s">
        <v>174</v>
      </c>
      <c r="H974" s="24" t="s">
        <v>44</v>
      </c>
      <c r="I974" s="24" t="s">
        <v>9</v>
      </c>
      <c r="J974" s="24" t="s">
        <v>30</v>
      </c>
      <c r="K974" s="24"/>
      <c r="L974" s="24" t="s">
        <v>98</v>
      </c>
    </row>
    <row r="975">
      <c r="A975" s="24">
        <f t="shared" si="1"/>
        <v>974</v>
      </c>
      <c r="B975" s="24" t="s">
        <v>488</v>
      </c>
      <c r="C975" s="275">
        <v>42879.0</v>
      </c>
      <c r="D975" s="24" t="str">
        <f t="shared" si="7"/>
        <v>May-2017</v>
      </c>
      <c r="E975" s="24" t="s">
        <v>20</v>
      </c>
      <c r="F975" s="24" t="s">
        <v>35</v>
      </c>
      <c r="G975" s="23" t="s">
        <v>218</v>
      </c>
      <c r="H975" s="24" t="s">
        <v>86</v>
      </c>
      <c r="I975" s="24" t="s">
        <v>9</v>
      </c>
      <c r="J975" s="24" t="s">
        <v>30</v>
      </c>
      <c r="K975" s="24" t="s">
        <v>30</v>
      </c>
      <c r="L975" s="24" t="s">
        <v>69</v>
      </c>
    </row>
    <row r="976">
      <c r="A976" s="24">
        <f t="shared" si="1"/>
        <v>975</v>
      </c>
      <c r="B976" s="24" t="s">
        <v>488</v>
      </c>
      <c r="C976" s="275">
        <v>42879.0</v>
      </c>
      <c r="D976" s="24" t="str">
        <f t="shared" si="7"/>
        <v>May-2017</v>
      </c>
      <c r="E976" s="24" t="s">
        <v>25</v>
      </c>
      <c r="F976" s="24" t="s">
        <v>35</v>
      </c>
      <c r="G976" s="23" t="s">
        <v>218</v>
      </c>
      <c r="H976" s="24" t="s">
        <v>86</v>
      </c>
      <c r="I976" s="24" t="s">
        <v>9</v>
      </c>
      <c r="J976" s="24" t="s">
        <v>24</v>
      </c>
      <c r="K976" s="24"/>
      <c r="L976" s="24" t="s">
        <v>98</v>
      </c>
    </row>
    <row r="977">
      <c r="A977" s="24">
        <f t="shared" si="1"/>
        <v>976</v>
      </c>
      <c r="B977" s="24" t="s">
        <v>488</v>
      </c>
      <c r="C977" s="275">
        <v>42879.0</v>
      </c>
      <c r="D977" s="24" t="str">
        <f t="shared" si="7"/>
        <v>May-2017</v>
      </c>
      <c r="E977" s="24" t="s">
        <v>32</v>
      </c>
      <c r="F977" s="24" t="s">
        <v>35</v>
      </c>
      <c r="G977" s="23" t="s">
        <v>218</v>
      </c>
      <c r="H977" s="24" t="s">
        <v>71</v>
      </c>
      <c r="I977" s="24" t="s">
        <v>9</v>
      </c>
      <c r="J977" s="24" t="s">
        <v>30</v>
      </c>
      <c r="K977" s="24"/>
      <c r="L977" s="24" t="s">
        <v>29</v>
      </c>
    </row>
    <row r="978">
      <c r="A978" s="24">
        <f t="shared" si="1"/>
        <v>977</v>
      </c>
      <c r="B978" s="24" t="s">
        <v>488</v>
      </c>
      <c r="C978" s="275">
        <v>42879.0</v>
      </c>
      <c r="D978" s="24" t="str">
        <f t="shared" si="7"/>
        <v>May-2017</v>
      </c>
      <c r="E978" s="24" t="s">
        <v>20</v>
      </c>
      <c r="F978" s="24" t="s">
        <v>35</v>
      </c>
      <c r="G978" s="23" t="s">
        <v>449</v>
      </c>
      <c r="H978" s="24" t="s">
        <v>86</v>
      </c>
      <c r="I978" s="24" t="s">
        <v>9</v>
      </c>
      <c r="J978" s="24" t="s">
        <v>30</v>
      </c>
      <c r="K978" s="24" t="s">
        <v>30</v>
      </c>
      <c r="L978" s="24" t="s">
        <v>69</v>
      </c>
    </row>
    <row r="979">
      <c r="A979" s="24">
        <f t="shared" si="1"/>
        <v>978</v>
      </c>
      <c r="B979" s="24" t="s">
        <v>488</v>
      </c>
      <c r="C979" s="275">
        <v>42879.0</v>
      </c>
      <c r="D979" s="24" t="str">
        <f t="shared" si="7"/>
        <v>May-2017</v>
      </c>
      <c r="E979" s="24" t="s">
        <v>25</v>
      </c>
      <c r="F979" s="24" t="s">
        <v>35</v>
      </c>
      <c r="G979" s="23" t="s">
        <v>449</v>
      </c>
      <c r="H979" s="24" t="s">
        <v>86</v>
      </c>
      <c r="I979" s="24" t="s">
        <v>9</v>
      </c>
      <c r="J979" s="24" t="s">
        <v>30</v>
      </c>
      <c r="K979" s="24"/>
      <c r="L979" s="24" t="s">
        <v>98</v>
      </c>
    </row>
    <row r="980">
      <c r="A980" s="24">
        <f t="shared" si="1"/>
        <v>979</v>
      </c>
      <c r="B980" s="24" t="s">
        <v>488</v>
      </c>
      <c r="C980" s="275">
        <v>42879.0</v>
      </c>
      <c r="D980" s="24" t="str">
        <f>TEXT(C977:C980, "mmm") &amp; "-" &amp; TEXT(C977:C980, "yyyy") </f>
        <v>May-2017</v>
      </c>
      <c r="E980" s="24" t="s">
        <v>20</v>
      </c>
      <c r="F980" s="24" t="s">
        <v>35</v>
      </c>
      <c r="G980" s="23" t="s">
        <v>213</v>
      </c>
      <c r="H980" s="24" t="s">
        <v>9</v>
      </c>
      <c r="I980" s="24" t="s">
        <v>9</v>
      </c>
      <c r="J980" s="24" t="s">
        <v>24</v>
      </c>
      <c r="K980" s="24" t="s">
        <v>24</v>
      </c>
      <c r="L980" s="24" t="s">
        <v>69</v>
      </c>
    </row>
    <row r="981">
      <c r="A981" s="24">
        <f t="shared" si="1"/>
        <v>980</v>
      </c>
      <c r="B981" s="24" t="s">
        <v>488</v>
      </c>
      <c r="C981" s="275">
        <v>42879.0</v>
      </c>
      <c r="D981" s="24" t="str">
        <f>TEXT(C980:C981, "mmm") &amp; "-" &amp; TEXT(C980:C981, "yyyy") </f>
        <v>May-2017</v>
      </c>
      <c r="E981" s="24" t="s">
        <v>25</v>
      </c>
      <c r="F981" s="24" t="s">
        <v>35</v>
      </c>
      <c r="G981" s="23" t="s">
        <v>213</v>
      </c>
      <c r="H981" s="24" t="s">
        <v>9</v>
      </c>
      <c r="I981" s="24" t="s">
        <v>9</v>
      </c>
      <c r="J981" s="24" t="s">
        <v>24</v>
      </c>
      <c r="K981" s="24"/>
      <c r="L981" s="24" t="s">
        <v>98</v>
      </c>
    </row>
    <row r="982">
      <c r="A982" s="24">
        <f t="shared" si="1"/>
        <v>981</v>
      </c>
      <c r="B982" s="24" t="s">
        <v>491</v>
      </c>
      <c r="C982" s="275">
        <v>42888.0</v>
      </c>
      <c r="D982" s="24" t="str">
        <f t="shared" ref="D982:D984" si="8">TEXT(C980:C982, "mmm") &amp; "-" &amp; TEXT(C980:C982, "yyyy") </f>
        <v>Jun-2017</v>
      </c>
      <c r="E982" s="24" t="s">
        <v>20</v>
      </c>
      <c r="F982" s="24" t="s">
        <v>35</v>
      </c>
      <c r="G982" s="23" t="s">
        <v>431</v>
      </c>
      <c r="H982" s="24" t="s">
        <v>23</v>
      </c>
      <c r="I982" s="24" t="s">
        <v>9</v>
      </c>
      <c r="J982" s="24" t="s">
        <v>30</v>
      </c>
      <c r="K982" s="24" t="s">
        <v>30</v>
      </c>
      <c r="L982" s="24" t="s">
        <v>99</v>
      </c>
    </row>
    <row r="983">
      <c r="A983" s="24">
        <f t="shared" si="1"/>
        <v>982</v>
      </c>
      <c r="B983" s="24" t="s">
        <v>491</v>
      </c>
      <c r="C983" s="275">
        <v>42888.0</v>
      </c>
      <c r="D983" s="24" t="str">
        <f t="shared" si="8"/>
        <v>Jun-2017</v>
      </c>
      <c r="E983" s="24" t="s">
        <v>25</v>
      </c>
      <c r="F983" s="24" t="s">
        <v>35</v>
      </c>
      <c r="G983" s="23" t="s">
        <v>431</v>
      </c>
      <c r="H983" s="24" t="s">
        <v>23</v>
      </c>
      <c r="I983" s="24" t="s">
        <v>9</v>
      </c>
      <c r="J983" s="24" t="s">
        <v>30</v>
      </c>
      <c r="K983" s="24"/>
      <c r="L983" s="24" t="s">
        <v>37</v>
      </c>
    </row>
    <row r="984">
      <c r="A984" s="24">
        <f t="shared" si="1"/>
        <v>983</v>
      </c>
      <c r="B984" s="24" t="s">
        <v>491</v>
      </c>
      <c r="C984" s="275">
        <v>42888.0</v>
      </c>
      <c r="D984" s="24" t="str">
        <f t="shared" si="8"/>
        <v>Jun-2017</v>
      </c>
      <c r="E984" s="24" t="s">
        <v>20</v>
      </c>
      <c r="F984" s="24" t="s">
        <v>35</v>
      </c>
      <c r="G984" s="23" t="s">
        <v>239</v>
      </c>
      <c r="H984" s="24" t="s">
        <v>27</v>
      </c>
      <c r="I984" s="24" t="s">
        <v>9</v>
      </c>
      <c r="J984" s="24" t="s">
        <v>24</v>
      </c>
      <c r="K984" s="24" t="s">
        <v>24</v>
      </c>
      <c r="L984" s="24" t="s">
        <v>69</v>
      </c>
    </row>
    <row r="985">
      <c r="A985" s="24">
        <f t="shared" si="1"/>
        <v>984</v>
      </c>
      <c r="B985" s="24" t="s">
        <v>491</v>
      </c>
      <c r="C985" s="275">
        <v>42888.0</v>
      </c>
      <c r="D985" s="24" t="str">
        <f t="shared" ref="D985:D988" si="9">TEXT(C982:C985, "mmm") &amp; "-" &amp; TEXT(C982:C985, "yyyy") </f>
        <v>Jun-2017</v>
      </c>
      <c r="E985" s="24" t="s">
        <v>25</v>
      </c>
      <c r="F985" s="24" t="s">
        <v>35</v>
      </c>
      <c r="G985" s="23" t="s">
        <v>239</v>
      </c>
      <c r="H985" s="24" t="s">
        <v>27</v>
      </c>
      <c r="I985" s="24" t="s">
        <v>9</v>
      </c>
      <c r="J985" s="24" t="s">
        <v>24</v>
      </c>
      <c r="K985" s="24"/>
      <c r="L985" s="24" t="s">
        <v>98</v>
      </c>
    </row>
    <row r="986">
      <c r="A986" s="24">
        <f t="shared" si="1"/>
        <v>985</v>
      </c>
      <c r="B986" s="24" t="s">
        <v>491</v>
      </c>
      <c r="C986" s="275">
        <v>42888.0</v>
      </c>
      <c r="D986" s="24" t="str">
        <f t="shared" si="9"/>
        <v>Jun-2017</v>
      </c>
      <c r="E986" s="24" t="s">
        <v>20</v>
      </c>
      <c r="F986" s="24" t="s">
        <v>35</v>
      </c>
      <c r="G986" s="23" t="s">
        <v>493</v>
      </c>
      <c r="H986" s="24" t="s">
        <v>44</v>
      </c>
      <c r="I986" s="24" t="s">
        <v>9</v>
      </c>
      <c r="J986" s="24" t="s">
        <v>24</v>
      </c>
      <c r="K986" s="24" t="s">
        <v>24</v>
      </c>
      <c r="L986" s="24" t="s">
        <v>98</v>
      </c>
    </row>
    <row r="987">
      <c r="A987" s="24">
        <f t="shared" si="1"/>
        <v>986</v>
      </c>
      <c r="B987" s="24" t="s">
        <v>491</v>
      </c>
      <c r="C987" s="275">
        <v>42888.0</v>
      </c>
      <c r="D987" s="24" t="str">
        <f t="shared" si="9"/>
        <v>Jun-2017</v>
      </c>
      <c r="E987" s="24" t="s">
        <v>25</v>
      </c>
      <c r="F987" s="24" t="s">
        <v>35</v>
      </c>
      <c r="G987" s="23" t="s">
        <v>493</v>
      </c>
      <c r="H987" s="24" t="s">
        <v>44</v>
      </c>
      <c r="I987" s="24" t="s">
        <v>9</v>
      </c>
      <c r="J987" s="24" t="s">
        <v>30</v>
      </c>
      <c r="K987" s="24"/>
      <c r="L987" s="24" t="s">
        <v>99</v>
      </c>
    </row>
    <row r="988">
      <c r="A988" s="24">
        <f t="shared" si="1"/>
        <v>987</v>
      </c>
      <c r="B988" s="24" t="s">
        <v>491</v>
      </c>
      <c r="C988" s="275">
        <v>42888.0</v>
      </c>
      <c r="D988" s="24" t="str">
        <f t="shared" si="9"/>
        <v>Jun-2017</v>
      </c>
      <c r="E988" s="24" t="s">
        <v>32</v>
      </c>
      <c r="F988" s="24" t="s">
        <v>35</v>
      </c>
      <c r="G988" s="23" t="s">
        <v>493</v>
      </c>
      <c r="H988" s="24" t="s">
        <v>44</v>
      </c>
      <c r="I988" s="24" t="s">
        <v>9</v>
      </c>
      <c r="J988" s="24" t="s">
        <v>24</v>
      </c>
      <c r="K988" s="24"/>
      <c r="L988" s="24" t="s">
        <v>69</v>
      </c>
    </row>
    <row r="989">
      <c r="A989" s="24">
        <f t="shared" si="1"/>
        <v>988</v>
      </c>
      <c r="B989" s="24" t="s">
        <v>494</v>
      </c>
      <c r="C989" s="275">
        <v>42889.0</v>
      </c>
      <c r="D989" s="24" t="str">
        <f t="shared" ref="D989:D991" si="10">TEXT(C987:C989, "mmm") &amp; "-" &amp; TEXT(C987:C989, "yyyy") </f>
        <v>Jun-2017</v>
      </c>
      <c r="E989" s="24" t="s">
        <v>20</v>
      </c>
      <c r="F989" s="24" t="s">
        <v>287</v>
      </c>
      <c r="G989" s="23" t="s">
        <v>495</v>
      </c>
      <c r="H989" s="24" t="s">
        <v>23</v>
      </c>
      <c r="I989" s="24" t="s">
        <v>9</v>
      </c>
      <c r="J989" s="24" t="s">
        <v>30</v>
      </c>
      <c r="K989" s="24" t="s">
        <v>30</v>
      </c>
      <c r="L989" s="24" t="s">
        <v>99</v>
      </c>
    </row>
    <row r="990">
      <c r="A990" s="24">
        <f t="shared" si="1"/>
        <v>989</v>
      </c>
      <c r="B990" s="24" t="s">
        <v>494</v>
      </c>
      <c r="C990" s="275">
        <v>42889.0</v>
      </c>
      <c r="D990" s="24" t="str">
        <f t="shared" si="10"/>
        <v>Jun-2017</v>
      </c>
      <c r="E990" s="24" t="s">
        <v>25</v>
      </c>
      <c r="F990" s="24" t="s">
        <v>287</v>
      </c>
      <c r="G990" s="23" t="s">
        <v>495</v>
      </c>
      <c r="H990" s="24" t="s">
        <v>23</v>
      </c>
      <c r="I990" s="24" t="s">
        <v>9</v>
      </c>
      <c r="J990" s="24" t="s">
        <v>30</v>
      </c>
      <c r="K990" s="24"/>
      <c r="L990" s="24" t="s">
        <v>99</v>
      </c>
    </row>
    <row r="991">
      <c r="A991" s="24">
        <f t="shared" si="1"/>
        <v>990</v>
      </c>
      <c r="B991" s="24" t="s">
        <v>494</v>
      </c>
      <c r="C991" s="275">
        <v>42889.0</v>
      </c>
      <c r="D991" s="24" t="str">
        <f t="shared" si="10"/>
        <v>Jun-2017</v>
      </c>
      <c r="E991" s="24" t="s">
        <v>20</v>
      </c>
      <c r="F991" s="24" t="s">
        <v>287</v>
      </c>
      <c r="G991" s="23" t="s">
        <v>245</v>
      </c>
      <c r="H991" s="24" t="s">
        <v>27</v>
      </c>
      <c r="I991" s="24" t="s">
        <v>9</v>
      </c>
      <c r="J991" s="24" t="s">
        <v>30</v>
      </c>
      <c r="K991" s="24" t="s">
        <v>30</v>
      </c>
      <c r="L991" s="24" t="s">
        <v>99</v>
      </c>
    </row>
    <row r="992">
      <c r="A992" s="24">
        <f t="shared" si="1"/>
        <v>991</v>
      </c>
      <c r="B992" s="24" t="s">
        <v>494</v>
      </c>
      <c r="C992" s="275">
        <v>42889.0</v>
      </c>
      <c r="D992" s="24" t="str">
        <f t="shared" ref="D992:D1000" si="11">TEXT(C989:C992, "mmm") &amp; "-" &amp; TEXT(C989:C992, "yyyy") </f>
        <v>Jun-2017</v>
      </c>
      <c r="E992" s="24" t="s">
        <v>25</v>
      </c>
      <c r="F992" s="24" t="s">
        <v>287</v>
      </c>
      <c r="G992" s="23" t="s">
        <v>245</v>
      </c>
      <c r="H992" s="24" t="s">
        <v>9</v>
      </c>
      <c r="I992" s="24" t="s">
        <v>9</v>
      </c>
      <c r="J992" s="24" t="s">
        <v>30</v>
      </c>
      <c r="K992" s="24"/>
      <c r="L992" s="24" t="s">
        <v>37</v>
      </c>
    </row>
    <row r="993">
      <c r="A993" s="24">
        <f t="shared" si="1"/>
        <v>992</v>
      </c>
      <c r="B993" s="24" t="s">
        <v>494</v>
      </c>
      <c r="C993" s="275">
        <v>42889.0</v>
      </c>
      <c r="D993" s="24" t="str">
        <f t="shared" si="11"/>
        <v>Jun-2017</v>
      </c>
      <c r="E993" s="24" t="s">
        <v>20</v>
      </c>
      <c r="F993" s="24" t="s">
        <v>35</v>
      </c>
      <c r="G993" s="23" t="s">
        <v>218</v>
      </c>
      <c r="H993" s="24" t="s">
        <v>86</v>
      </c>
      <c r="I993" s="24" t="s">
        <v>9</v>
      </c>
      <c r="J993" s="24" t="s">
        <v>24</v>
      </c>
      <c r="K993" s="24" t="s">
        <v>30</v>
      </c>
      <c r="L993" s="24" t="s">
        <v>69</v>
      </c>
    </row>
    <row r="994">
      <c r="A994" s="24">
        <f t="shared" si="1"/>
        <v>993</v>
      </c>
      <c r="B994" s="24" t="s">
        <v>494</v>
      </c>
      <c r="C994" s="275">
        <v>42889.0</v>
      </c>
      <c r="D994" s="24" t="str">
        <f t="shared" si="11"/>
        <v>Jun-2017</v>
      </c>
      <c r="E994" s="24" t="s">
        <v>25</v>
      </c>
      <c r="F994" s="24" t="s">
        <v>35</v>
      </c>
      <c r="G994" s="23" t="s">
        <v>218</v>
      </c>
      <c r="H994" s="24" t="s">
        <v>86</v>
      </c>
      <c r="I994" s="24" t="s">
        <v>9</v>
      </c>
      <c r="J994" s="24" t="s">
        <v>30</v>
      </c>
      <c r="K994" s="24"/>
      <c r="L994" s="24" t="s">
        <v>99</v>
      </c>
    </row>
    <row r="995">
      <c r="A995" s="24">
        <f t="shared" si="1"/>
        <v>994</v>
      </c>
      <c r="B995" s="24" t="s">
        <v>494</v>
      </c>
      <c r="C995" s="275">
        <v>42889.0</v>
      </c>
      <c r="D995" s="24" t="str">
        <f t="shared" si="11"/>
        <v>Jun-2017</v>
      </c>
      <c r="E995" s="24" t="s">
        <v>32</v>
      </c>
      <c r="F995" s="24" t="s">
        <v>35</v>
      </c>
      <c r="G995" s="23" t="s">
        <v>218</v>
      </c>
      <c r="H995" s="24" t="s">
        <v>86</v>
      </c>
      <c r="I995" s="24" t="s">
        <v>9</v>
      </c>
      <c r="J995" s="24" t="s">
        <v>30</v>
      </c>
      <c r="K995" s="24"/>
      <c r="L995" s="24" t="s">
        <v>98</v>
      </c>
    </row>
    <row r="996">
      <c r="A996" s="24">
        <f t="shared" si="1"/>
        <v>995</v>
      </c>
      <c r="B996" s="24" t="s">
        <v>494</v>
      </c>
      <c r="C996" s="275">
        <v>42889.0</v>
      </c>
      <c r="D996" s="24" t="str">
        <f t="shared" si="11"/>
        <v>Jun-2017</v>
      </c>
      <c r="E996" s="24" t="s">
        <v>20</v>
      </c>
      <c r="F996" s="24" t="s">
        <v>35</v>
      </c>
      <c r="G996" s="23" t="s">
        <v>497</v>
      </c>
      <c r="H996" s="24" t="s">
        <v>9</v>
      </c>
      <c r="I996" s="24" t="s">
        <v>9</v>
      </c>
      <c r="J996" s="24" t="s">
        <v>24</v>
      </c>
      <c r="K996" s="24" t="s">
        <v>24</v>
      </c>
      <c r="L996" s="24" t="s">
        <v>69</v>
      </c>
    </row>
    <row r="997">
      <c r="A997" s="24">
        <f t="shared" si="1"/>
        <v>996</v>
      </c>
      <c r="B997" s="24" t="s">
        <v>494</v>
      </c>
      <c r="C997" s="275">
        <v>42889.0</v>
      </c>
      <c r="D997" s="24" t="str">
        <f t="shared" si="11"/>
        <v>Jun-2017</v>
      </c>
      <c r="E997" s="24" t="s">
        <v>25</v>
      </c>
      <c r="F997" s="24" t="s">
        <v>35</v>
      </c>
      <c r="G997" s="23" t="s">
        <v>497</v>
      </c>
      <c r="H997" s="24" t="s">
        <v>9</v>
      </c>
      <c r="I997" s="24" t="s">
        <v>9</v>
      </c>
      <c r="J997" s="24" t="s">
        <v>24</v>
      </c>
      <c r="K997" s="24"/>
      <c r="L997" s="24" t="s">
        <v>99</v>
      </c>
    </row>
    <row r="998">
      <c r="A998" s="24">
        <f t="shared" si="1"/>
        <v>997</v>
      </c>
      <c r="B998" s="24" t="s">
        <v>494</v>
      </c>
      <c r="C998" s="275">
        <v>42889.0</v>
      </c>
      <c r="D998" s="24" t="str">
        <f t="shared" si="11"/>
        <v>Jun-2017</v>
      </c>
      <c r="E998" s="24" t="s">
        <v>20</v>
      </c>
      <c r="F998" s="24" t="s">
        <v>35</v>
      </c>
      <c r="G998" s="23" t="s">
        <v>135</v>
      </c>
      <c r="H998" s="24" t="s">
        <v>86</v>
      </c>
      <c r="I998" s="24" t="s">
        <v>9</v>
      </c>
      <c r="J998" s="24" t="s">
        <v>24</v>
      </c>
      <c r="K998" s="24" t="s">
        <v>24</v>
      </c>
      <c r="L998" s="24" t="s">
        <v>69</v>
      </c>
    </row>
    <row r="999">
      <c r="A999" s="24">
        <f t="shared" si="1"/>
        <v>998</v>
      </c>
      <c r="B999" s="24" t="s">
        <v>494</v>
      </c>
      <c r="C999" s="275">
        <v>42889.0</v>
      </c>
      <c r="D999" s="24" t="str">
        <f t="shared" si="11"/>
        <v>Jun-2017</v>
      </c>
      <c r="E999" s="24" t="s">
        <v>25</v>
      </c>
      <c r="F999" s="24" t="s">
        <v>35</v>
      </c>
      <c r="G999" s="23" t="s">
        <v>135</v>
      </c>
      <c r="H999" s="24" t="s">
        <v>86</v>
      </c>
      <c r="I999" s="24" t="s">
        <v>9</v>
      </c>
      <c r="J999" s="24" t="s">
        <v>30</v>
      </c>
      <c r="K999" s="24"/>
      <c r="L999" s="24" t="s">
        <v>29</v>
      </c>
    </row>
    <row r="1000">
      <c r="A1000" s="24">
        <f t="shared" si="1"/>
        <v>999</v>
      </c>
      <c r="B1000" s="24" t="s">
        <v>494</v>
      </c>
      <c r="C1000" s="275">
        <v>42889.0</v>
      </c>
      <c r="D1000" s="24" t="str">
        <f t="shared" si="11"/>
        <v>Jun-2017</v>
      </c>
      <c r="E1000" s="24" t="s">
        <v>32</v>
      </c>
      <c r="F1000" s="24" t="s">
        <v>35</v>
      </c>
      <c r="G1000" s="23" t="s">
        <v>135</v>
      </c>
      <c r="H1000" s="24" t="s">
        <v>86</v>
      </c>
      <c r="I1000" s="24" t="s">
        <v>9</v>
      </c>
      <c r="J1000" s="24" t="s">
        <v>24</v>
      </c>
      <c r="K1000" s="24"/>
      <c r="L1000" s="24" t="s">
        <v>98</v>
      </c>
    </row>
    <row r="1001">
      <c r="A1001" s="24">
        <f t="shared" si="1"/>
        <v>1000</v>
      </c>
      <c r="B1001" s="24" t="s">
        <v>498</v>
      </c>
      <c r="C1001" s="275">
        <v>42893.0</v>
      </c>
      <c r="D1001" s="24" t="str">
        <f t="shared" ref="D1001:D1003" si="12">TEXT(C999:C1001, "mmm") &amp; "-" &amp; TEXT(C999:C1001, "yyyy") </f>
        <v>Jun-2017</v>
      </c>
      <c r="E1001" s="24" t="s">
        <v>20</v>
      </c>
      <c r="F1001" s="24" t="s">
        <v>35</v>
      </c>
      <c r="G1001" s="23" t="s">
        <v>499</v>
      </c>
      <c r="H1001" s="24" t="s">
        <v>9</v>
      </c>
      <c r="I1001" s="24" t="s">
        <v>9</v>
      </c>
      <c r="J1001" s="24" t="s">
        <v>30</v>
      </c>
      <c r="K1001" s="24" t="s">
        <v>30</v>
      </c>
      <c r="L1001" s="24" t="s">
        <v>98</v>
      </c>
    </row>
    <row r="1002">
      <c r="A1002" s="24">
        <f t="shared" si="1"/>
        <v>1001</v>
      </c>
      <c r="B1002" s="24" t="s">
        <v>498</v>
      </c>
      <c r="C1002" s="275">
        <v>42893.0</v>
      </c>
      <c r="D1002" s="24" t="str">
        <f t="shared" si="12"/>
        <v>Jun-2017</v>
      </c>
      <c r="E1002" s="24" t="s">
        <v>25</v>
      </c>
      <c r="F1002" s="24" t="s">
        <v>35</v>
      </c>
      <c r="G1002" s="23" t="s">
        <v>499</v>
      </c>
      <c r="H1002" s="24" t="s">
        <v>9</v>
      </c>
      <c r="I1002" s="24" t="s">
        <v>9</v>
      </c>
      <c r="J1002" s="24" t="s">
        <v>30</v>
      </c>
      <c r="K1002" s="24"/>
      <c r="L1002" s="24" t="s">
        <v>69</v>
      </c>
    </row>
    <row r="1003">
      <c r="A1003" s="24">
        <f t="shared" si="1"/>
        <v>1002</v>
      </c>
      <c r="B1003" s="24" t="s">
        <v>498</v>
      </c>
      <c r="C1003" s="275">
        <v>42893.0</v>
      </c>
      <c r="D1003" s="24" t="str">
        <f t="shared" si="12"/>
        <v>Jun-2017</v>
      </c>
      <c r="E1003" s="24" t="s">
        <v>20</v>
      </c>
      <c r="F1003" s="24" t="s">
        <v>35</v>
      </c>
      <c r="G1003" s="23" t="s">
        <v>500</v>
      </c>
      <c r="H1003" s="24" t="s">
        <v>23</v>
      </c>
      <c r="I1003" s="24" t="s">
        <v>9</v>
      </c>
      <c r="J1003" s="24" t="s">
        <v>30</v>
      </c>
      <c r="K1003" s="24" t="s">
        <v>30</v>
      </c>
      <c r="L1003" s="24" t="s">
        <v>99</v>
      </c>
    </row>
    <row r="1004">
      <c r="A1004" s="24">
        <f t="shared" si="1"/>
        <v>1003</v>
      </c>
      <c r="B1004" s="24" t="s">
        <v>498</v>
      </c>
      <c r="C1004" s="275">
        <v>42893.0</v>
      </c>
      <c r="D1004" s="24" t="str">
        <f t="shared" ref="D1004:D1012" si="13">TEXT(C1001:C1004, "mmm") &amp; "-" &amp; TEXT(C1001:C1004, "yyyy") </f>
        <v>Jun-2017</v>
      </c>
      <c r="E1004" s="24" t="s">
        <v>25</v>
      </c>
      <c r="F1004" s="24" t="s">
        <v>35</v>
      </c>
      <c r="G1004" s="23" t="s">
        <v>500</v>
      </c>
      <c r="H1004" s="24" t="s">
        <v>23</v>
      </c>
      <c r="I1004" s="24" t="s">
        <v>9</v>
      </c>
      <c r="J1004" s="24" t="s">
        <v>30</v>
      </c>
      <c r="K1004" s="24"/>
      <c r="L1004" s="24" t="s">
        <v>69</v>
      </c>
    </row>
    <row r="1005">
      <c r="A1005" s="24">
        <f t="shared" si="1"/>
        <v>1004</v>
      </c>
      <c r="B1005" s="24" t="s">
        <v>498</v>
      </c>
      <c r="C1005" s="275">
        <v>42893.0</v>
      </c>
      <c r="D1005" s="24" t="str">
        <f t="shared" si="13"/>
        <v>Jun-2017</v>
      </c>
      <c r="E1005" s="24" t="s">
        <v>20</v>
      </c>
      <c r="F1005" s="24" t="s">
        <v>35</v>
      </c>
      <c r="G1005" s="23" t="s">
        <v>501</v>
      </c>
      <c r="H1005" s="24" t="s">
        <v>102</v>
      </c>
      <c r="I1005" s="24" t="s">
        <v>9</v>
      </c>
      <c r="J1005" s="24" t="s">
        <v>24</v>
      </c>
      <c r="K1005" s="24" t="s">
        <v>24</v>
      </c>
      <c r="L1005" s="24" t="s">
        <v>98</v>
      </c>
    </row>
    <row r="1006">
      <c r="A1006" s="24">
        <f t="shared" si="1"/>
        <v>1005</v>
      </c>
      <c r="B1006" s="24" t="s">
        <v>498</v>
      </c>
      <c r="C1006" s="275">
        <v>42893.0</v>
      </c>
      <c r="D1006" s="24" t="str">
        <f t="shared" si="13"/>
        <v>Jun-2017</v>
      </c>
      <c r="E1006" s="24" t="s">
        <v>25</v>
      </c>
      <c r="F1006" s="24" t="s">
        <v>35</v>
      </c>
      <c r="G1006" s="23" t="s">
        <v>501</v>
      </c>
      <c r="H1006" s="24" t="s">
        <v>102</v>
      </c>
      <c r="I1006" s="24" t="s">
        <v>9</v>
      </c>
      <c r="J1006" s="24" t="s">
        <v>30</v>
      </c>
      <c r="K1006" s="24"/>
      <c r="L1006" s="24" t="s">
        <v>69</v>
      </c>
    </row>
    <row r="1007">
      <c r="A1007" s="24">
        <f t="shared" si="1"/>
        <v>1006</v>
      </c>
      <c r="B1007" s="24" t="s">
        <v>498</v>
      </c>
      <c r="C1007" s="275">
        <v>42893.0</v>
      </c>
      <c r="D1007" s="24" t="str">
        <f t="shared" si="13"/>
        <v>Jun-2017</v>
      </c>
      <c r="E1007" s="24" t="s">
        <v>32</v>
      </c>
      <c r="F1007" s="24" t="s">
        <v>35</v>
      </c>
      <c r="G1007" s="23" t="s">
        <v>501</v>
      </c>
      <c r="H1007" s="24" t="s">
        <v>102</v>
      </c>
      <c r="I1007" s="24" t="s">
        <v>9</v>
      </c>
      <c r="J1007" s="24" t="s">
        <v>24</v>
      </c>
      <c r="K1007" s="24"/>
      <c r="L1007" s="24" t="s">
        <v>37</v>
      </c>
    </row>
    <row r="1008">
      <c r="A1008" s="24">
        <f t="shared" si="1"/>
        <v>1007</v>
      </c>
      <c r="B1008" s="24" t="s">
        <v>498</v>
      </c>
      <c r="C1008" s="275">
        <v>42893.0</v>
      </c>
      <c r="D1008" s="24" t="str">
        <f t="shared" si="13"/>
        <v>Jun-2017</v>
      </c>
      <c r="E1008" s="24" t="s">
        <v>20</v>
      </c>
      <c r="F1008" s="24" t="s">
        <v>35</v>
      </c>
      <c r="G1008" s="23" t="s">
        <v>93</v>
      </c>
      <c r="H1008" s="24" t="s">
        <v>23</v>
      </c>
      <c r="I1008" s="24" t="s">
        <v>9</v>
      </c>
      <c r="J1008" s="24" t="s">
        <v>24</v>
      </c>
      <c r="K1008" s="24" t="s">
        <v>30</v>
      </c>
      <c r="L1008" s="24" t="s">
        <v>29</v>
      </c>
    </row>
    <row r="1009">
      <c r="A1009" s="24">
        <f t="shared" si="1"/>
        <v>1008</v>
      </c>
      <c r="B1009" s="24" t="s">
        <v>498</v>
      </c>
      <c r="C1009" s="275">
        <v>42893.0</v>
      </c>
      <c r="D1009" s="24" t="str">
        <f t="shared" si="13"/>
        <v>Jun-2017</v>
      </c>
      <c r="E1009" s="24" t="s">
        <v>25</v>
      </c>
      <c r="F1009" s="24" t="s">
        <v>35</v>
      </c>
      <c r="G1009" s="23" t="s">
        <v>93</v>
      </c>
      <c r="H1009" s="24" t="s">
        <v>23</v>
      </c>
      <c r="I1009" s="24" t="s">
        <v>9</v>
      </c>
      <c r="J1009" s="24" t="s">
        <v>30</v>
      </c>
      <c r="K1009" s="24"/>
      <c r="L1009" s="24" t="s">
        <v>99</v>
      </c>
    </row>
    <row r="1010">
      <c r="A1010" s="24">
        <f t="shared" si="1"/>
        <v>1009</v>
      </c>
      <c r="B1010" s="24" t="s">
        <v>498</v>
      </c>
      <c r="C1010" s="275">
        <v>42893.0</v>
      </c>
      <c r="D1010" s="24" t="str">
        <f t="shared" si="13"/>
        <v>Jun-2017</v>
      </c>
      <c r="E1010" s="24" t="s">
        <v>32</v>
      </c>
      <c r="F1010" s="24" t="s">
        <v>35</v>
      </c>
      <c r="G1010" s="23" t="s">
        <v>93</v>
      </c>
      <c r="H1010" s="24" t="s">
        <v>23</v>
      </c>
      <c r="I1010" s="24" t="s">
        <v>9</v>
      </c>
      <c r="J1010" s="24" t="s">
        <v>30</v>
      </c>
      <c r="K1010" s="24"/>
      <c r="L1010" s="24" t="s">
        <v>98</v>
      </c>
    </row>
    <row r="1011">
      <c r="A1011" s="24">
        <f t="shared" si="1"/>
        <v>1010</v>
      </c>
      <c r="B1011" s="24" t="s">
        <v>498</v>
      </c>
      <c r="C1011" s="275">
        <v>42893.0</v>
      </c>
      <c r="D1011" s="24" t="str">
        <f t="shared" si="13"/>
        <v>Jun-2017</v>
      </c>
      <c r="E1011" s="24" t="s">
        <v>20</v>
      </c>
      <c r="F1011" s="24" t="s">
        <v>35</v>
      </c>
      <c r="G1011" s="23" t="s">
        <v>453</v>
      </c>
      <c r="H1011" s="24" t="s">
        <v>23</v>
      </c>
      <c r="I1011" s="24" t="s">
        <v>9</v>
      </c>
      <c r="J1011" s="24" t="s">
        <v>24</v>
      </c>
      <c r="K1011" s="24" t="s">
        <v>24</v>
      </c>
      <c r="L1011" s="24" t="s">
        <v>99</v>
      </c>
    </row>
    <row r="1012">
      <c r="A1012" s="24">
        <f t="shared" si="1"/>
        <v>1011</v>
      </c>
      <c r="B1012" s="24" t="s">
        <v>498</v>
      </c>
      <c r="C1012" s="275">
        <v>42893.0</v>
      </c>
      <c r="D1012" s="24" t="str">
        <f t="shared" si="13"/>
        <v>Jun-2017</v>
      </c>
      <c r="E1012" s="24" t="s">
        <v>25</v>
      </c>
      <c r="F1012" s="24" t="s">
        <v>35</v>
      </c>
      <c r="G1012" s="23" t="s">
        <v>453</v>
      </c>
      <c r="H1012" s="24" t="s">
        <v>23</v>
      </c>
      <c r="I1012" s="24" t="s">
        <v>9</v>
      </c>
      <c r="J1012" s="24" t="s">
        <v>24</v>
      </c>
      <c r="K1012" s="24"/>
      <c r="L1012" s="24" t="s">
        <v>69</v>
      </c>
    </row>
    <row r="1013">
      <c r="A1013" s="24">
        <f t="shared" si="1"/>
        <v>1012</v>
      </c>
      <c r="B1013" s="24" t="s">
        <v>502</v>
      </c>
      <c r="C1013" s="275">
        <v>42898.0</v>
      </c>
      <c r="D1013" s="24" t="str">
        <f t="shared" ref="D1013:D1015" si="14">TEXT(C1011:C1013, "mmm") &amp; "-" &amp; TEXT(C1011:C1013, "yyyy") </f>
        <v>Jun-2017</v>
      </c>
      <c r="E1013" s="24" t="s">
        <v>20</v>
      </c>
      <c r="F1013" s="24" t="s">
        <v>35</v>
      </c>
      <c r="G1013" s="23" t="s">
        <v>503</v>
      </c>
      <c r="H1013" s="24" t="s">
        <v>102</v>
      </c>
      <c r="I1013" s="24" t="s">
        <v>9</v>
      </c>
      <c r="J1013" s="24" t="s">
        <v>30</v>
      </c>
      <c r="K1013" s="24" t="s">
        <v>30</v>
      </c>
      <c r="L1013" s="24" t="s">
        <v>99</v>
      </c>
    </row>
    <row r="1014">
      <c r="A1014" s="24">
        <f t="shared" si="1"/>
        <v>1013</v>
      </c>
      <c r="B1014" s="24" t="s">
        <v>502</v>
      </c>
      <c r="C1014" s="275">
        <v>42898.0</v>
      </c>
      <c r="D1014" s="24" t="str">
        <f t="shared" si="14"/>
        <v>Jun-2017</v>
      </c>
      <c r="E1014" s="24" t="s">
        <v>25</v>
      </c>
      <c r="F1014" s="24" t="s">
        <v>35</v>
      </c>
      <c r="G1014" s="23" t="s">
        <v>503</v>
      </c>
      <c r="H1014" s="24" t="s">
        <v>102</v>
      </c>
      <c r="I1014" s="24" t="s">
        <v>9</v>
      </c>
      <c r="J1014" s="24" t="s">
        <v>30</v>
      </c>
      <c r="K1014" s="24"/>
      <c r="L1014" s="24" t="s">
        <v>37</v>
      </c>
    </row>
    <row r="1015">
      <c r="A1015" s="24">
        <f t="shared" si="1"/>
        <v>1014</v>
      </c>
      <c r="B1015" s="24" t="s">
        <v>505</v>
      </c>
      <c r="C1015" s="275">
        <v>42898.0</v>
      </c>
      <c r="D1015" s="24" t="str">
        <f t="shared" si="14"/>
        <v>Jun-2017</v>
      </c>
      <c r="E1015" s="24" t="s">
        <v>20</v>
      </c>
      <c r="F1015" s="24" t="s">
        <v>35</v>
      </c>
      <c r="G1015" s="23" t="s">
        <v>135</v>
      </c>
      <c r="H1015" s="24" t="s">
        <v>86</v>
      </c>
      <c r="I1015" s="24" t="s">
        <v>9</v>
      </c>
      <c r="J1015" s="24" t="s">
        <v>24</v>
      </c>
      <c r="K1015" s="24" t="s">
        <v>24</v>
      </c>
      <c r="L1015" s="24" t="s">
        <v>69</v>
      </c>
    </row>
    <row r="1016">
      <c r="A1016" s="24">
        <f t="shared" si="1"/>
        <v>1015</v>
      </c>
      <c r="B1016" s="24" t="s">
        <v>505</v>
      </c>
      <c r="C1016" s="275">
        <v>42898.0</v>
      </c>
      <c r="D1016" s="24" t="str">
        <f t="shared" ref="D1016:D1027" si="15">TEXT(C1013:C1016, "mmm") &amp; "-" &amp; TEXT(C1013:C1016, "yyyy") </f>
        <v>Jun-2017</v>
      </c>
      <c r="E1016" s="24" t="s">
        <v>25</v>
      </c>
      <c r="F1016" s="24" t="s">
        <v>35</v>
      </c>
      <c r="G1016" s="23" t="s">
        <v>135</v>
      </c>
      <c r="H1016" s="24" t="s">
        <v>86</v>
      </c>
      <c r="I1016" s="24" t="s">
        <v>9</v>
      </c>
      <c r="J1016" s="24" t="s">
        <v>30</v>
      </c>
      <c r="K1016" s="24"/>
      <c r="L1016" s="24" t="s">
        <v>99</v>
      </c>
    </row>
    <row r="1017">
      <c r="A1017" s="24">
        <f t="shared" si="1"/>
        <v>1016</v>
      </c>
      <c r="B1017" s="24" t="s">
        <v>505</v>
      </c>
      <c r="C1017" s="275">
        <v>42898.0</v>
      </c>
      <c r="D1017" s="24" t="str">
        <f t="shared" si="15"/>
        <v>Jun-2017</v>
      </c>
      <c r="E1017" s="24" t="s">
        <v>32</v>
      </c>
      <c r="F1017" s="24" t="s">
        <v>35</v>
      </c>
      <c r="G1017" s="23" t="s">
        <v>135</v>
      </c>
      <c r="H1017" s="24" t="s">
        <v>86</v>
      </c>
      <c r="I1017" s="24" t="s">
        <v>9</v>
      </c>
      <c r="J1017" s="24" t="s">
        <v>24</v>
      </c>
      <c r="K1017" s="24"/>
      <c r="L1017" s="24" t="s">
        <v>98</v>
      </c>
    </row>
    <row r="1018">
      <c r="A1018" s="24">
        <f t="shared" si="1"/>
        <v>1017</v>
      </c>
      <c r="B1018" s="24" t="s">
        <v>505</v>
      </c>
      <c r="C1018" s="275">
        <v>42898.0</v>
      </c>
      <c r="D1018" s="24" t="str">
        <f t="shared" si="15"/>
        <v>Jun-2017</v>
      </c>
      <c r="E1018" s="24" t="s">
        <v>20</v>
      </c>
      <c r="F1018" s="24" t="s">
        <v>35</v>
      </c>
      <c r="G1018" s="23" t="s">
        <v>219</v>
      </c>
      <c r="H1018" s="24" t="s">
        <v>97</v>
      </c>
      <c r="I1018" s="24" t="s">
        <v>9</v>
      </c>
      <c r="J1018" s="24" t="s">
        <v>30</v>
      </c>
      <c r="K1018" s="24" t="s">
        <v>30</v>
      </c>
      <c r="L1018" s="24" t="s">
        <v>69</v>
      </c>
    </row>
    <row r="1019">
      <c r="A1019" s="24">
        <f t="shared" si="1"/>
        <v>1018</v>
      </c>
      <c r="B1019" s="24" t="s">
        <v>505</v>
      </c>
      <c r="C1019" s="275">
        <v>42898.0</v>
      </c>
      <c r="D1019" s="24" t="str">
        <f t="shared" si="15"/>
        <v>Jun-2017</v>
      </c>
      <c r="E1019" s="24" t="s">
        <v>25</v>
      </c>
      <c r="F1019" s="24" t="s">
        <v>35</v>
      </c>
      <c r="G1019" s="23" t="s">
        <v>219</v>
      </c>
      <c r="H1019" s="24" t="s">
        <v>97</v>
      </c>
      <c r="I1019" s="24" t="s">
        <v>9</v>
      </c>
      <c r="J1019" s="24" t="s">
        <v>30</v>
      </c>
      <c r="K1019" s="24"/>
      <c r="L1019" s="24" t="s">
        <v>106</v>
      </c>
    </row>
    <row r="1020">
      <c r="A1020" s="24">
        <f t="shared" si="1"/>
        <v>1019</v>
      </c>
      <c r="B1020" s="24" t="s">
        <v>505</v>
      </c>
      <c r="C1020" s="275">
        <v>42898.0</v>
      </c>
      <c r="D1020" s="24" t="str">
        <f t="shared" si="15"/>
        <v>Jun-2017</v>
      </c>
      <c r="E1020" s="24" t="s">
        <v>20</v>
      </c>
      <c r="F1020" s="24" t="s">
        <v>35</v>
      </c>
      <c r="G1020" s="23" t="s">
        <v>506</v>
      </c>
      <c r="H1020" s="24" t="s">
        <v>9</v>
      </c>
      <c r="I1020" s="24" t="s">
        <v>9</v>
      </c>
      <c r="J1020" s="24" t="s">
        <v>30</v>
      </c>
      <c r="K1020" s="24" t="s">
        <v>30</v>
      </c>
      <c r="L1020" s="24" t="s">
        <v>98</v>
      </c>
    </row>
    <row r="1021">
      <c r="A1021" s="24">
        <f t="shared" si="1"/>
        <v>1020</v>
      </c>
      <c r="B1021" s="24" t="s">
        <v>505</v>
      </c>
      <c r="C1021" s="275">
        <v>42898.0</v>
      </c>
      <c r="D1021" s="24" t="str">
        <f t="shared" si="15"/>
        <v>Jun-2017</v>
      </c>
      <c r="E1021" s="24" t="s">
        <v>25</v>
      </c>
      <c r="F1021" s="24" t="s">
        <v>35</v>
      </c>
      <c r="G1021" s="23" t="s">
        <v>506</v>
      </c>
      <c r="H1021" s="24" t="s">
        <v>9</v>
      </c>
      <c r="I1021" s="24" t="s">
        <v>9</v>
      </c>
      <c r="J1021" s="24" t="s">
        <v>30</v>
      </c>
      <c r="K1021" s="24"/>
      <c r="L1021" s="24" t="s">
        <v>37</v>
      </c>
    </row>
    <row r="1022">
      <c r="A1022" s="24">
        <f t="shared" si="1"/>
        <v>1021</v>
      </c>
      <c r="B1022" s="24" t="s">
        <v>505</v>
      </c>
      <c r="C1022" s="275">
        <v>42898.0</v>
      </c>
      <c r="D1022" s="24" t="str">
        <f t="shared" si="15"/>
        <v>Jun-2017</v>
      </c>
      <c r="E1022" s="24" t="s">
        <v>20</v>
      </c>
      <c r="F1022" s="24" t="s">
        <v>35</v>
      </c>
      <c r="G1022" s="23" t="s">
        <v>133</v>
      </c>
      <c r="H1022" s="24" t="s">
        <v>27</v>
      </c>
      <c r="I1022" s="24" t="s">
        <v>9</v>
      </c>
      <c r="J1022" s="24" t="s">
        <v>30</v>
      </c>
      <c r="K1022" s="24" t="s">
        <v>30</v>
      </c>
      <c r="L1022" s="24" t="s">
        <v>98</v>
      </c>
    </row>
    <row r="1023">
      <c r="A1023" s="24">
        <f t="shared" si="1"/>
        <v>1022</v>
      </c>
      <c r="B1023" s="24" t="s">
        <v>505</v>
      </c>
      <c r="C1023" s="275">
        <v>42898.0</v>
      </c>
      <c r="D1023" s="24" t="str">
        <f t="shared" si="15"/>
        <v>Jun-2017</v>
      </c>
      <c r="E1023" s="24" t="s">
        <v>25</v>
      </c>
      <c r="F1023" s="24" t="s">
        <v>35</v>
      </c>
      <c r="G1023" s="23" t="s">
        <v>133</v>
      </c>
      <c r="H1023" s="24" t="s">
        <v>27</v>
      </c>
      <c r="I1023" s="24" t="s">
        <v>9</v>
      </c>
      <c r="J1023" s="24" t="s">
        <v>30</v>
      </c>
      <c r="K1023" s="24"/>
      <c r="L1023" s="24" t="s">
        <v>106</v>
      </c>
    </row>
    <row r="1024">
      <c r="A1024" s="24">
        <f t="shared" si="1"/>
        <v>1023</v>
      </c>
      <c r="B1024" s="24" t="s">
        <v>505</v>
      </c>
      <c r="C1024" s="275">
        <v>42898.0</v>
      </c>
      <c r="D1024" s="24" t="str">
        <f t="shared" si="15"/>
        <v>Jun-2017</v>
      </c>
      <c r="E1024" s="24" t="s">
        <v>20</v>
      </c>
      <c r="F1024" s="24" t="s">
        <v>35</v>
      </c>
      <c r="G1024" s="23" t="s">
        <v>114</v>
      </c>
      <c r="H1024" s="24" t="s">
        <v>27</v>
      </c>
      <c r="I1024" s="24" t="s">
        <v>9</v>
      </c>
      <c r="J1024" s="24" t="s">
        <v>30</v>
      </c>
      <c r="K1024" s="24" t="s">
        <v>30</v>
      </c>
      <c r="L1024" s="24" t="s">
        <v>69</v>
      </c>
    </row>
    <row r="1025">
      <c r="A1025" s="24">
        <f t="shared" si="1"/>
        <v>1024</v>
      </c>
      <c r="B1025" s="24" t="s">
        <v>505</v>
      </c>
      <c r="C1025" s="275">
        <v>42898.0</v>
      </c>
      <c r="D1025" s="24" t="str">
        <f t="shared" si="15"/>
        <v>Jun-2017</v>
      </c>
      <c r="E1025" s="24" t="s">
        <v>25</v>
      </c>
      <c r="F1025" s="24" t="s">
        <v>35</v>
      </c>
      <c r="G1025" s="23" t="s">
        <v>114</v>
      </c>
      <c r="H1025" s="24" t="s">
        <v>27</v>
      </c>
      <c r="I1025" s="24" t="s">
        <v>9</v>
      </c>
      <c r="J1025" s="24" t="s">
        <v>30</v>
      </c>
      <c r="K1025" s="24"/>
      <c r="L1025" s="24" t="s">
        <v>99</v>
      </c>
    </row>
    <row r="1026">
      <c r="A1026" s="24">
        <f t="shared" si="1"/>
        <v>1025</v>
      </c>
      <c r="B1026" s="24" t="s">
        <v>505</v>
      </c>
      <c r="C1026" s="275">
        <v>42898.0</v>
      </c>
      <c r="D1026" s="24" t="str">
        <f t="shared" si="15"/>
        <v>Jun-2017</v>
      </c>
      <c r="E1026" s="24" t="s">
        <v>20</v>
      </c>
      <c r="F1026" s="24" t="s">
        <v>35</v>
      </c>
      <c r="G1026" s="23" t="s">
        <v>184</v>
      </c>
      <c r="H1026" s="24" t="s">
        <v>9</v>
      </c>
      <c r="I1026" s="24" t="s">
        <v>9</v>
      </c>
      <c r="J1026" s="24" t="s">
        <v>24</v>
      </c>
      <c r="K1026" s="24" t="s">
        <v>24</v>
      </c>
      <c r="L1026" s="24" t="s">
        <v>69</v>
      </c>
    </row>
    <row r="1027">
      <c r="A1027" s="24">
        <f t="shared" si="1"/>
        <v>1026</v>
      </c>
      <c r="B1027" s="24" t="s">
        <v>505</v>
      </c>
      <c r="C1027" s="275">
        <v>42898.0</v>
      </c>
      <c r="D1027" s="24" t="str">
        <f t="shared" si="15"/>
        <v>Jun-2017</v>
      </c>
      <c r="E1027" s="24" t="s">
        <v>25</v>
      </c>
      <c r="F1027" s="24" t="s">
        <v>35</v>
      </c>
      <c r="G1027" s="23" t="s">
        <v>184</v>
      </c>
      <c r="H1027" s="24" t="s">
        <v>44</v>
      </c>
      <c r="I1027" s="24" t="s">
        <v>9</v>
      </c>
      <c r="J1027" s="24" t="s">
        <v>24</v>
      </c>
      <c r="K1027" s="24"/>
      <c r="L1027" s="24" t="s">
        <v>99</v>
      </c>
    </row>
    <row r="1028">
      <c r="A1028" s="24">
        <f t="shared" si="1"/>
        <v>1027</v>
      </c>
      <c r="B1028" s="24" t="s">
        <v>507</v>
      </c>
      <c r="C1028" s="275">
        <v>42900.0</v>
      </c>
      <c r="D1028" s="24" t="str">
        <f t="shared" ref="D1028:D1030" si="16">TEXT(C1026:C1028, "mmm") &amp; "-" &amp; TEXT(C1026:C1028, "yyyy") </f>
        <v>Jun-2017</v>
      </c>
      <c r="E1028" s="24" t="s">
        <v>20</v>
      </c>
      <c r="F1028" s="24" t="s">
        <v>35</v>
      </c>
      <c r="G1028" s="23" t="s">
        <v>276</v>
      </c>
      <c r="H1028" s="24" t="s">
        <v>48</v>
      </c>
      <c r="I1028" s="24" t="s">
        <v>9</v>
      </c>
      <c r="J1028" s="24" t="s">
        <v>30</v>
      </c>
      <c r="K1028" s="24" t="s">
        <v>30</v>
      </c>
      <c r="L1028" s="24" t="s">
        <v>98</v>
      </c>
    </row>
    <row r="1029">
      <c r="A1029" s="24">
        <f t="shared" si="1"/>
        <v>1028</v>
      </c>
      <c r="B1029" s="24" t="s">
        <v>507</v>
      </c>
      <c r="C1029" s="275">
        <v>42900.0</v>
      </c>
      <c r="D1029" s="24" t="str">
        <f t="shared" si="16"/>
        <v>Jun-2017</v>
      </c>
      <c r="E1029" s="24" t="s">
        <v>25</v>
      </c>
      <c r="F1029" s="24" t="s">
        <v>35</v>
      </c>
      <c r="G1029" s="23" t="s">
        <v>276</v>
      </c>
      <c r="H1029" s="24" t="s">
        <v>48</v>
      </c>
      <c r="I1029" s="24" t="s">
        <v>9</v>
      </c>
      <c r="J1029" s="24" t="s">
        <v>30</v>
      </c>
      <c r="K1029" s="24"/>
      <c r="L1029" s="24" t="s">
        <v>99</v>
      </c>
    </row>
    <row r="1030">
      <c r="A1030" s="24">
        <f t="shared" si="1"/>
        <v>1029</v>
      </c>
      <c r="B1030" s="24" t="s">
        <v>507</v>
      </c>
      <c r="C1030" s="275">
        <v>42900.0</v>
      </c>
      <c r="D1030" s="24" t="str">
        <f t="shared" si="16"/>
        <v>Jun-2017</v>
      </c>
      <c r="E1030" s="24" t="s">
        <v>20</v>
      </c>
      <c r="F1030" s="24" t="s">
        <v>35</v>
      </c>
      <c r="G1030" s="23" t="s">
        <v>133</v>
      </c>
      <c r="H1030" s="24" t="s">
        <v>44</v>
      </c>
      <c r="I1030" s="24" t="s">
        <v>9</v>
      </c>
      <c r="J1030" s="24" t="s">
        <v>30</v>
      </c>
      <c r="K1030" s="24" t="s">
        <v>30</v>
      </c>
      <c r="L1030" s="24" t="s">
        <v>98</v>
      </c>
    </row>
    <row r="1031">
      <c r="A1031" s="24">
        <f t="shared" si="1"/>
        <v>1030</v>
      </c>
      <c r="B1031" s="24" t="s">
        <v>507</v>
      </c>
      <c r="C1031" s="275">
        <v>42900.0</v>
      </c>
      <c r="D1031" s="24" t="str">
        <f t="shared" ref="D1031:D1038" si="17">TEXT(C1028:C1031, "mmm") &amp; "-" &amp; TEXT(C1028:C1031, "yyyy") </f>
        <v>Jun-2017</v>
      </c>
      <c r="E1031" s="24" t="s">
        <v>25</v>
      </c>
      <c r="F1031" s="24" t="s">
        <v>35</v>
      </c>
      <c r="G1031" s="23" t="s">
        <v>133</v>
      </c>
      <c r="H1031" s="24" t="s">
        <v>44</v>
      </c>
      <c r="I1031" s="24" t="s">
        <v>9</v>
      </c>
      <c r="J1031" s="24" t="s">
        <v>24</v>
      </c>
      <c r="K1031" s="24"/>
      <c r="L1031" s="24" t="s">
        <v>69</v>
      </c>
    </row>
    <row r="1032">
      <c r="A1032" s="24">
        <f t="shared" si="1"/>
        <v>1031</v>
      </c>
      <c r="B1032" s="24" t="s">
        <v>507</v>
      </c>
      <c r="C1032" s="275">
        <v>42900.0</v>
      </c>
      <c r="D1032" s="24" t="str">
        <f t="shared" si="17"/>
        <v>Jun-2017</v>
      </c>
      <c r="E1032" s="24" t="s">
        <v>32</v>
      </c>
      <c r="F1032" s="24" t="s">
        <v>35</v>
      </c>
      <c r="G1032" s="23" t="s">
        <v>133</v>
      </c>
      <c r="H1032" s="24" t="s">
        <v>44</v>
      </c>
      <c r="I1032" s="24" t="s">
        <v>9</v>
      </c>
      <c r="J1032" s="24" t="s">
        <v>30</v>
      </c>
      <c r="K1032" s="24"/>
      <c r="L1032" s="24" t="s">
        <v>98</v>
      </c>
    </row>
    <row r="1033">
      <c r="A1033" s="24">
        <f t="shared" si="1"/>
        <v>1032</v>
      </c>
      <c r="B1033" s="24" t="s">
        <v>507</v>
      </c>
      <c r="C1033" s="275">
        <v>42900.0</v>
      </c>
      <c r="D1033" s="24" t="str">
        <f t="shared" si="17"/>
        <v>Jun-2017</v>
      </c>
      <c r="E1033" s="24" t="s">
        <v>20</v>
      </c>
      <c r="F1033" s="24" t="s">
        <v>35</v>
      </c>
      <c r="G1033" s="23" t="s">
        <v>111</v>
      </c>
      <c r="H1033" s="24" t="s">
        <v>216</v>
      </c>
      <c r="I1033" s="24" t="s">
        <v>9</v>
      </c>
      <c r="J1033" s="24" t="s">
        <v>24</v>
      </c>
      <c r="K1033" s="24" t="s">
        <v>24</v>
      </c>
      <c r="L1033" s="24" t="s">
        <v>98</v>
      </c>
    </row>
    <row r="1034">
      <c r="A1034" s="24">
        <f t="shared" si="1"/>
        <v>1033</v>
      </c>
      <c r="B1034" s="24" t="s">
        <v>507</v>
      </c>
      <c r="C1034" s="275">
        <v>42900.0</v>
      </c>
      <c r="D1034" s="24" t="str">
        <f t="shared" si="17"/>
        <v>Jun-2017</v>
      </c>
      <c r="E1034" s="24" t="s">
        <v>25</v>
      </c>
      <c r="F1034" s="24" t="s">
        <v>35</v>
      </c>
      <c r="G1034" s="23" t="s">
        <v>111</v>
      </c>
      <c r="H1034" s="24" t="s">
        <v>216</v>
      </c>
      <c r="I1034" s="24" t="s">
        <v>9</v>
      </c>
      <c r="J1034" s="24" t="s">
        <v>24</v>
      </c>
      <c r="K1034" s="24"/>
      <c r="L1034" s="24" t="s">
        <v>98</v>
      </c>
    </row>
    <row r="1035">
      <c r="A1035" s="24">
        <f t="shared" si="1"/>
        <v>1034</v>
      </c>
      <c r="B1035" s="24" t="s">
        <v>507</v>
      </c>
      <c r="C1035" s="275">
        <v>42900.0</v>
      </c>
      <c r="D1035" s="24" t="str">
        <f t="shared" si="17"/>
        <v>Jun-2017</v>
      </c>
      <c r="E1035" s="24" t="s">
        <v>20</v>
      </c>
      <c r="F1035" s="24" t="s">
        <v>35</v>
      </c>
      <c r="G1035" s="23" t="s">
        <v>508</v>
      </c>
      <c r="H1035" s="24" t="s">
        <v>48</v>
      </c>
      <c r="I1035" s="24" t="s">
        <v>9</v>
      </c>
      <c r="J1035" s="24" t="s">
        <v>24</v>
      </c>
      <c r="K1035" s="24" t="s">
        <v>30</v>
      </c>
      <c r="L1035" s="24" t="s">
        <v>98</v>
      </c>
    </row>
    <row r="1036">
      <c r="A1036" s="24">
        <f t="shared" si="1"/>
        <v>1035</v>
      </c>
      <c r="B1036" s="24" t="s">
        <v>507</v>
      </c>
      <c r="C1036" s="275">
        <v>42900.0</v>
      </c>
      <c r="D1036" s="24" t="str">
        <f t="shared" si="17"/>
        <v>Jun-2017</v>
      </c>
      <c r="E1036" s="24" t="s">
        <v>25</v>
      </c>
      <c r="F1036" s="24" t="s">
        <v>35</v>
      </c>
      <c r="G1036" s="23" t="s">
        <v>508</v>
      </c>
      <c r="H1036" s="24" t="s">
        <v>48</v>
      </c>
      <c r="I1036" s="24" t="s">
        <v>9</v>
      </c>
      <c r="J1036" s="24" t="s">
        <v>30</v>
      </c>
      <c r="K1036" s="24"/>
      <c r="L1036" s="24" t="s">
        <v>106</v>
      </c>
    </row>
    <row r="1037">
      <c r="A1037" s="24">
        <f t="shared" si="1"/>
        <v>1036</v>
      </c>
      <c r="B1037" s="24" t="s">
        <v>507</v>
      </c>
      <c r="C1037" s="275">
        <v>42900.0</v>
      </c>
      <c r="D1037" s="24" t="str">
        <f t="shared" si="17"/>
        <v>Jun-2017</v>
      </c>
      <c r="E1037" s="24" t="s">
        <v>32</v>
      </c>
      <c r="F1037" s="24" t="s">
        <v>35</v>
      </c>
      <c r="G1037" s="23" t="s">
        <v>508</v>
      </c>
      <c r="H1037" s="24" t="s">
        <v>48</v>
      </c>
      <c r="I1037" s="24" t="s">
        <v>9</v>
      </c>
      <c r="J1037" s="24" t="s">
        <v>30</v>
      </c>
      <c r="K1037" s="24"/>
      <c r="L1037" s="24" t="s">
        <v>99</v>
      </c>
    </row>
    <row r="1038">
      <c r="A1038" s="24">
        <f t="shared" si="1"/>
        <v>1037</v>
      </c>
      <c r="B1038" s="24" t="s">
        <v>507</v>
      </c>
      <c r="C1038" s="275">
        <v>42900.0</v>
      </c>
      <c r="D1038" s="24" t="str">
        <f t="shared" si="17"/>
        <v>Jun-2017</v>
      </c>
      <c r="E1038" s="24" t="s">
        <v>20</v>
      </c>
      <c r="F1038" s="24" t="s">
        <v>35</v>
      </c>
      <c r="G1038" s="23" t="s">
        <v>509</v>
      </c>
      <c r="H1038" s="24" t="s">
        <v>9</v>
      </c>
      <c r="I1038" s="24" t="s">
        <v>9</v>
      </c>
      <c r="J1038" s="24" t="s">
        <v>30</v>
      </c>
      <c r="K1038" s="24" t="s">
        <v>24</v>
      </c>
      <c r="L1038" s="24" t="s">
        <v>99</v>
      </c>
    </row>
    <row r="1039">
      <c r="A1039" s="24">
        <f t="shared" si="1"/>
        <v>1038</v>
      </c>
      <c r="B1039" s="24" t="s">
        <v>507</v>
      </c>
      <c r="C1039" s="275">
        <v>42900.0</v>
      </c>
      <c r="D1039" s="24" t="str">
        <f t="shared" ref="D1039:D1040" si="18">TEXT(C1035:C1039, "mmm") &amp; "-" &amp; TEXT(C1035:C1039, "yyyy") </f>
        <v>Jun-2017</v>
      </c>
      <c r="E1039" s="24" t="s">
        <v>25</v>
      </c>
      <c r="F1039" s="24" t="s">
        <v>35</v>
      </c>
      <c r="G1039" s="23" t="s">
        <v>509</v>
      </c>
      <c r="H1039" s="24" t="s">
        <v>9</v>
      </c>
      <c r="I1039" s="24" t="s">
        <v>9</v>
      </c>
      <c r="J1039" s="24" t="s">
        <v>24</v>
      </c>
      <c r="K1039" s="24"/>
      <c r="L1039" s="24" t="s">
        <v>106</v>
      </c>
    </row>
    <row r="1040">
      <c r="A1040" s="24">
        <f t="shared" si="1"/>
        <v>1039</v>
      </c>
      <c r="B1040" s="24" t="s">
        <v>507</v>
      </c>
      <c r="C1040" s="275">
        <v>42900.0</v>
      </c>
      <c r="D1040" s="24" t="str">
        <f t="shared" si="18"/>
        <v>Jun-2017</v>
      </c>
      <c r="E1040" s="24" t="s">
        <v>32</v>
      </c>
      <c r="F1040" s="24" t="s">
        <v>35</v>
      </c>
      <c r="G1040" s="23" t="s">
        <v>509</v>
      </c>
      <c r="H1040" s="24" t="s">
        <v>9</v>
      </c>
      <c r="I1040" s="24" t="s">
        <v>9</v>
      </c>
      <c r="J1040" s="24" t="s">
        <v>24</v>
      </c>
      <c r="K1040" s="24"/>
      <c r="L1040" s="24" t="s">
        <v>98</v>
      </c>
    </row>
    <row r="1041">
      <c r="A1041" s="24">
        <f t="shared" si="1"/>
        <v>1040</v>
      </c>
      <c r="B1041" s="24" t="s">
        <v>510</v>
      </c>
      <c r="C1041" s="95">
        <v>42909.0</v>
      </c>
      <c r="D1041" s="24" t="str">
        <f t="shared" ref="D1041:D1043" si="19">TEXT(C1039:C1041, "mmm") &amp; "-" &amp; TEXT(C1039:C1041, "yyyy") </f>
        <v>Jun-2017</v>
      </c>
      <c r="E1041" s="24" t="s">
        <v>20</v>
      </c>
      <c r="F1041" s="24" t="s">
        <v>35</v>
      </c>
      <c r="G1041" s="23" t="s">
        <v>511</v>
      </c>
      <c r="H1041" s="24" t="s">
        <v>23</v>
      </c>
      <c r="I1041" s="24" t="s">
        <v>9</v>
      </c>
      <c r="J1041" s="24" t="s">
        <v>30</v>
      </c>
      <c r="K1041" s="24" t="s">
        <v>30</v>
      </c>
      <c r="L1041" s="24" t="s">
        <v>99</v>
      </c>
    </row>
    <row r="1042">
      <c r="A1042" s="24">
        <f t="shared" si="1"/>
        <v>1041</v>
      </c>
      <c r="B1042" s="24" t="s">
        <v>510</v>
      </c>
      <c r="C1042" s="95">
        <v>42909.0</v>
      </c>
      <c r="D1042" s="24" t="str">
        <f t="shared" si="19"/>
        <v>Jun-2017</v>
      </c>
      <c r="E1042" s="24" t="s">
        <v>25</v>
      </c>
      <c r="F1042" s="24" t="s">
        <v>35</v>
      </c>
      <c r="G1042" s="23" t="s">
        <v>511</v>
      </c>
      <c r="H1042" s="24" t="s">
        <v>23</v>
      </c>
      <c r="I1042" s="24" t="s">
        <v>9</v>
      </c>
      <c r="J1042" s="24" t="s">
        <v>30</v>
      </c>
      <c r="K1042" s="24"/>
      <c r="L1042" s="24" t="s">
        <v>37</v>
      </c>
    </row>
    <row r="1043">
      <c r="A1043" s="24">
        <f t="shared" si="1"/>
        <v>1042</v>
      </c>
      <c r="B1043" s="24" t="s">
        <v>510</v>
      </c>
      <c r="C1043" s="95">
        <v>42909.0</v>
      </c>
      <c r="D1043" s="24" t="str">
        <f t="shared" si="19"/>
        <v>Jun-2017</v>
      </c>
      <c r="E1043" s="24" t="s">
        <v>20</v>
      </c>
      <c r="F1043" s="24" t="s">
        <v>35</v>
      </c>
      <c r="G1043" s="23" t="s">
        <v>36</v>
      </c>
      <c r="H1043" s="24" t="s">
        <v>27</v>
      </c>
      <c r="I1043" s="24" t="s">
        <v>9</v>
      </c>
      <c r="J1043" s="24" t="s">
        <v>24</v>
      </c>
      <c r="K1043" s="24" t="s">
        <v>30</v>
      </c>
      <c r="L1043" s="24" t="s">
        <v>99</v>
      </c>
    </row>
    <row r="1044">
      <c r="A1044" s="24">
        <f t="shared" si="1"/>
        <v>1043</v>
      </c>
      <c r="B1044" s="24" t="s">
        <v>510</v>
      </c>
      <c r="C1044" s="95">
        <v>42909.0</v>
      </c>
      <c r="D1044" s="24" t="str">
        <f t="shared" ref="D1044:D1055" si="20">TEXT(C1041:C1044, "mmm") &amp; "-" &amp; TEXT(C1041:C1044, "yyyy") </f>
        <v>Jun-2017</v>
      </c>
      <c r="E1044" s="24" t="s">
        <v>25</v>
      </c>
      <c r="F1044" s="24" t="s">
        <v>35</v>
      </c>
      <c r="G1044" s="23" t="s">
        <v>36</v>
      </c>
      <c r="H1044" s="24" t="s">
        <v>27</v>
      </c>
      <c r="I1044" s="24" t="s">
        <v>9</v>
      </c>
      <c r="J1044" s="24" t="s">
        <v>30</v>
      </c>
      <c r="K1044" s="24"/>
      <c r="L1044" s="24" t="s">
        <v>69</v>
      </c>
    </row>
    <row r="1045">
      <c r="A1045" s="24">
        <f t="shared" si="1"/>
        <v>1044</v>
      </c>
      <c r="B1045" s="24" t="s">
        <v>510</v>
      </c>
      <c r="C1045" s="95">
        <v>42909.0</v>
      </c>
      <c r="D1045" s="24" t="str">
        <f t="shared" si="20"/>
        <v>Jun-2017</v>
      </c>
      <c r="E1045" s="24" t="s">
        <v>32</v>
      </c>
      <c r="F1045" s="24" t="s">
        <v>35</v>
      </c>
      <c r="G1045" s="23" t="s">
        <v>36</v>
      </c>
      <c r="H1045" s="24" t="s">
        <v>27</v>
      </c>
      <c r="I1045" s="24" t="s">
        <v>9</v>
      </c>
      <c r="J1045" s="24" t="s">
        <v>30</v>
      </c>
      <c r="K1045" s="24"/>
      <c r="L1045" s="24" t="s">
        <v>37</v>
      </c>
    </row>
    <row r="1046">
      <c r="A1046" s="24">
        <f t="shared" si="1"/>
        <v>1045</v>
      </c>
      <c r="B1046" s="24" t="s">
        <v>510</v>
      </c>
      <c r="C1046" s="95">
        <v>42909.0</v>
      </c>
      <c r="D1046" s="24" t="str">
        <f t="shared" si="20"/>
        <v>Jun-2017</v>
      </c>
      <c r="E1046" s="24" t="s">
        <v>20</v>
      </c>
      <c r="F1046" s="24" t="s">
        <v>35</v>
      </c>
      <c r="G1046" s="23" t="s">
        <v>142</v>
      </c>
      <c r="H1046" s="24" t="s">
        <v>44</v>
      </c>
      <c r="I1046" s="24" t="s">
        <v>9</v>
      </c>
      <c r="J1046" s="24" t="s">
        <v>24</v>
      </c>
      <c r="K1046" s="24" t="s">
        <v>24</v>
      </c>
      <c r="L1046" s="24" t="s">
        <v>98</v>
      </c>
    </row>
    <row r="1047">
      <c r="A1047" s="24">
        <f t="shared" si="1"/>
        <v>1046</v>
      </c>
      <c r="B1047" s="24" t="s">
        <v>510</v>
      </c>
      <c r="C1047" s="95">
        <v>42909.0</v>
      </c>
      <c r="D1047" s="24" t="str">
        <f t="shared" si="20"/>
        <v>Jun-2017</v>
      </c>
      <c r="E1047" s="24" t="s">
        <v>25</v>
      </c>
      <c r="F1047" s="24" t="s">
        <v>35</v>
      </c>
      <c r="G1047" s="23" t="s">
        <v>142</v>
      </c>
      <c r="H1047" s="24" t="s">
        <v>44</v>
      </c>
      <c r="I1047" s="24" t="s">
        <v>9</v>
      </c>
      <c r="J1047" s="24" t="s">
        <v>24</v>
      </c>
      <c r="K1047" s="24"/>
      <c r="L1047" s="24" t="s">
        <v>99</v>
      </c>
    </row>
    <row r="1048">
      <c r="A1048" s="24">
        <f t="shared" si="1"/>
        <v>1047</v>
      </c>
      <c r="B1048" s="24" t="s">
        <v>510</v>
      </c>
      <c r="C1048" s="95">
        <v>42909.0</v>
      </c>
      <c r="D1048" s="24" t="str">
        <f t="shared" si="20"/>
        <v>Jun-2017</v>
      </c>
      <c r="E1048" s="24" t="s">
        <v>20</v>
      </c>
      <c r="F1048" s="24" t="s">
        <v>35</v>
      </c>
      <c r="G1048" s="23" t="s">
        <v>512</v>
      </c>
      <c r="H1048" s="24" t="s">
        <v>9</v>
      </c>
      <c r="I1048" s="24" t="s">
        <v>9</v>
      </c>
      <c r="J1048" s="24" t="s">
        <v>30</v>
      </c>
      <c r="K1048" s="24" t="s">
        <v>30</v>
      </c>
      <c r="L1048" s="24" t="s">
        <v>98</v>
      </c>
    </row>
    <row r="1049">
      <c r="A1049" s="24">
        <f t="shared" si="1"/>
        <v>1048</v>
      </c>
      <c r="B1049" s="24" t="s">
        <v>510</v>
      </c>
      <c r="C1049" s="95">
        <v>42909.0</v>
      </c>
      <c r="D1049" s="24" t="str">
        <f t="shared" si="20"/>
        <v>Jun-2017</v>
      </c>
      <c r="E1049" s="24" t="s">
        <v>25</v>
      </c>
      <c r="F1049" s="24" t="s">
        <v>35</v>
      </c>
      <c r="G1049" s="23" t="s">
        <v>512</v>
      </c>
      <c r="H1049" s="24" t="s">
        <v>44</v>
      </c>
      <c r="I1049" s="24" t="s">
        <v>9</v>
      </c>
      <c r="J1049" s="24" t="s">
        <v>30</v>
      </c>
      <c r="K1049" s="24"/>
      <c r="L1049" s="24" t="s">
        <v>69</v>
      </c>
    </row>
    <row r="1050">
      <c r="A1050" s="24">
        <f t="shared" si="1"/>
        <v>1049</v>
      </c>
      <c r="B1050" s="24" t="s">
        <v>510</v>
      </c>
      <c r="C1050" s="95">
        <v>42909.0</v>
      </c>
      <c r="D1050" s="24" t="str">
        <f t="shared" si="20"/>
        <v>Jun-2017</v>
      </c>
      <c r="E1050" s="24" t="s">
        <v>20</v>
      </c>
      <c r="F1050" s="24" t="s">
        <v>35</v>
      </c>
      <c r="G1050" s="23" t="s">
        <v>442</v>
      </c>
      <c r="H1050" s="24" t="s">
        <v>71</v>
      </c>
      <c r="I1050" s="24" t="s">
        <v>9</v>
      </c>
      <c r="J1050" s="24" t="s">
        <v>30</v>
      </c>
      <c r="K1050" s="24" t="s">
        <v>30</v>
      </c>
      <c r="L1050" s="24" t="s">
        <v>99</v>
      </c>
    </row>
    <row r="1051">
      <c r="A1051" s="24">
        <f t="shared" si="1"/>
        <v>1050</v>
      </c>
      <c r="B1051" s="24" t="s">
        <v>510</v>
      </c>
      <c r="C1051" s="95">
        <v>42909.0</v>
      </c>
      <c r="D1051" s="24" t="str">
        <f t="shared" si="20"/>
        <v>Jun-2017</v>
      </c>
      <c r="E1051" s="24" t="s">
        <v>25</v>
      </c>
      <c r="F1051" s="24" t="s">
        <v>35</v>
      </c>
      <c r="G1051" s="23" t="s">
        <v>442</v>
      </c>
      <c r="H1051" s="24" t="s">
        <v>71</v>
      </c>
      <c r="I1051" s="24" t="s">
        <v>9</v>
      </c>
      <c r="J1051" s="24" t="s">
        <v>30</v>
      </c>
      <c r="K1051" s="24"/>
      <c r="L1051" s="24" t="s">
        <v>37</v>
      </c>
    </row>
    <row r="1052">
      <c r="A1052" s="24">
        <f t="shared" si="1"/>
        <v>1051</v>
      </c>
      <c r="B1052" s="24" t="s">
        <v>510</v>
      </c>
      <c r="C1052" s="95">
        <v>42909.0</v>
      </c>
      <c r="D1052" s="24" t="str">
        <f t="shared" si="20"/>
        <v>Jun-2017</v>
      </c>
      <c r="E1052" s="24" t="s">
        <v>20</v>
      </c>
      <c r="F1052" s="24" t="s">
        <v>35</v>
      </c>
      <c r="G1052" s="23" t="s">
        <v>238</v>
      </c>
      <c r="H1052" s="24" t="s">
        <v>216</v>
      </c>
      <c r="I1052" s="24" t="s">
        <v>9</v>
      </c>
      <c r="J1052" s="24" t="s">
        <v>30</v>
      </c>
      <c r="K1052" s="24" t="s">
        <v>30</v>
      </c>
      <c r="L1052" s="24" t="s">
        <v>99</v>
      </c>
    </row>
    <row r="1053">
      <c r="A1053" s="24">
        <f t="shared" si="1"/>
        <v>1052</v>
      </c>
      <c r="B1053" s="24" t="s">
        <v>510</v>
      </c>
      <c r="C1053" s="95">
        <v>42909.0</v>
      </c>
      <c r="D1053" s="24" t="str">
        <f t="shared" si="20"/>
        <v>Jun-2017</v>
      </c>
      <c r="E1053" s="24" t="s">
        <v>25</v>
      </c>
      <c r="F1053" s="24" t="s">
        <v>35</v>
      </c>
      <c r="G1053" s="23" t="s">
        <v>238</v>
      </c>
      <c r="H1053" s="24" t="s">
        <v>216</v>
      </c>
      <c r="I1053" s="24" t="s">
        <v>9</v>
      </c>
      <c r="J1053" s="24" t="s">
        <v>30</v>
      </c>
      <c r="K1053" s="24"/>
      <c r="L1053" s="24" t="s">
        <v>106</v>
      </c>
    </row>
    <row r="1054">
      <c r="A1054" s="24">
        <f t="shared" si="1"/>
        <v>1053</v>
      </c>
      <c r="B1054" s="24" t="s">
        <v>510</v>
      </c>
      <c r="C1054" s="95">
        <v>42909.0</v>
      </c>
      <c r="D1054" s="24" t="str">
        <f t="shared" si="20"/>
        <v>Jun-2017</v>
      </c>
      <c r="E1054" s="24" t="s">
        <v>20</v>
      </c>
      <c r="F1054" s="24" t="s">
        <v>35</v>
      </c>
      <c r="G1054" s="23" t="s">
        <v>111</v>
      </c>
      <c r="H1054" s="24" t="s">
        <v>216</v>
      </c>
      <c r="I1054" s="24" t="s">
        <v>9</v>
      </c>
      <c r="J1054" s="24" t="s">
        <v>24</v>
      </c>
      <c r="K1054" s="24" t="s">
        <v>24</v>
      </c>
      <c r="L1054" s="24" t="s">
        <v>98</v>
      </c>
    </row>
    <row r="1055">
      <c r="A1055" s="24">
        <f t="shared" si="1"/>
        <v>1054</v>
      </c>
      <c r="B1055" s="24" t="s">
        <v>510</v>
      </c>
      <c r="C1055" s="95">
        <v>42909.0</v>
      </c>
      <c r="D1055" s="24" t="str">
        <f t="shared" si="20"/>
        <v>Jun-2017</v>
      </c>
      <c r="E1055" s="24" t="s">
        <v>25</v>
      </c>
      <c r="F1055" s="24" t="s">
        <v>35</v>
      </c>
      <c r="G1055" s="23" t="s">
        <v>111</v>
      </c>
      <c r="H1055" s="24" t="s">
        <v>216</v>
      </c>
      <c r="I1055" s="24" t="s">
        <v>9</v>
      </c>
      <c r="J1055" s="24" t="s">
        <v>24</v>
      </c>
      <c r="K1055" s="24"/>
      <c r="L1055" s="24" t="s">
        <v>99</v>
      </c>
    </row>
    <row r="1056">
      <c r="A1056" s="24">
        <f t="shared" si="1"/>
        <v>1055</v>
      </c>
      <c r="B1056" s="24" t="s">
        <v>513</v>
      </c>
      <c r="C1056" s="95">
        <v>42914.0</v>
      </c>
      <c r="D1056" s="24" t="str">
        <f t="shared" ref="D1056:D1058" si="21">TEXT(C1054:C1056, "mmm") &amp; "-" &amp; TEXT(C1054:C1056, "yyyy") </f>
        <v>Jun-2017</v>
      </c>
      <c r="E1056" s="24" t="s">
        <v>20</v>
      </c>
      <c r="F1056" s="24" t="s">
        <v>35</v>
      </c>
      <c r="G1056" s="23" t="s">
        <v>514</v>
      </c>
      <c r="H1056" s="24" t="s">
        <v>138</v>
      </c>
      <c r="I1056" s="24" t="s">
        <v>9</v>
      </c>
      <c r="J1056" s="24" t="s">
        <v>30</v>
      </c>
      <c r="K1056" s="24" t="s">
        <v>30</v>
      </c>
      <c r="L1056" s="24" t="s">
        <v>98</v>
      </c>
    </row>
    <row r="1057">
      <c r="A1057" s="24">
        <f t="shared" si="1"/>
        <v>1056</v>
      </c>
      <c r="B1057" s="24" t="s">
        <v>513</v>
      </c>
      <c r="C1057" s="95">
        <v>42914.0</v>
      </c>
      <c r="D1057" s="24" t="str">
        <f t="shared" si="21"/>
        <v>Jun-2017</v>
      </c>
      <c r="E1057" s="24" t="s">
        <v>25</v>
      </c>
      <c r="F1057" s="24" t="s">
        <v>35</v>
      </c>
      <c r="G1057" s="23" t="s">
        <v>514</v>
      </c>
      <c r="H1057" s="24" t="s">
        <v>138</v>
      </c>
      <c r="I1057" s="24" t="s">
        <v>9</v>
      </c>
      <c r="J1057" s="24" t="s">
        <v>30</v>
      </c>
      <c r="K1057" s="24"/>
      <c r="L1057" s="24" t="s">
        <v>37</v>
      </c>
    </row>
    <row r="1058">
      <c r="A1058" s="24">
        <f t="shared" si="1"/>
        <v>1057</v>
      </c>
      <c r="B1058" s="24" t="s">
        <v>513</v>
      </c>
      <c r="C1058" s="95">
        <v>42914.0</v>
      </c>
      <c r="D1058" s="24" t="str">
        <f t="shared" si="21"/>
        <v>Jun-2017</v>
      </c>
      <c r="E1058" s="24" t="s">
        <v>20</v>
      </c>
      <c r="F1058" s="24" t="s">
        <v>35</v>
      </c>
      <c r="G1058" s="23" t="s">
        <v>88</v>
      </c>
      <c r="H1058" s="24" t="s">
        <v>86</v>
      </c>
      <c r="I1058" s="24" t="s">
        <v>9</v>
      </c>
      <c r="J1058" s="24" t="s">
        <v>30</v>
      </c>
      <c r="K1058" s="24" t="s">
        <v>30</v>
      </c>
      <c r="L1058" s="24" t="s">
        <v>29</v>
      </c>
    </row>
    <row r="1059">
      <c r="A1059" s="24">
        <f t="shared" si="1"/>
        <v>1058</v>
      </c>
      <c r="B1059" s="24" t="s">
        <v>513</v>
      </c>
      <c r="C1059" s="95">
        <v>42914.0</v>
      </c>
      <c r="D1059" s="24" t="str">
        <f t="shared" ref="D1059:D1064" si="22">TEXT(C1056:C1059, "mmm") &amp; "-" &amp; TEXT(C1056:C1059, "yyyy") </f>
        <v>Jun-2017</v>
      </c>
      <c r="E1059" s="24" t="s">
        <v>25</v>
      </c>
      <c r="F1059" s="24" t="s">
        <v>35</v>
      </c>
      <c r="G1059" s="23" t="s">
        <v>88</v>
      </c>
      <c r="H1059" s="24" t="s">
        <v>86</v>
      </c>
      <c r="I1059" s="24" t="s">
        <v>9</v>
      </c>
      <c r="J1059" s="24" t="s">
        <v>24</v>
      </c>
      <c r="K1059" s="24"/>
      <c r="L1059" s="24" t="s">
        <v>98</v>
      </c>
    </row>
    <row r="1060">
      <c r="A1060" s="24">
        <f t="shared" si="1"/>
        <v>1059</v>
      </c>
      <c r="B1060" s="24" t="s">
        <v>513</v>
      </c>
      <c r="C1060" s="95">
        <v>42914.0</v>
      </c>
      <c r="D1060" s="24" t="str">
        <f t="shared" si="22"/>
        <v>Jun-2017</v>
      </c>
      <c r="E1060" s="24" t="s">
        <v>32</v>
      </c>
      <c r="F1060" s="24" t="s">
        <v>35</v>
      </c>
      <c r="G1060" s="23" t="s">
        <v>88</v>
      </c>
      <c r="H1060" s="24" t="s">
        <v>86</v>
      </c>
      <c r="I1060" s="24" t="s">
        <v>9</v>
      </c>
      <c r="J1060" s="24" t="s">
        <v>30</v>
      </c>
      <c r="K1060" s="24"/>
      <c r="L1060" s="24" t="s">
        <v>69</v>
      </c>
    </row>
    <row r="1061">
      <c r="A1061" s="24">
        <f t="shared" si="1"/>
        <v>1060</v>
      </c>
      <c r="B1061" s="24" t="s">
        <v>513</v>
      </c>
      <c r="C1061" s="95">
        <v>42914.0</v>
      </c>
      <c r="D1061" s="24" t="str">
        <f t="shared" si="22"/>
        <v>Jun-2017</v>
      </c>
      <c r="E1061" s="24" t="s">
        <v>20</v>
      </c>
      <c r="F1061" s="24" t="s">
        <v>35</v>
      </c>
      <c r="G1061" s="23" t="s">
        <v>111</v>
      </c>
      <c r="H1061" s="24" t="s">
        <v>216</v>
      </c>
      <c r="I1061" s="24" t="s">
        <v>9</v>
      </c>
      <c r="J1061" s="24" t="s">
        <v>24</v>
      </c>
      <c r="K1061" s="24" t="s">
        <v>24</v>
      </c>
      <c r="L1061" s="24" t="s">
        <v>98</v>
      </c>
    </row>
    <row r="1062">
      <c r="A1062" s="24">
        <f t="shared" si="1"/>
        <v>1061</v>
      </c>
      <c r="B1062" s="24" t="s">
        <v>513</v>
      </c>
      <c r="C1062" s="95">
        <v>42914.0</v>
      </c>
      <c r="D1062" s="24" t="str">
        <f t="shared" si="22"/>
        <v>Jun-2017</v>
      </c>
      <c r="E1062" s="24" t="s">
        <v>25</v>
      </c>
      <c r="F1062" s="24" t="s">
        <v>35</v>
      </c>
      <c r="G1062" s="23" t="s">
        <v>111</v>
      </c>
      <c r="H1062" s="24" t="s">
        <v>216</v>
      </c>
      <c r="I1062" s="24" t="s">
        <v>9</v>
      </c>
      <c r="J1062" s="24" t="s">
        <v>24</v>
      </c>
      <c r="K1062" s="24"/>
      <c r="L1062" s="24" t="s">
        <v>98</v>
      </c>
    </row>
    <row r="1063">
      <c r="A1063" s="24">
        <f t="shared" si="1"/>
        <v>1062</v>
      </c>
      <c r="B1063" s="24" t="s">
        <v>513</v>
      </c>
      <c r="C1063" s="95">
        <v>42914.0</v>
      </c>
      <c r="D1063" s="24" t="str">
        <f t="shared" si="22"/>
        <v>Jun-2017</v>
      </c>
      <c r="E1063" s="24" t="s">
        <v>20</v>
      </c>
      <c r="F1063" s="24" t="s">
        <v>35</v>
      </c>
      <c r="G1063" s="23" t="s">
        <v>218</v>
      </c>
      <c r="H1063" s="24" t="s">
        <v>86</v>
      </c>
      <c r="I1063" s="24" t="s">
        <v>9</v>
      </c>
      <c r="J1063" s="24" t="s">
        <v>24</v>
      </c>
      <c r="K1063" s="24" t="s">
        <v>24</v>
      </c>
      <c r="L1063" s="24" t="s">
        <v>69</v>
      </c>
    </row>
    <row r="1064">
      <c r="A1064" s="24">
        <f t="shared" si="1"/>
        <v>1063</v>
      </c>
      <c r="B1064" s="24" t="s">
        <v>513</v>
      </c>
      <c r="C1064" s="95">
        <v>42914.0</v>
      </c>
      <c r="D1064" s="24" t="str">
        <f t="shared" si="22"/>
        <v>Jun-2017</v>
      </c>
      <c r="E1064" s="24" t="s">
        <v>25</v>
      </c>
      <c r="F1064" s="24" t="s">
        <v>35</v>
      </c>
      <c r="G1064" s="23" t="s">
        <v>218</v>
      </c>
      <c r="H1064" s="24" t="s">
        <v>86</v>
      </c>
      <c r="I1064" s="24" t="s">
        <v>9</v>
      </c>
      <c r="J1064" s="24" t="s">
        <v>24</v>
      </c>
      <c r="K1064" s="24"/>
      <c r="L1064" s="24" t="s">
        <v>99</v>
      </c>
    </row>
    <row r="1065">
      <c r="A1065" s="24">
        <f t="shared" si="1"/>
        <v>1064</v>
      </c>
      <c r="B1065" s="24" t="s">
        <v>515</v>
      </c>
      <c r="C1065" s="275">
        <v>42916.0</v>
      </c>
      <c r="D1065" s="24" t="str">
        <f t="shared" ref="D1065:D1067" si="23">TEXT(C1063:C1065, "mmm") &amp; "-" &amp; TEXT(C1063:C1065, "yyyy") </f>
        <v>Jun-2017</v>
      </c>
      <c r="E1065" s="24" t="s">
        <v>20</v>
      </c>
      <c r="F1065" s="24" t="s">
        <v>35</v>
      </c>
      <c r="G1065" s="23" t="s">
        <v>516</v>
      </c>
      <c r="H1065" s="24" t="s">
        <v>44</v>
      </c>
      <c r="I1065" s="24" t="s">
        <v>9</v>
      </c>
      <c r="J1065" s="24" t="s">
        <v>30</v>
      </c>
      <c r="K1065" s="24" t="s">
        <v>30</v>
      </c>
      <c r="L1065" s="24" t="s">
        <v>69</v>
      </c>
    </row>
    <row r="1066">
      <c r="A1066" s="24">
        <f t="shared" si="1"/>
        <v>1065</v>
      </c>
      <c r="B1066" s="24" t="s">
        <v>515</v>
      </c>
      <c r="C1066" s="275">
        <v>42916.0</v>
      </c>
      <c r="D1066" s="24" t="str">
        <f t="shared" si="23"/>
        <v>Jun-2017</v>
      </c>
      <c r="E1066" s="24" t="s">
        <v>25</v>
      </c>
      <c r="F1066" s="24" t="s">
        <v>35</v>
      </c>
      <c r="G1066" s="23" t="s">
        <v>516</v>
      </c>
      <c r="H1066" s="24" t="s">
        <v>44</v>
      </c>
      <c r="I1066" s="24" t="s">
        <v>9</v>
      </c>
      <c r="J1066" s="24" t="s">
        <v>30</v>
      </c>
      <c r="K1066" s="24"/>
      <c r="L1066" s="24" t="s">
        <v>99</v>
      </c>
    </row>
    <row r="1067">
      <c r="A1067" s="24">
        <f t="shared" si="1"/>
        <v>1066</v>
      </c>
      <c r="B1067" s="24" t="s">
        <v>515</v>
      </c>
      <c r="C1067" s="275">
        <v>42916.0</v>
      </c>
      <c r="D1067" s="24" t="str">
        <f t="shared" si="23"/>
        <v>Jun-2017</v>
      </c>
      <c r="E1067" s="24" t="s">
        <v>20</v>
      </c>
      <c r="F1067" s="24" t="s">
        <v>35</v>
      </c>
      <c r="G1067" s="23" t="s">
        <v>399</v>
      </c>
      <c r="H1067" s="24" t="s">
        <v>9</v>
      </c>
      <c r="I1067" s="24" t="s">
        <v>9</v>
      </c>
      <c r="J1067" s="24" t="s">
        <v>24</v>
      </c>
      <c r="K1067" s="24" t="s">
        <v>30</v>
      </c>
      <c r="L1067" s="24" t="s">
        <v>69</v>
      </c>
    </row>
    <row r="1068">
      <c r="A1068" s="24">
        <f t="shared" si="1"/>
        <v>1067</v>
      </c>
      <c r="B1068" s="24" t="s">
        <v>515</v>
      </c>
      <c r="C1068" s="275">
        <v>42916.0</v>
      </c>
      <c r="D1068" s="24" t="str">
        <f t="shared" ref="D1068:D1075" si="24">TEXT(C1065:C1068, "mmm") &amp; "-" &amp; TEXT(C1065:C1068, "yyyy") </f>
        <v>Jun-2017</v>
      </c>
      <c r="E1068" s="24" t="s">
        <v>25</v>
      </c>
      <c r="F1068" s="24" t="s">
        <v>35</v>
      </c>
      <c r="G1068" s="23" t="s">
        <v>399</v>
      </c>
      <c r="H1068" s="24" t="s">
        <v>9</v>
      </c>
      <c r="I1068" s="24" t="s">
        <v>9</v>
      </c>
      <c r="J1068" s="24" t="s">
        <v>30</v>
      </c>
      <c r="K1068" s="24"/>
      <c r="L1068" s="24" t="s">
        <v>37</v>
      </c>
    </row>
    <row r="1069">
      <c r="A1069" s="24">
        <f t="shared" si="1"/>
        <v>1068</v>
      </c>
      <c r="B1069" s="24" t="s">
        <v>515</v>
      </c>
      <c r="C1069" s="275">
        <v>42916.0</v>
      </c>
      <c r="D1069" s="24" t="str">
        <f t="shared" si="24"/>
        <v>Jun-2017</v>
      </c>
      <c r="E1069" s="24" t="s">
        <v>32</v>
      </c>
      <c r="F1069" s="24" t="s">
        <v>35</v>
      </c>
      <c r="G1069" s="23" t="s">
        <v>399</v>
      </c>
      <c r="H1069" s="24" t="s">
        <v>9</v>
      </c>
      <c r="I1069" s="24" t="s">
        <v>9</v>
      </c>
      <c r="J1069" s="24" t="s">
        <v>30</v>
      </c>
      <c r="K1069" s="24"/>
      <c r="L1069" s="24" t="s">
        <v>98</v>
      </c>
    </row>
    <row r="1070">
      <c r="A1070" s="24">
        <f t="shared" si="1"/>
        <v>1069</v>
      </c>
      <c r="B1070" s="24" t="s">
        <v>515</v>
      </c>
      <c r="C1070" s="275">
        <v>42916.0</v>
      </c>
      <c r="D1070" s="24" t="str">
        <f t="shared" si="24"/>
        <v>Jun-2017</v>
      </c>
      <c r="E1070" s="24" t="s">
        <v>20</v>
      </c>
      <c r="F1070" s="24" t="s">
        <v>35</v>
      </c>
      <c r="G1070" s="23" t="s">
        <v>259</v>
      </c>
      <c r="H1070" s="24" t="s">
        <v>97</v>
      </c>
      <c r="I1070" s="24" t="s">
        <v>9</v>
      </c>
      <c r="J1070" s="24" t="s">
        <v>24</v>
      </c>
      <c r="K1070" s="24" t="s">
        <v>24</v>
      </c>
      <c r="L1070" s="24" t="s">
        <v>98</v>
      </c>
    </row>
    <row r="1071">
      <c r="A1071" s="24">
        <f t="shared" si="1"/>
        <v>1070</v>
      </c>
      <c r="B1071" s="24" t="s">
        <v>515</v>
      </c>
      <c r="C1071" s="275">
        <v>42916.0</v>
      </c>
      <c r="D1071" s="24" t="str">
        <f t="shared" si="24"/>
        <v>Jun-2017</v>
      </c>
      <c r="E1071" s="24" t="s">
        <v>25</v>
      </c>
      <c r="F1071" s="24" t="s">
        <v>35</v>
      </c>
      <c r="G1071" s="23" t="s">
        <v>259</v>
      </c>
      <c r="H1071" s="24" t="s">
        <v>97</v>
      </c>
      <c r="I1071" s="24" t="s">
        <v>9</v>
      </c>
      <c r="J1071" s="24" t="s">
        <v>24</v>
      </c>
      <c r="K1071" s="24"/>
      <c r="L1071" s="24" t="s">
        <v>106</v>
      </c>
    </row>
    <row r="1072">
      <c r="A1072" s="24">
        <f t="shared" si="1"/>
        <v>1071</v>
      </c>
      <c r="B1072" s="24" t="s">
        <v>515</v>
      </c>
      <c r="C1072" s="275">
        <v>42916.0</v>
      </c>
      <c r="D1072" s="24" t="str">
        <f t="shared" si="24"/>
        <v>Jun-2017</v>
      </c>
      <c r="E1072" s="24" t="s">
        <v>20</v>
      </c>
      <c r="F1072" s="24" t="s">
        <v>35</v>
      </c>
      <c r="G1072" s="23" t="s">
        <v>512</v>
      </c>
      <c r="H1072" s="24" t="s">
        <v>9</v>
      </c>
      <c r="I1072" s="24" t="s">
        <v>9</v>
      </c>
      <c r="J1072" s="24" t="s">
        <v>30</v>
      </c>
      <c r="K1072" s="24" t="s">
        <v>30</v>
      </c>
      <c r="L1072" s="24" t="s">
        <v>99</v>
      </c>
    </row>
    <row r="1073">
      <c r="A1073" s="24">
        <f t="shared" si="1"/>
        <v>1072</v>
      </c>
      <c r="B1073" s="24" t="s">
        <v>515</v>
      </c>
      <c r="C1073" s="275">
        <v>42916.0</v>
      </c>
      <c r="D1073" s="24" t="str">
        <f t="shared" si="24"/>
        <v>Jun-2017</v>
      </c>
      <c r="E1073" s="24" t="s">
        <v>25</v>
      </c>
      <c r="F1073" s="24" t="s">
        <v>35</v>
      </c>
      <c r="G1073" s="23" t="s">
        <v>512</v>
      </c>
      <c r="H1073" s="24" t="s">
        <v>9</v>
      </c>
      <c r="I1073" s="24" t="s">
        <v>9</v>
      </c>
      <c r="J1073" s="24" t="s">
        <v>30</v>
      </c>
      <c r="K1073" s="24"/>
      <c r="L1073" s="24" t="s">
        <v>37</v>
      </c>
    </row>
    <row r="1074">
      <c r="A1074" s="24">
        <f t="shared" si="1"/>
        <v>1073</v>
      </c>
      <c r="B1074" s="24" t="s">
        <v>515</v>
      </c>
      <c r="C1074" s="275">
        <v>42916.0</v>
      </c>
      <c r="D1074" s="24" t="str">
        <f t="shared" si="24"/>
        <v>Jun-2017</v>
      </c>
      <c r="E1074" s="24" t="s">
        <v>20</v>
      </c>
      <c r="F1074" s="24" t="s">
        <v>35</v>
      </c>
      <c r="G1074" s="23" t="s">
        <v>148</v>
      </c>
      <c r="H1074" s="24" t="s">
        <v>27</v>
      </c>
      <c r="I1074" s="24" t="s">
        <v>9</v>
      </c>
      <c r="J1074" s="24" t="s">
        <v>30</v>
      </c>
      <c r="K1074" s="24" t="s">
        <v>30</v>
      </c>
      <c r="L1074" s="24" t="s">
        <v>69</v>
      </c>
    </row>
    <row r="1075">
      <c r="A1075" s="24">
        <f t="shared" si="1"/>
        <v>1074</v>
      </c>
      <c r="B1075" s="24" t="s">
        <v>515</v>
      </c>
      <c r="C1075" s="275">
        <v>42916.0</v>
      </c>
      <c r="D1075" s="24" t="str">
        <f t="shared" si="24"/>
        <v>Jun-2017</v>
      </c>
      <c r="E1075" s="24" t="s">
        <v>25</v>
      </c>
      <c r="F1075" s="24" t="s">
        <v>35</v>
      </c>
      <c r="G1075" s="23" t="s">
        <v>148</v>
      </c>
      <c r="H1075" s="24" t="s">
        <v>27</v>
      </c>
      <c r="I1075" s="24" t="s">
        <v>9</v>
      </c>
      <c r="J1075" s="24" t="s">
        <v>30</v>
      </c>
      <c r="K1075" s="24"/>
      <c r="L1075" s="24" t="s">
        <v>37</v>
      </c>
    </row>
    <row r="1076">
      <c r="A1076" s="24">
        <f t="shared" si="1"/>
        <v>1075</v>
      </c>
      <c r="B1076" s="24" t="s">
        <v>515</v>
      </c>
      <c r="C1076" s="275">
        <v>42916.0</v>
      </c>
      <c r="D1076" s="24" t="str">
        <f>TEXT(C1076, "mmm") &amp; "-" &amp; TEXT(C1076, "yyyy") </f>
        <v>Jun-2017</v>
      </c>
      <c r="E1076" s="24" t="s">
        <v>25</v>
      </c>
      <c r="F1076" s="24" t="s">
        <v>35</v>
      </c>
      <c r="G1076" s="23" t="s">
        <v>148</v>
      </c>
      <c r="H1076" s="24" t="s">
        <v>27</v>
      </c>
      <c r="I1076" s="24" t="s">
        <v>9</v>
      </c>
      <c r="J1076" s="24" t="s">
        <v>24</v>
      </c>
      <c r="K1076" s="24"/>
      <c r="L1076" s="24" t="s">
        <v>99</v>
      </c>
    </row>
    <row r="1077">
      <c r="A1077" s="24">
        <f t="shared" si="1"/>
        <v>1076</v>
      </c>
      <c r="B1077" s="24" t="s">
        <v>517</v>
      </c>
      <c r="C1077" s="275">
        <v>42919.0</v>
      </c>
      <c r="D1077" s="24" t="str">
        <f t="shared" ref="D1077:D1079" si="25">TEXT(C1075:C1077, "mmm") &amp; "-" &amp; TEXT(C1075:C1077, "yyyy") </f>
        <v>Jul-2017</v>
      </c>
      <c r="E1077" s="24" t="s">
        <v>20</v>
      </c>
      <c r="F1077" s="24" t="s">
        <v>35</v>
      </c>
      <c r="G1077" s="23" t="s">
        <v>219</v>
      </c>
      <c r="H1077" s="24" t="s">
        <v>97</v>
      </c>
      <c r="I1077" s="24" t="s">
        <v>9</v>
      </c>
      <c r="J1077" s="24" t="s">
        <v>30</v>
      </c>
      <c r="K1077" s="24" t="s">
        <v>30</v>
      </c>
      <c r="L1077" s="24" t="s">
        <v>98</v>
      </c>
    </row>
    <row r="1078">
      <c r="A1078" s="24">
        <f t="shared" si="1"/>
        <v>1077</v>
      </c>
      <c r="B1078" s="24" t="s">
        <v>517</v>
      </c>
      <c r="C1078" s="275">
        <v>42919.0</v>
      </c>
      <c r="D1078" s="24" t="str">
        <f t="shared" si="25"/>
        <v>Jul-2017</v>
      </c>
      <c r="E1078" s="24" t="s">
        <v>25</v>
      </c>
      <c r="F1078" s="24" t="s">
        <v>35</v>
      </c>
      <c r="G1078" s="23" t="s">
        <v>219</v>
      </c>
      <c r="H1078" s="24" t="s">
        <v>97</v>
      </c>
      <c r="I1078" s="24" t="s">
        <v>9</v>
      </c>
      <c r="J1078" s="24" t="s">
        <v>24</v>
      </c>
      <c r="K1078" s="24"/>
      <c r="L1078" s="24" t="s">
        <v>99</v>
      </c>
    </row>
    <row r="1079">
      <c r="A1079" s="24">
        <f t="shared" si="1"/>
        <v>1078</v>
      </c>
      <c r="B1079" s="24" t="s">
        <v>517</v>
      </c>
      <c r="C1079" s="275">
        <v>42919.0</v>
      </c>
      <c r="D1079" s="24" t="str">
        <f t="shared" si="25"/>
        <v>Jul-2017</v>
      </c>
      <c r="E1079" s="24" t="s">
        <v>32</v>
      </c>
      <c r="F1079" s="24" t="s">
        <v>35</v>
      </c>
      <c r="G1079" s="23" t="s">
        <v>219</v>
      </c>
      <c r="H1079" s="24" t="s">
        <v>97</v>
      </c>
      <c r="I1079" s="24" t="s">
        <v>9</v>
      </c>
      <c r="J1079" s="24" t="s">
        <v>30</v>
      </c>
      <c r="K1079" s="24"/>
      <c r="L1079" s="24" t="s">
        <v>106</v>
      </c>
    </row>
    <row r="1080">
      <c r="A1080" s="24">
        <f t="shared" si="1"/>
        <v>1079</v>
      </c>
      <c r="B1080" s="24" t="s">
        <v>517</v>
      </c>
      <c r="C1080" s="275">
        <v>42919.0</v>
      </c>
      <c r="D1080" s="24" t="str">
        <f t="shared" ref="D1080:D1090" si="26">TEXT(C1077:C1080, "mmm") &amp; "-" &amp; TEXT(C1077:C1080, "yyyy") </f>
        <v>Jul-2017</v>
      </c>
      <c r="E1080" s="24" t="s">
        <v>20</v>
      </c>
      <c r="F1080" s="24" t="s">
        <v>35</v>
      </c>
      <c r="G1080" s="23" t="s">
        <v>231</v>
      </c>
      <c r="H1080" s="24" t="s">
        <v>86</v>
      </c>
      <c r="I1080" s="24" t="s">
        <v>9</v>
      </c>
      <c r="J1080" s="24" t="s">
        <v>30</v>
      </c>
      <c r="K1080" s="24" t="s">
        <v>24</v>
      </c>
      <c r="L1080" s="24" t="s">
        <v>69</v>
      </c>
    </row>
    <row r="1081">
      <c r="A1081" s="24">
        <f t="shared" si="1"/>
        <v>1080</v>
      </c>
      <c r="B1081" s="24" t="s">
        <v>517</v>
      </c>
      <c r="C1081" s="275">
        <v>42919.0</v>
      </c>
      <c r="D1081" s="24" t="str">
        <f t="shared" si="26"/>
        <v>Jul-2017</v>
      </c>
      <c r="E1081" s="24" t="s">
        <v>25</v>
      </c>
      <c r="F1081" s="24" t="s">
        <v>35</v>
      </c>
      <c r="G1081" s="23" t="s">
        <v>231</v>
      </c>
      <c r="H1081" s="24" t="s">
        <v>86</v>
      </c>
      <c r="I1081" s="24" t="s">
        <v>9</v>
      </c>
      <c r="J1081" s="24" t="s">
        <v>24</v>
      </c>
      <c r="K1081" s="24"/>
      <c r="L1081" s="24" t="s">
        <v>98</v>
      </c>
    </row>
    <row r="1082">
      <c r="A1082" s="24">
        <f t="shared" si="1"/>
        <v>1081</v>
      </c>
      <c r="B1082" s="24" t="s">
        <v>517</v>
      </c>
      <c r="C1082" s="275">
        <v>42919.0</v>
      </c>
      <c r="D1082" s="24" t="str">
        <f t="shared" si="26"/>
        <v>Jul-2017</v>
      </c>
      <c r="E1082" s="24" t="s">
        <v>32</v>
      </c>
      <c r="F1082" s="24" t="s">
        <v>35</v>
      </c>
      <c r="G1082" s="23" t="s">
        <v>231</v>
      </c>
      <c r="H1082" s="24" t="s">
        <v>86</v>
      </c>
      <c r="I1082" s="24" t="s">
        <v>9</v>
      </c>
      <c r="J1082" s="24" t="s">
        <v>24</v>
      </c>
      <c r="K1082" s="24"/>
      <c r="L1082" s="24" t="s">
        <v>29</v>
      </c>
    </row>
    <row r="1083">
      <c r="A1083" s="24">
        <f t="shared" si="1"/>
        <v>1082</v>
      </c>
      <c r="B1083" s="24" t="s">
        <v>517</v>
      </c>
      <c r="C1083" s="275">
        <v>42919.0</v>
      </c>
      <c r="D1083" s="24" t="str">
        <f t="shared" si="26"/>
        <v>Jul-2017</v>
      </c>
      <c r="E1083" s="24" t="s">
        <v>20</v>
      </c>
      <c r="F1083" s="24" t="s">
        <v>35</v>
      </c>
      <c r="G1083" s="23" t="s">
        <v>520</v>
      </c>
      <c r="H1083" s="24" t="s">
        <v>86</v>
      </c>
      <c r="I1083" s="24" t="s">
        <v>9</v>
      </c>
      <c r="J1083" s="24" t="s">
        <v>30</v>
      </c>
      <c r="K1083" s="24" t="s">
        <v>30</v>
      </c>
      <c r="L1083" s="24" t="s">
        <v>69</v>
      </c>
    </row>
    <row r="1084">
      <c r="A1084" s="24">
        <f t="shared" si="1"/>
        <v>1083</v>
      </c>
      <c r="B1084" s="24" t="s">
        <v>517</v>
      </c>
      <c r="C1084" s="275">
        <v>42919.0</v>
      </c>
      <c r="D1084" s="24" t="str">
        <f t="shared" si="26"/>
        <v>Jul-2017</v>
      </c>
      <c r="E1084" s="24" t="s">
        <v>25</v>
      </c>
      <c r="F1084" s="24" t="s">
        <v>35</v>
      </c>
      <c r="G1084" s="23" t="s">
        <v>520</v>
      </c>
      <c r="H1084" s="24" t="s">
        <v>86</v>
      </c>
      <c r="I1084" s="24" t="s">
        <v>9</v>
      </c>
      <c r="J1084" s="24" t="s">
        <v>30</v>
      </c>
      <c r="K1084" s="24"/>
      <c r="L1084" s="24" t="s">
        <v>99</v>
      </c>
    </row>
    <row r="1085">
      <c r="A1085" s="24">
        <f t="shared" si="1"/>
        <v>1084</v>
      </c>
      <c r="B1085" s="24" t="s">
        <v>517</v>
      </c>
      <c r="C1085" s="275">
        <v>42919.0</v>
      </c>
      <c r="D1085" s="24" t="str">
        <f t="shared" si="26"/>
        <v>Jul-2017</v>
      </c>
      <c r="E1085" s="24" t="s">
        <v>20</v>
      </c>
      <c r="F1085" s="24" t="s">
        <v>35</v>
      </c>
      <c r="G1085" s="23" t="s">
        <v>100</v>
      </c>
      <c r="H1085" s="24" t="s">
        <v>9</v>
      </c>
      <c r="I1085" s="24" t="s">
        <v>9</v>
      </c>
      <c r="J1085" s="24" t="s">
        <v>30</v>
      </c>
      <c r="K1085" s="24" t="s">
        <v>30</v>
      </c>
      <c r="L1085" s="24" t="s">
        <v>69</v>
      </c>
    </row>
    <row r="1086">
      <c r="A1086" s="24">
        <f t="shared" si="1"/>
        <v>1085</v>
      </c>
      <c r="B1086" s="24" t="s">
        <v>517</v>
      </c>
      <c r="C1086" s="275">
        <v>42919.0</v>
      </c>
      <c r="D1086" s="24" t="str">
        <f t="shared" si="26"/>
        <v>Jul-2017</v>
      </c>
      <c r="E1086" s="24" t="s">
        <v>25</v>
      </c>
      <c r="F1086" s="24" t="s">
        <v>35</v>
      </c>
      <c r="G1086" s="23" t="s">
        <v>100</v>
      </c>
      <c r="H1086" s="24" t="s">
        <v>9</v>
      </c>
      <c r="I1086" s="24" t="s">
        <v>9</v>
      </c>
      <c r="J1086" s="24" t="s">
        <v>24</v>
      </c>
      <c r="K1086" s="24"/>
      <c r="L1086" s="24" t="s">
        <v>98</v>
      </c>
    </row>
    <row r="1087">
      <c r="A1087" s="24">
        <f t="shared" si="1"/>
        <v>1086</v>
      </c>
      <c r="B1087" s="24" t="s">
        <v>517</v>
      </c>
      <c r="C1087" s="275">
        <v>42919.0</v>
      </c>
      <c r="D1087" s="24" t="str">
        <f t="shared" si="26"/>
        <v>Jul-2017</v>
      </c>
      <c r="E1087" s="24" t="s">
        <v>32</v>
      </c>
      <c r="F1087" s="24" t="s">
        <v>35</v>
      </c>
      <c r="G1087" s="23" t="s">
        <v>100</v>
      </c>
      <c r="H1087" s="24" t="s">
        <v>9</v>
      </c>
      <c r="I1087" s="24" t="s">
        <v>9</v>
      </c>
      <c r="J1087" s="24" t="s">
        <v>30</v>
      </c>
      <c r="K1087" s="24"/>
      <c r="L1087" s="24" t="s">
        <v>106</v>
      </c>
    </row>
    <row r="1088">
      <c r="A1088" s="24">
        <f t="shared" si="1"/>
        <v>1087</v>
      </c>
      <c r="B1088" s="24" t="s">
        <v>517</v>
      </c>
      <c r="C1088" s="275">
        <v>42919.0</v>
      </c>
      <c r="D1088" s="24" t="str">
        <f t="shared" si="26"/>
        <v>Jul-2017</v>
      </c>
      <c r="E1088" s="24" t="s">
        <v>20</v>
      </c>
      <c r="F1088" s="24" t="s">
        <v>35</v>
      </c>
      <c r="G1088" s="23" t="s">
        <v>103</v>
      </c>
      <c r="H1088" s="24" t="s">
        <v>102</v>
      </c>
      <c r="I1088" s="24" t="s">
        <v>9</v>
      </c>
      <c r="J1088" s="24" t="s">
        <v>30</v>
      </c>
      <c r="K1088" s="24" t="s">
        <v>30</v>
      </c>
      <c r="L1088" s="24" t="s">
        <v>98</v>
      </c>
    </row>
    <row r="1089">
      <c r="A1089" s="24">
        <f t="shared" si="1"/>
        <v>1088</v>
      </c>
      <c r="B1089" s="24" t="s">
        <v>517</v>
      </c>
      <c r="C1089" s="275">
        <v>42919.0</v>
      </c>
      <c r="D1089" s="24" t="str">
        <f t="shared" si="26"/>
        <v>Jul-2017</v>
      </c>
      <c r="E1089" s="24" t="s">
        <v>25</v>
      </c>
      <c r="F1089" s="24" t="s">
        <v>35</v>
      </c>
      <c r="G1089" s="23" t="s">
        <v>103</v>
      </c>
      <c r="H1089" s="24" t="s">
        <v>23</v>
      </c>
      <c r="I1089" s="24" t="s">
        <v>9</v>
      </c>
      <c r="J1089" s="24" t="s">
        <v>30</v>
      </c>
      <c r="K1089" s="24"/>
      <c r="L1089" s="24" t="s">
        <v>99</v>
      </c>
    </row>
    <row r="1090">
      <c r="A1090" s="24">
        <f t="shared" si="1"/>
        <v>1089</v>
      </c>
      <c r="B1090" s="24" t="s">
        <v>517</v>
      </c>
      <c r="C1090" s="275">
        <v>42919.0</v>
      </c>
      <c r="D1090" s="24" t="str">
        <f t="shared" si="26"/>
        <v>Jul-2017</v>
      </c>
      <c r="E1090" s="24" t="s">
        <v>20</v>
      </c>
      <c r="F1090" s="24" t="s">
        <v>35</v>
      </c>
      <c r="G1090" s="23" t="s">
        <v>470</v>
      </c>
      <c r="H1090" s="24" t="s">
        <v>44</v>
      </c>
      <c r="I1090" s="24" t="s">
        <v>9</v>
      </c>
      <c r="J1090" s="24" t="s">
        <v>30</v>
      </c>
      <c r="K1090" s="24" t="s">
        <v>24</v>
      </c>
      <c r="L1090" s="24" t="s">
        <v>69</v>
      </c>
    </row>
    <row r="1091">
      <c r="A1091" s="24">
        <f t="shared" si="1"/>
        <v>1090</v>
      </c>
      <c r="B1091" s="24" t="s">
        <v>517</v>
      </c>
      <c r="C1091" s="275">
        <v>42919.0</v>
      </c>
      <c r="D1091" s="24" t="str">
        <f>TEXT(C1084:C1091, "mmm") &amp; "-" &amp; TEXT(C1084:C1091, "yyyy") </f>
        <v>Jul-2017</v>
      </c>
      <c r="E1091" s="24" t="s">
        <v>25</v>
      </c>
      <c r="F1091" s="24" t="s">
        <v>35</v>
      </c>
      <c r="G1091" s="23" t="s">
        <v>470</v>
      </c>
      <c r="H1091" s="24" t="s">
        <v>44</v>
      </c>
      <c r="I1091" s="24" t="s">
        <v>9</v>
      </c>
      <c r="J1091" s="24" t="s">
        <v>24</v>
      </c>
      <c r="K1091" s="24"/>
      <c r="L1091" s="24" t="s">
        <v>99</v>
      </c>
    </row>
    <row r="1092">
      <c r="A1092" s="24">
        <f t="shared" si="1"/>
        <v>1091</v>
      </c>
      <c r="B1092" s="24" t="s">
        <v>517</v>
      </c>
      <c r="C1092" s="275">
        <v>42919.0</v>
      </c>
      <c r="D1092" s="24" t="str">
        <f>TEXT(C1092, "mmm") &amp; "-" &amp; TEXT(C1092, "yyyy") </f>
        <v>Jul-2017</v>
      </c>
      <c r="E1092" s="24" t="s">
        <v>32</v>
      </c>
      <c r="F1092" s="24" t="s">
        <v>35</v>
      </c>
      <c r="G1092" s="23" t="s">
        <v>470</v>
      </c>
      <c r="H1092" s="24" t="s">
        <v>44</v>
      </c>
      <c r="I1092" s="24" t="s">
        <v>9</v>
      </c>
      <c r="J1092" s="24" t="s">
        <v>24</v>
      </c>
      <c r="K1092" s="24"/>
      <c r="L1092" s="24" t="s">
        <v>98</v>
      </c>
    </row>
    <row r="1093">
      <c r="A1093" s="24">
        <f t="shared" si="1"/>
        <v>1092</v>
      </c>
      <c r="B1093" s="24" t="s">
        <v>521</v>
      </c>
      <c r="C1093" s="275">
        <v>42921.0</v>
      </c>
      <c r="D1093" s="24" t="str">
        <f t="shared" ref="D1093:D1095" si="27">TEXT(C1091:C1093, "mmm") &amp; "-" &amp; TEXT(C1091:C1093, "yyyy") </f>
        <v>Jul-2017</v>
      </c>
      <c r="E1093" s="24" t="s">
        <v>20</v>
      </c>
      <c r="F1093" s="24" t="s">
        <v>35</v>
      </c>
      <c r="G1093" s="23" t="s">
        <v>522</v>
      </c>
      <c r="H1093" s="24" t="s">
        <v>9</v>
      </c>
      <c r="I1093" s="24" t="s">
        <v>9</v>
      </c>
      <c r="J1093" s="24" t="s">
        <v>30</v>
      </c>
      <c r="K1093" s="24" t="s">
        <v>30</v>
      </c>
      <c r="L1093" s="24" t="s">
        <v>69</v>
      </c>
    </row>
    <row r="1094">
      <c r="A1094" s="24">
        <f t="shared" si="1"/>
        <v>1093</v>
      </c>
      <c r="B1094" s="24" t="s">
        <v>521</v>
      </c>
      <c r="C1094" s="275">
        <v>42921.0</v>
      </c>
      <c r="D1094" s="24" t="str">
        <f t="shared" si="27"/>
        <v>Jul-2017</v>
      </c>
      <c r="E1094" s="24" t="s">
        <v>25</v>
      </c>
      <c r="F1094" s="24" t="s">
        <v>35</v>
      </c>
      <c r="G1094" s="23" t="s">
        <v>522</v>
      </c>
      <c r="H1094" s="24" t="s">
        <v>9</v>
      </c>
      <c r="I1094" s="24" t="s">
        <v>9</v>
      </c>
      <c r="J1094" s="24" t="s">
        <v>30</v>
      </c>
      <c r="K1094" s="24"/>
      <c r="L1094" s="24" t="s">
        <v>98</v>
      </c>
    </row>
    <row r="1095">
      <c r="A1095" s="24">
        <f t="shared" si="1"/>
        <v>1094</v>
      </c>
      <c r="B1095" s="24" t="s">
        <v>521</v>
      </c>
      <c r="C1095" s="275">
        <v>42921.0</v>
      </c>
      <c r="D1095" s="24" t="str">
        <f t="shared" si="27"/>
        <v>Jul-2017</v>
      </c>
      <c r="E1095" s="24" t="s">
        <v>20</v>
      </c>
      <c r="F1095" s="24" t="s">
        <v>35</v>
      </c>
      <c r="G1095" s="23" t="s">
        <v>346</v>
      </c>
      <c r="H1095" s="24" t="s">
        <v>44</v>
      </c>
      <c r="I1095" s="24" t="s">
        <v>9</v>
      </c>
      <c r="J1095" s="24" t="s">
        <v>24</v>
      </c>
      <c r="K1095" s="24" t="s">
        <v>24</v>
      </c>
      <c r="L1095" s="24" t="s">
        <v>69</v>
      </c>
    </row>
    <row r="1096">
      <c r="A1096" s="24">
        <f t="shared" si="1"/>
        <v>1095</v>
      </c>
      <c r="B1096" s="24" t="s">
        <v>521</v>
      </c>
      <c r="C1096" s="275">
        <v>42921.0</v>
      </c>
      <c r="D1096" s="24" t="str">
        <f>TEXT(C1093:C1096, "mmm") &amp; "-" &amp; TEXT(C1093:C1096, "yyyy") </f>
        <v>Jul-2017</v>
      </c>
      <c r="E1096" s="24" t="s">
        <v>25</v>
      </c>
      <c r="F1096" s="24" t="s">
        <v>35</v>
      </c>
      <c r="G1096" s="23" t="s">
        <v>346</v>
      </c>
      <c r="H1096" s="24" t="s">
        <v>44</v>
      </c>
      <c r="I1096" s="24" t="s">
        <v>9</v>
      </c>
      <c r="J1096" s="24" t="s">
        <v>24</v>
      </c>
      <c r="K1096" s="24"/>
      <c r="L1096" s="24" t="s">
        <v>98</v>
      </c>
    </row>
    <row r="1097">
      <c r="A1097" s="24">
        <f t="shared" si="1"/>
        <v>1096</v>
      </c>
      <c r="B1097" s="24" t="s">
        <v>521</v>
      </c>
      <c r="C1097" s="275">
        <v>42921.0</v>
      </c>
      <c r="D1097" s="24" t="str">
        <f t="shared" ref="D1097:D1101" si="28">TEXT(C1095:C1097, "mmm") &amp; "-" &amp; TEXT(C1095:C1097, "yyyy") </f>
        <v>Jul-2017</v>
      </c>
      <c r="E1097" s="24" t="s">
        <v>20</v>
      </c>
      <c r="F1097" s="24" t="s">
        <v>35</v>
      </c>
      <c r="G1097" s="23" t="s">
        <v>523</v>
      </c>
      <c r="H1097" s="24" t="s">
        <v>216</v>
      </c>
      <c r="I1097" s="24" t="s">
        <v>9</v>
      </c>
      <c r="J1097" s="24" t="s">
        <v>30</v>
      </c>
      <c r="K1097" s="24" t="s">
        <v>30</v>
      </c>
      <c r="L1097" s="24" t="s">
        <v>37</v>
      </c>
    </row>
    <row r="1098">
      <c r="A1098" s="24">
        <f t="shared" si="1"/>
        <v>1097</v>
      </c>
      <c r="B1098" s="24" t="s">
        <v>521</v>
      </c>
      <c r="C1098" s="275">
        <v>42921.0</v>
      </c>
      <c r="D1098" s="24" t="str">
        <f t="shared" si="28"/>
        <v>Jul-2017</v>
      </c>
      <c r="E1098" s="24" t="s">
        <v>25</v>
      </c>
      <c r="F1098" s="24" t="s">
        <v>35</v>
      </c>
      <c r="G1098" s="23" t="s">
        <v>523</v>
      </c>
      <c r="H1098" s="24" t="s">
        <v>216</v>
      </c>
      <c r="I1098" s="24" t="s">
        <v>9</v>
      </c>
      <c r="J1098" s="24" t="s">
        <v>30</v>
      </c>
      <c r="K1098" s="24"/>
      <c r="L1098" s="24" t="s">
        <v>99</v>
      </c>
    </row>
    <row r="1099">
      <c r="A1099" s="24">
        <f t="shared" si="1"/>
        <v>1098</v>
      </c>
      <c r="B1099" s="24" t="s">
        <v>521</v>
      </c>
      <c r="C1099" s="275">
        <v>42921.0</v>
      </c>
      <c r="D1099" s="24" t="str">
        <f t="shared" si="28"/>
        <v>Jul-2017</v>
      </c>
      <c r="E1099" s="24" t="s">
        <v>20</v>
      </c>
      <c r="F1099" s="24" t="s">
        <v>35</v>
      </c>
      <c r="G1099" s="23" t="s">
        <v>163</v>
      </c>
      <c r="H1099" s="24" t="s">
        <v>44</v>
      </c>
      <c r="I1099" s="24" t="s">
        <v>9</v>
      </c>
      <c r="J1099" s="24" t="s">
        <v>30</v>
      </c>
      <c r="K1099" s="24" t="s">
        <v>30</v>
      </c>
      <c r="L1099" s="24" t="s">
        <v>98</v>
      </c>
    </row>
    <row r="1100">
      <c r="A1100" s="24">
        <f t="shared" si="1"/>
        <v>1099</v>
      </c>
      <c r="B1100" s="24" t="s">
        <v>521</v>
      </c>
      <c r="C1100" s="275">
        <v>42921.0</v>
      </c>
      <c r="D1100" s="24" t="str">
        <f t="shared" si="28"/>
        <v>Jul-2017</v>
      </c>
      <c r="E1100" s="24" t="s">
        <v>25</v>
      </c>
      <c r="F1100" s="24" t="s">
        <v>35</v>
      </c>
      <c r="G1100" s="23" t="s">
        <v>163</v>
      </c>
      <c r="H1100" s="24" t="s">
        <v>44</v>
      </c>
      <c r="I1100" s="24" t="s">
        <v>9</v>
      </c>
      <c r="J1100" s="24" t="s">
        <v>30</v>
      </c>
      <c r="K1100" s="24"/>
      <c r="L1100" s="24" t="s">
        <v>69</v>
      </c>
    </row>
    <row r="1101">
      <c r="A1101" s="24">
        <f t="shared" si="1"/>
        <v>1100</v>
      </c>
      <c r="B1101" s="24" t="s">
        <v>521</v>
      </c>
      <c r="C1101" s="275">
        <v>42921.0</v>
      </c>
      <c r="D1101" s="24" t="str">
        <f t="shared" si="28"/>
        <v>Jul-2017</v>
      </c>
      <c r="E1101" s="24" t="s">
        <v>20</v>
      </c>
      <c r="F1101" s="24" t="s">
        <v>35</v>
      </c>
      <c r="G1101" s="23" t="s">
        <v>394</v>
      </c>
      <c r="H1101" s="24" t="s">
        <v>27</v>
      </c>
      <c r="I1101" s="24" t="s">
        <v>9</v>
      </c>
      <c r="J1101" s="24" t="s">
        <v>30</v>
      </c>
      <c r="K1101" s="24" t="s">
        <v>24</v>
      </c>
      <c r="L1101" s="24" t="s">
        <v>69</v>
      </c>
    </row>
    <row r="1102">
      <c r="A1102" s="24">
        <f t="shared" si="1"/>
        <v>1101</v>
      </c>
      <c r="B1102" s="24" t="s">
        <v>521</v>
      </c>
      <c r="C1102" s="275">
        <v>42921.0</v>
      </c>
      <c r="D1102" s="24" t="str">
        <f>TEXT(C1097:C1102, "mmm") &amp; "-" &amp; TEXT(C1097:C1102, "yyyy") </f>
        <v>Jul-2017</v>
      </c>
      <c r="E1102" s="24" t="s">
        <v>25</v>
      </c>
      <c r="F1102" s="24" t="s">
        <v>35</v>
      </c>
      <c r="G1102" s="23" t="s">
        <v>394</v>
      </c>
      <c r="H1102" s="24" t="s">
        <v>27</v>
      </c>
      <c r="I1102" s="24" t="s">
        <v>9</v>
      </c>
      <c r="J1102" s="24" t="s">
        <v>24</v>
      </c>
      <c r="K1102" s="24"/>
      <c r="L1102" s="24" t="s">
        <v>69</v>
      </c>
    </row>
    <row r="1103">
      <c r="A1103" s="24">
        <f t="shared" si="1"/>
        <v>1102</v>
      </c>
      <c r="B1103" s="24" t="s">
        <v>521</v>
      </c>
      <c r="C1103" s="275">
        <v>42921.0</v>
      </c>
      <c r="D1103" s="24" t="str">
        <f>TEXT(C1097:C1103, "mmm") &amp; "-" &amp; TEXT(C1097:C1103, "yyyy") </f>
        <v>Jul-2017</v>
      </c>
      <c r="E1103" s="24" t="s">
        <v>32</v>
      </c>
      <c r="F1103" s="24" t="s">
        <v>35</v>
      </c>
      <c r="G1103" s="23" t="s">
        <v>394</v>
      </c>
      <c r="H1103" s="24" t="s">
        <v>27</v>
      </c>
      <c r="I1103" s="24" t="s">
        <v>9</v>
      </c>
      <c r="J1103" s="24" t="s">
        <v>24</v>
      </c>
      <c r="K1103" s="24"/>
      <c r="L1103" s="24" t="s">
        <v>106</v>
      </c>
    </row>
    <row r="1104">
      <c r="A1104" s="24">
        <f t="shared" si="1"/>
        <v>1103</v>
      </c>
      <c r="B1104" s="24" t="s">
        <v>524</v>
      </c>
      <c r="C1104" s="275">
        <v>42923.0</v>
      </c>
      <c r="D1104" s="24" t="str">
        <f t="shared" ref="D1104:D1106" si="29">TEXT(C1102:C1104, "mmm") &amp; "-" &amp; TEXT(C1102:C1104, "yyyy") </f>
        <v>Jul-2017</v>
      </c>
      <c r="E1104" s="24" t="s">
        <v>20</v>
      </c>
      <c r="F1104" s="24" t="s">
        <v>35</v>
      </c>
      <c r="G1104" s="23" t="s">
        <v>525</v>
      </c>
      <c r="H1104" s="24" t="s">
        <v>86</v>
      </c>
      <c r="I1104" s="24" t="s">
        <v>9</v>
      </c>
      <c r="J1104" s="24" t="s">
        <v>30</v>
      </c>
      <c r="K1104" s="24" t="s">
        <v>30</v>
      </c>
      <c r="L1104" s="24" t="s">
        <v>29</v>
      </c>
    </row>
    <row r="1105">
      <c r="A1105" s="24">
        <f t="shared" si="1"/>
        <v>1104</v>
      </c>
      <c r="B1105" s="24" t="s">
        <v>524</v>
      </c>
      <c r="C1105" s="275">
        <v>42923.0</v>
      </c>
      <c r="D1105" s="24" t="str">
        <f t="shared" si="29"/>
        <v>Jul-2017</v>
      </c>
      <c r="E1105" s="24" t="s">
        <v>25</v>
      </c>
      <c r="F1105" s="24" t="s">
        <v>35</v>
      </c>
      <c r="G1105" s="23" t="s">
        <v>525</v>
      </c>
      <c r="H1105" s="24" t="s">
        <v>216</v>
      </c>
      <c r="I1105" s="24" t="s">
        <v>9</v>
      </c>
      <c r="J1105" s="24" t="s">
        <v>30</v>
      </c>
      <c r="K1105" s="24"/>
      <c r="L1105" s="24" t="s">
        <v>106</v>
      </c>
    </row>
    <row r="1106">
      <c r="A1106" s="24">
        <f t="shared" si="1"/>
        <v>1105</v>
      </c>
      <c r="B1106" s="24" t="s">
        <v>524</v>
      </c>
      <c r="C1106" s="275">
        <v>42923.0</v>
      </c>
      <c r="D1106" s="24" t="str">
        <f t="shared" si="29"/>
        <v>Jul-2017</v>
      </c>
      <c r="E1106" s="24" t="s">
        <v>20</v>
      </c>
      <c r="F1106" s="24" t="s">
        <v>35</v>
      </c>
      <c r="G1106" s="23" t="s">
        <v>231</v>
      </c>
      <c r="H1106" s="24" t="s">
        <v>86</v>
      </c>
      <c r="I1106" s="24" t="s">
        <v>9</v>
      </c>
      <c r="J1106" s="24" t="s">
        <v>24</v>
      </c>
      <c r="K1106" s="24" t="s">
        <v>24</v>
      </c>
      <c r="L1106" s="24" t="s">
        <v>69</v>
      </c>
    </row>
    <row r="1107">
      <c r="A1107" s="24">
        <f t="shared" si="1"/>
        <v>1106</v>
      </c>
      <c r="B1107" s="24" t="s">
        <v>524</v>
      </c>
      <c r="C1107" s="275">
        <v>42923.0</v>
      </c>
      <c r="D1107" s="24" t="str">
        <f t="shared" ref="D1107:D1114" si="30">TEXT(C1104:C1107, "mmm") &amp; "-" &amp; TEXT(C1104:C1107, "yyyy") </f>
        <v>Jul-2017</v>
      </c>
      <c r="E1107" s="24" t="s">
        <v>25</v>
      </c>
      <c r="F1107" s="24" t="s">
        <v>35</v>
      </c>
      <c r="G1107" s="23" t="s">
        <v>231</v>
      </c>
      <c r="H1107" s="24" t="s">
        <v>86</v>
      </c>
      <c r="I1107" s="24" t="s">
        <v>9</v>
      </c>
      <c r="J1107" s="24" t="s">
        <v>30</v>
      </c>
      <c r="K1107" s="24"/>
      <c r="L1107" s="24" t="s">
        <v>29</v>
      </c>
    </row>
    <row r="1108">
      <c r="A1108" s="24">
        <f t="shared" si="1"/>
        <v>1107</v>
      </c>
      <c r="B1108" s="24" t="s">
        <v>524</v>
      </c>
      <c r="C1108" s="275">
        <v>42923.0</v>
      </c>
      <c r="D1108" s="24" t="str">
        <f t="shared" si="30"/>
        <v>Jul-2017</v>
      </c>
      <c r="E1108" s="24" t="s">
        <v>32</v>
      </c>
      <c r="F1108" s="24" t="s">
        <v>35</v>
      </c>
      <c r="G1108" s="23" t="s">
        <v>231</v>
      </c>
      <c r="H1108" s="24" t="s">
        <v>86</v>
      </c>
      <c r="I1108" s="24" t="s">
        <v>9</v>
      </c>
      <c r="J1108" s="24" t="s">
        <v>24</v>
      </c>
      <c r="K1108" s="24"/>
      <c r="L1108" s="24" t="s">
        <v>98</v>
      </c>
    </row>
    <row r="1109">
      <c r="A1109" s="24">
        <f t="shared" si="1"/>
        <v>1108</v>
      </c>
      <c r="B1109" s="24" t="s">
        <v>524</v>
      </c>
      <c r="C1109" s="275">
        <v>42923.0</v>
      </c>
      <c r="D1109" s="24" t="str">
        <f t="shared" si="30"/>
        <v>Jul-2017</v>
      </c>
      <c r="E1109" s="24" t="s">
        <v>20</v>
      </c>
      <c r="F1109" s="24" t="s">
        <v>35</v>
      </c>
      <c r="G1109" s="23" t="s">
        <v>226</v>
      </c>
      <c r="H1109" s="24" t="s">
        <v>9</v>
      </c>
      <c r="I1109" s="24" t="s">
        <v>9</v>
      </c>
      <c r="J1109" s="24" t="s">
        <v>30</v>
      </c>
      <c r="K1109" s="24" t="s">
        <v>30</v>
      </c>
      <c r="L1109" s="24" t="s">
        <v>98</v>
      </c>
    </row>
    <row r="1110">
      <c r="A1110" s="24">
        <f t="shared" si="1"/>
        <v>1109</v>
      </c>
      <c r="B1110" s="24" t="s">
        <v>524</v>
      </c>
      <c r="C1110" s="275">
        <v>42923.0</v>
      </c>
      <c r="D1110" s="24" t="str">
        <f t="shared" si="30"/>
        <v>Jul-2017</v>
      </c>
      <c r="E1110" s="24" t="s">
        <v>25</v>
      </c>
      <c r="F1110" s="24" t="s">
        <v>35</v>
      </c>
      <c r="G1110" s="23" t="s">
        <v>226</v>
      </c>
      <c r="H1110" s="24" t="s">
        <v>9</v>
      </c>
      <c r="I1110" s="24" t="s">
        <v>9</v>
      </c>
      <c r="J1110" s="24" t="s">
        <v>30</v>
      </c>
      <c r="K1110" s="24"/>
      <c r="L1110" s="24" t="s">
        <v>106</v>
      </c>
    </row>
    <row r="1111">
      <c r="A1111" s="24">
        <f t="shared" si="1"/>
        <v>1110</v>
      </c>
      <c r="B1111" s="24" t="s">
        <v>524</v>
      </c>
      <c r="C1111" s="275">
        <v>42923.0</v>
      </c>
      <c r="D1111" s="24" t="str">
        <f t="shared" si="30"/>
        <v>Jul-2017</v>
      </c>
      <c r="E1111" s="24" t="s">
        <v>20</v>
      </c>
      <c r="F1111" s="24" t="s">
        <v>35</v>
      </c>
      <c r="G1111" s="23" t="s">
        <v>416</v>
      </c>
      <c r="H1111" s="24" t="s">
        <v>27</v>
      </c>
      <c r="I1111" s="24" t="s">
        <v>9</v>
      </c>
      <c r="J1111" s="24" t="s">
        <v>30</v>
      </c>
      <c r="K1111" s="24" t="s">
        <v>30</v>
      </c>
      <c r="L1111" s="24" t="s">
        <v>98</v>
      </c>
    </row>
    <row r="1112">
      <c r="A1112" s="24">
        <f t="shared" si="1"/>
        <v>1111</v>
      </c>
      <c r="B1112" s="24" t="s">
        <v>524</v>
      </c>
      <c r="C1112" s="275">
        <v>42923.0</v>
      </c>
      <c r="D1112" s="24" t="str">
        <f t="shared" si="30"/>
        <v>Jul-2017</v>
      </c>
      <c r="E1112" s="24" t="s">
        <v>25</v>
      </c>
      <c r="F1112" s="24" t="s">
        <v>35</v>
      </c>
      <c r="G1112" s="23" t="s">
        <v>416</v>
      </c>
      <c r="H1112" s="24" t="s">
        <v>27</v>
      </c>
      <c r="I1112" s="24" t="s">
        <v>9</v>
      </c>
      <c r="J1112" s="24" t="s">
        <v>24</v>
      </c>
      <c r="K1112" s="24"/>
      <c r="L1112" s="24" t="s">
        <v>98</v>
      </c>
    </row>
    <row r="1113">
      <c r="A1113" s="24">
        <f t="shared" si="1"/>
        <v>1112</v>
      </c>
      <c r="B1113" s="24" t="s">
        <v>524</v>
      </c>
      <c r="C1113" s="275">
        <v>42923.0</v>
      </c>
      <c r="D1113" s="24" t="str">
        <f t="shared" si="30"/>
        <v>Jul-2017</v>
      </c>
      <c r="E1113" s="24" t="s">
        <v>20</v>
      </c>
      <c r="F1113" s="24" t="s">
        <v>35</v>
      </c>
      <c r="G1113" s="23" t="s">
        <v>416</v>
      </c>
      <c r="H1113" s="24" t="s">
        <v>27</v>
      </c>
      <c r="I1113" s="24" t="s">
        <v>9</v>
      </c>
      <c r="J1113" s="24" t="s">
        <v>30</v>
      </c>
      <c r="K1113" s="24"/>
      <c r="L1113" s="24" t="s">
        <v>106</v>
      </c>
    </row>
    <row r="1114">
      <c r="A1114" s="24">
        <f t="shared" si="1"/>
        <v>1113</v>
      </c>
      <c r="B1114" s="24" t="s">
        <v>524</v>
      </c>
      <c r="C1114" s="275">
        <v>42923.0</v>
      </c>
      <c r="D1114" s="24" t="str">
        <f t="shared" si="30"/>
        <v>Jul-2017</v>
      </c>
      <c r="E1114" s="24" t="s">
        <v>25</v>
      </c>
      <c r="F1114" s="24" t="s">
        <v>35</v>
      </c>
      <c r="G1114" s="23" t="s">
        <v>184</v>
      </c>
      <c r="H1114" s="24" t="s">
        <v>9</v>
      </c>
      <c r="I1114" s="24" t="s">
        <v>9</v>
      </c>
      <c r="J1114" s="24" t="s">
        <v>24</v>
      </c>
      <c r="K1114" s="24" t="s">
        <v>24</v>
      </c>
      <c r="L1114" s="24" t="s">
        <v>69</v>
      </c>
    </row>
    <row r="1115">
      <c r="A1115" s="24">
        <f t="shared" si="1"/>
        <v>1114</v>
      </c>
      <c r="B1115" s="24" t="s">
        <v>524</v>
      </c>
      <c r="C1115" s="275">
        <v>42923.0</v>
      </c>
      <c r="D1115" s="24" t="str">
        <f>TEXT(C1115, "mmm") &amp; "-" &amp; TEXT(C1115, "yyyy") </f>
        <v>Jul-2017</v>
      </c>
      <c r="E1115" s="24" t="s">
        <v>25</v>
      </c>
      <c r="F1115" s="24" t="s">
        <v>35</v>
      </c>
      <c r="G1115" s="23" t="s">
        <v>184</v>
      </c>
      <c r="H1115" s="24" t="s">
        <v>9</v>
      </c>
      <c r="I1115" s="24" t="s">
        <v>9</v>
      </c>
      <c r="J1115" s="24" t="s">
        <v>24</v>
      </c>
      <c r="K1115" s="24"/>
      <c r="L1115" s="24" t="s">
        <v>99</v>
      </c>
    </row>
    <row r="1116">
      <c r="A1116" s="24">
        <f t="shared" si="1"/>
        <v>1115</v>
      </c>
      <c r="B1116" s="24" t="s">
        <v>526</v>
      </c>
      <c r="C1116" s="275">
        <v>42927.0</v>
      </c>
      <c r="D1116" s="24" t="str">
        <f t="shared" ref="D1116:D1118" si="31">TEXT(C1114:C1116, "mmm") &amp; "-" &amp; TEXT(C1114:C1116, "yyyy") </f>
        <v>Jul-2017</v>
      </c>
      <c r="E1116" s="24" t="s">
        <v>20</v>
      </c>
      <c r="F1116" s="24" t="s">
        <v>35</v>
      </c>
      <c r="G1116" s="23" t="s">
        <v>528</v>
      </c>
      <c r="H1116" s="24" t="s">
        <v>9</v>
      </c>
      <c r="I1116" s="24" t="s">
        <v>9</v>
      </c>
      <c r="J1116" s="24" t="s">
        <v>30</v>
      </c>
      <c r="K1116" s="24" t="s">
        <v>30</v>
      </c>
      <c r="L1116" s="24" t="s">
        <v>98</v>
      </c>
    </row>
    <row r="1117">
      <c r="A1117" s="24">
        <f t="shared" si="1"/>
        <v>1116</v>
      </c>
      <c r="B1117" s="24" t="s">
        <v>526</v>
      </c>
      <c r="C1117" s="275">
        <v>42927.0</v>
      </c>
      <c r="D1117" s="24" t="str">
        <f t="shared" si="31"/>
        <v>Jul-2017</v>
      </c>
      <c r="E1117" s="24" t="s">
        <v>25</v>
      </c>
      <c r="F1117" s="24" t="s">
        <v>35</v>
      </c>
      <c r="G1117" s="23" t="s">
        <v>528</v>
      </c>
      <c r="H1117" s="24" t="s">
        <v>27</v>
      </c>
      <c r="I1117" s="24" t="s">
        <v>9</v>
      </c>
      <c r="J1117" s="24" t="s">
        <v>30</v>
      </c>
      <c r="K1117" s="24"/>
      <c r="L1117" s="24" t="s">
        <v>106</v>
      </c>
    </row>
    <row r="1118">
      <c r="A1118" s="24">
        <f t="shared" si="1"/>
        <v>1117</v>
      </c>
      <c r="B1118" s="24" t="s">
        <v>526</v>
      </c>
      <c r="C1118" s="275">
        <v>42927.0</v>
      </c>
      <c r="D1118" s="24" t="str">
        <f t="shared" si="31"/>
        <v>Jul-2017</v>
      </c>
      <c r="E1118" s="24" t="s">
        <v>20</v>
      </c>
      <c r="F1118" s="24" t="s">
        <v>35</v>
      </c>
      <c r="G1118" s="23" t="s">
        <v>530</v>
      </c>
      <c r="H1118" s="24" t="s">
        <v>102</v>
      </c>
      <c r="I1118" s="24" t="s">
        <v>9</v>
      </c>
      <c r="J1118" s="24" t="s">
        <v>24</v>
      </c>
      <c r="K1118" s="24" t="s">
        <v>30</v>
      </c>
      <c r="L1118" s="24" t="s">
        <v>98</v>
      </c>
    </row>
    <row r="1119">
      <c r="A1119" s="24">
        <f t="shared" si="1"/>
        <v>1118</v>
      </c>
      <c r="B1119" s="24" t="s">
        <v>526</v>
      </c>
      <c r="C1119" s="275">
        <v>42927.0</v>
      </c>
      <c r="D1119" s="24" t="str">
        <f t="shared" ref="D1119:D1132" si="32">TEXT(C1116:C1119, "mmm") &amp; "-" &amp; TEXT(C1116:C1119, "yyyy") </f>
        <v>Jul-2017</v>
      </c>
      <c r="E1119" s="24" t="s">
        <v>25</v>
      </c>
      <c r="F1119" s="24" t="s">
        <v>35</v>
      </c>
      <c r="G1119" s="23" t="s">
        <v>530</v>
      </c>
      <c r="H1119" s="24" t="s">
        <v>102</v>
      </c>
      <c r="I1119" s="24" t="s">
        <v>9</v>
      </c>
      <c r="J1119" s="24" t="s">
        <v>30</v>
      </c>
      <c r="K1119" s="24"/>
      <c r="L1119" s="24" t="s">
        <v>69</v>
      </c>
    </row>
    <row r="1120">
      <c r="A1120" s="24">
        <f t="shared" si="1"/>
        <v>1119</v>
      </c>
      <c r="B1120" s="24" t="s">
        <v>526</v>
      </c>
      <c r="C1120" s="275">
        <v>42927.0</v>
      </c>
      <c r="D1120" s="24" t="str">
        <f t="shared" si="32"/>
        <v>Jul-2017</v>
      </c>
      <c r="E1120" s="24" t="s">
        <v>32</v>
      </c>
      <c r="F1120" s="24" t="s">
        <v>35</v>
      </c>
      <c r="G1120" s="23" t="s">
        <v>530</v>
      </c>
      <c r="H1120" s="24" t="s">
        <v>102</v>
      </c>
      <c r="I1120" s="24" t="s">
        <v>9</v>
      </c>
      <c r="J1120" s="24" t="s">
        <v>30</v>
      </c>
      <c r="K1120" s="24"/>
      <c r="L1120" s="24" t="s">
        <v>37</v>
      </c>
    </row>
    <row r="1121">
      <c r="A1121" s="24">
        <f t="shared" si="1"/>
        <v>1120</v>
      </c>
      <c r="B1121" s="24" t="s">
        <v>526</v>
      </c>
      <c r="C1121" s="275">
        <v>42927.0</v>
      </c>
      <c r="D1121" s="24" t="str">
        <f t="shared" si="32"/>
        <v>Jul-2017</v>
      </c>
      <c r="E1121" s="24" t="s">
        <v>20</v>
      </c>
      <c r="F1121" s="24" t="s">
        <v>35</v>
      </c>
      <c r="G1121" s="23" t="s">
        <v>194</v>
      </c>
      <c r="H1121" s="24" t="s">
        <v>23</v>
      </c>
      <c r="I1121" s="24" t="s">
        <v>9</v>
      </c>
      <c r="J1121" s="24" t="s">
        <v>24</v>
      </c>
      <c r="K1121" s="24" t="s">
        <v>24</v>
      </c>
      <c r="L1121" s="24" t="s">
        <v>99</v>
      </c>
    </row>
    <row r="1122">
      <c r="A1122" s="24">
        <f t="shared" si="1"/>
        <v>1121</v>
      </c>
      <c r="B1122" s="24" t="s">
        <v>526</v>
      </c>
      <c r="C1122" s="275">
        <v>42927.0</v>
      </c>
      <c r="D1122" s="24" t="str">
        <f t="shared" si="32"/>
        <v>Jul-2017</v>
      </c>
      <c r="E1122" s="24" t="s">
        <v>25</v>
      </c>
      <c r="F1122" s="24" t="s">
        <v>35</v>
      </c>
      <c r="G1122" s="23" t="s">
        <v>194</v>
      </c>
      <c r="H1122" s="24" t="s">
        <v>23</v>
      </c>
      <c r="I1122" s="24" t="s">
        <v>9</v>
      </c>
      <c r="J1122" s="24" t="s">
        <v>24</v>
      </c>
      <c r="K1122" s="24"/>
      <c r="L1122" s="24" t="s">
        <v>69</v>
      </c>
    </row>
    <row r="1123">
      <c r="A1123" s="24">
        <f t="shared" si="1"/>
        <v>1122</v>
      </c>
      <c r="B1123" s="24" t="s">
        <v>526</v>
      </c>
      <c r="C1123" s="275">
        <v>42927.0</v>
      </c>
      <c r="D1123" s="24" t="str">
        <f t="shared" si="32"/>
        <v>Jul-2017</v>
      </c>
      <c r="E1123" s="24" t="s">
        <v>20</v>
      </c>
      <c r="F1123" s="24" t="s">
        <v>35</v>
      </c>
      <c r="G1123" s="23" t="s">
        <v>531</v>
      </c>
      <c r="H1123" s="24" t="s">
        <v>23</v>
      </c>
      <c r="I1123" s="24" t="s">
        <v>9</v>
      </c>
      <c r="J1123" s="24" t="s">
        <v>30</v>
      </c>
      <c r="K1123" s="24" t="s">
        <v>30</v>
      </c>
      <c r="L1123" s="24" t="s">
        <v>99</v>
      </c>
    </row>
    <row r="1124">
      <c r="A1124" s="24">
        <f t="shared" si="1"/>
        <v>1123</v>
      </c>
      <c r="B1124" s="24" t="s">
        <v>526</v>
      </c>
      <c r="C1124" s="275">
        <v>42927.0</v>
      </c>
      <c r="D1124" s="24" t="str">
        <f t="shared" si="32"/>
        <v>Jul-2017</v>
      </c>
      <c r="E1124" s="24" t="s">
        <v>25</v>
      </c>
      <c r="F1124" s="24" t="s">
        <v>35</v>
      </c>
      <c r="G1124" s="23" t="s">
        <v>531</v>
      </c>
      <c r="H1124" s="24" t="s">
        <v>23</v>
      </c>
      <c r="I1124" s="24" t="s">
        <v>9</v>
      </c>
      <c r="J1124" s="24" t="s">
        <v>24</v>
      </c>
      <c r="K1124" s="24"/>
      <c r="L1124" s="24" t="s">
        <v>37</v>
      </c>
    </row>
    <row r="1125">
      <c r="A1125" s="24">
        <f t="shared" si="1"/>
        <v>1124</v>
      </c>
      <c r="B1125" s="24" t="s">
        <v>526</v>
      </c>
      <c r="C1125" s="275">
        <v>42927.0</v>
      </c>
      <c r="D1125" s="24" t="str">
        <f t="shared" si="32"/>
        <v>Jul-2017</v>
      </c>
      <c r="E1125" s="24" t="s">
        <v>32</v>
      </c>
      <c r="F1125" s="24" t="s">
        <v>35</v>
      </c>
      <c r="G1125" s="23" t="s">
        <v>531</v>
      </c>
      <c r="H1125" s="24" t="s">
        <v>23</v>
      </c>
      <c r="I1125" s="24" t="s">
        <v>9</v>
      </c>
      <c r="J1125" s="24" t="s">
        <v>30</v>
      </c>
      <c r="K1125" s="24"/>
      <c r="L1125" s="24" t="s">
        <v>69</v>
      </c>
    </row>
    <row r="1126">
      <c r="A1126" s="24">
        <f t="shared" si="1"/>
        <v>1125</v>
      </c>
      <c r="B1126" s="24" t="s">
        <v>526</v>
      </c>
      <c r="C1126" s="275">
        <v>42927.0</v>
      </c>
      <c r="D1126" s="24" t="str">
        <f t="shared" si="32"/>
        <v>Jul-2017</v>
      </c>
      <c r="E1126" s="24" t="s">
        <v>146</v>
      </c>
      <c r="F1126" s="24" t="s">
        <v>35</v>
      </c>
      <c r="G1126" s="23" t="s">
        <v>360</v>
      </c>
      <c r="H1126" s="24" t="s">
        <v>216</v>
      </c>
      <c r="I1126" s="24" t="s">
        <v>9</v>
      </c>
      <c r="J1126" s="24" t="s">
        <v>24</v>
      </c>
      <c r="K1126" s="24" t="s">
        <v>30</v>
      </c>
      <c r="L1126" s="24" t="s">
        <v>98</v>
      </c>
    </row>
    <row r="1127">
      <c r="A1127" s="24">
        <f t="shared" si="1"/>
        <v>1126</v>
      </c>
      <c r="B1127" s="24" t="s">
        <v>526</v>
      </c>
      <c r="C1127" s="275">
        <v>42927.0</v>
      </c>
      <c r="D1127" s="24" t="str">
        <f t="shared" si="32"/>
        <v>Jul-2017</v>
      </c>
      <c r="E1127" s="24" t="s">
        <v>149</v>
      </c>
      <c r="F1127" s="24" t="s">
        <v>35</v>
      </c>
      <c r="G1127" s="23" t="s">
        <v>360</v>
      </c>
      <c r="H1127" s="24" t="s">
        <v>216</v>
      </c>
      <c r="I1127" s="24" t="s">
        <v>9</v>
      </c>
      <c r="J1127" s="24" t="s">
        <v>30</v>
      </c>
      <c r="K1127" s="24"/>
      <c r="L1127" s="24" t="s">
        <v>69</v>
      </c>
    </row>
    <row r="1128">
      <c r="A1128" s="24">
        <f t="shared" si="1"/>
        <v>1127</v>
      </c>
      <c r="B1128" s="24" t="s">
        <v>526</v>
      </c>
      <c r="C1128" s="275">
        <v>42927.0</v>
      </c>
      <c r="D1128" s="24" t="str">
        <f t="shared" si="32"/>
        <v>Jul-2017</v>
      </c>
      <c r="E1128" s="24" t="s">
        <v>222</v>
      </c>
      <c r="F1128" s="24" t="s">
        <v>35</v>
      </c>
      <c r="G1128" s="23" t="s">
        <v>360</v>
      </c>
      <c r="H1128" s="24" t="s">
        <v>216</v>
      </c>
      <c r="I1128" s="24" t="s">
        <v>9</v>
      </c>
      <c r="J1128" s="24" t="s">
        <v>30</v>
      </c>
      <c r="K1128" s="24"/>
      <c r="L1128" s="24" t="s">
        <v>29</v>
      </c>
    </row>
    <row r="1129">
      <c r="A1129" s="24">
        <f t="shared" si="1"/>
        <v>1128</v>
      </c>
      <c r="B1129" s="24" t="s">
        <v>526</v>
      </c>
      <c r="C1129" s="275">
        <v>42927.0</v>
      </c>
      <c r="D1129" s="24" t="str">
        <f t="shared" si="32"/>
        <v>Jul-2017</v>
      </c>
      <c r="E1129" s="24" t="s">
        <v>467</v>
      </c>
      <c r="F1129" s="24" t="s">
        <v>35</v>
      </c>
      <c r="G1129" s="23" t="s">
        <v>360</v>
      </c>
      <c r="H1129" s="24" t="s">
        <v>216</v>
      </c>
      <c r="I1129" s="24" t="s">
        <v>9</v>
      </c>
      <c r="J1129" s="24" t="s">
        <v>24</v>
      </c>
      <c r="K1129" s="24"/>
      <c r="L1129" s="24" t="s">
        <v>29</v>
      </c>
    </row>
    <row r="1130">
      <c r="A1130" s="24">
        <f t="shared" si="1"/>
        <v>1129</v>
      </c>
      <c r="B1130" s="24" t="s">
        <v>526</v>
      </c>
      <c r="C1130" s="275">
        <v>42927.0</v>
      </c>
      <c r="D1130" s="24" t="str">
        <f t="shared" si="32"/>
        <v>Jul-2017</v>
      </c>
      <c r="E1130" s="24" t="s">
        <v>480</v>
      </c>
      <c r="F1130" s="24" t="s">
        <v>35</v>
      </c>
      <c r="G1130" s="23" t="s">
        <v>360</v>
      </c>
      <c r="H1130" s="24" t="s">
        <v>216</v>
      </c>
      <c r="I1130" s="24" t="s">
        <v>9</v>
      </c>
      <c r="J1130" s="24" t="s">
        <v>30</v>
      </c>
      <c r="K1130" s="24"/>
      <c r="L1130" s="24" t="s">
        <v>106</v>
      </c>
    </row>
    <row r="1131">
      <c r="A1131" s="24">
        <f t="shared" si="1"/>
        <v>1130</v>
      </c>
      <c r="B1131" s="24" t="s">
        <v>526</v>
      </c>
      <c r="C1131" s="275">
        <v>42927.0</v>
      </c>
      <c r="D1131" s="24" t="str">
        <f t="shared" si="32"/>
        <v>Jul-2017</v>
      </c>
      <c r="E1131" s="24" t="s">
        <v>146</v>
      </c>
      <c r="F1131" s="24" t="s">
        <v>35</v>
      </c>
      <c r="G1131" s="23" t="s">
        <v>218</v>
      </c>
      <c r="H1131" s="24" t="s">
        <v>86</v>
      </c>
      <c r="I1131" s="24" t="s">
        <v>9</v>
      </c>
      <c r="J1131" s="24" t="s">
        <v>30</v>
      </c>
      <c r="K1131" s="24" t="s">
        <v>24</v>
      </c>
      <c r="L1131" s="24" t="s">
        <v>69</v>
      </c>
    </row>
    <row r="1132">
      <c r="A1132" s="24">
        <f t="shared" si="1"/>
        <v>1131</v>
      </c>
      <c r="B1132" s="24" t="s">
        <v>526</v>
      </c>
      <c r="C1132" s="275">
        <v>42927.0</v>
      </c>
      <c r="D1132" s="24" t="str">
        <f t="shared" si="32"/>
        <v>Jul-2017</v>
      </c>
      <c r="E1132" s="24" t="s">
        <v>149</v>
      </c>
      <c r="F1132" s="24" t="s">
        <v>35</v>
      </c>
      <c r="G1132" s="23" t="s">
        <v>218</v>
      </c>
      <c r="H1132" s="24" t="s">
        <v>86</v>
      </c>
      <c r="I1132" s="24" t="s">
        <v>9</v>
      </c>
      <c r="J1132" s="24" t="s">
        <v>24</v>
      </c>
      <c r="K1132" s="24"/>
      <c r="L1132" s="24" t="s">
        <v>98</v>
      </c>
    </row>
    <row r="1133">
      <c r="A1133" s="24">
        <f t="shared" si="1"/>
        <v>1132</v>
      </c>
      <c r="B1133" s="24" t="s">
        <v>526</v>
      </c>
      <c r="C1133" s="275">
        <v>42927.0</v>
      </c>
      <c r="D1133" s="24" t="str">
        <f t="shared" ref="D1133:D1134" si="33">TEXT(C1129:C1133, "mmm") &amp; "-" &amp; TEXT(C1129:C1133, "yyyy") </f>
        <v>Jul-2017</v>
      </c>
      <c r="E1133" s="24" t="s">
        <v>222</v>
      </c>
      <c r="F1133" s="24" t="s">
        <v>35</v>
      </c>
      <c r="G1133" s="23" t="s">
        <v>218</v>
      </c>
      <c r="H1133" s="24" t="s">
        <v>71</v>
      </c>
      <c r="I1133" s="24" t="s">
        <v>9</v>
      </c>
      <c r="J1133" s="24" t="s">
        <v>24</v>
      </c>
      <c r="K1133" s="24"/>
      <c r="L1133" s="24" t="s">
        <v>29</v>
      </c>
    </row>
    <row r="1134">
      <c r="A1134" s="24">
        <f t="shared" si="1"/>
        <v>1133</v>
      </c>
      <c r="B1134" s="24" t="s">
        <v>526</v>
      </c>
      <c r="C1134" s="275">
        <v>42927.0</v>
      </c>
      <c r="D1134" s="24" t="str">
        <f t="shared" si="33"/>
        <v>Jul-2017</v>
      </c>
      <c r="E1134" s="24" t="s">
        <v>467</v>
      </c>
      <c r="F1134" s="24" t="s">
        <v>35</v>
      </c>
      <c r="G1134" s="23" t="s">
        <v>218</v>
      </c>
      <c r="H1134" s="24" t="s">
        <v>86</v>
      </c>
      <c r="I1134" s="24" t="s">
        <v>9</v>
      </c>
      <c r="J1134" s="24" t="s">
        <v>24</v>
      </c>
      <c r="K1134" s="24"/>
      <c r="L1134" s="24" t="s">
        <v>99</v>
      </c>
    </row>
    <row r="1135">
      <c r="A1135" s="24">
        <f t="shared" si="1"/>
        <v>1134</v>
      </c>
      <c r="B1135" s="24" t="s">
        <v>532</v>
      </c>
      <c r="C1135" s="275">
        <v>42928.0</v>
      </c>
      <c r="D1135" s="24" t="str">
        <f t="shared" ref="D1135:D1137" si="34">TEXT(C1133:C1135, "mmm") &amp; "-" &amp; TEXT(C1133:C1135, "yyyy") </f>
        <v>Jul-2017</v>
      </c>
      <c r="E1135" s="24" t="s">
        <v>20</v>
      </c>
      <c r="F1135" s="24" t="s">
        <v>35</v>
      </c>
      <c r="G1135" s="23" t="s">
        <v>533</v>
      </c>
      <c r="H1135" s="24" t="s">
        <v>216</v>
      </c>
      <c r="I1135" s="24" t="s">
        <v>9</v>
      </c>
      <c r="J1135" s="24" t="s">
        <v>30</v>
      </c>
      <c r="K1135" s="24" t="s">
        <v>30</v>
      </c>
      <c r="L1135" s="24" t="s">
        <v>69</v>
      </c>
    </row>
    <row r="1136">
      <c r="A1136" s="24">
        <f t="shared" si="1"/>
        <v>1135</v>
      </c>
      <c r="B1136" s="24" t="s">
        <v>532</v>
      </c>
      <c r="C1136" s="275">
        <v>42928.0</v>
      </c>
      <c r="D1136" s="24" t="str">
        <f t="shared" si="34"/>
        <v>Jul-2017</v>
      </c>
      <c r="E1136" s="24" t="s">
        <v>25</v>
      </c>
      <c r="F1136" s="24" t="s">
        <v>35</v>
      </c>
      <c r="G1136" s="23" t="s">
        <v>533</v>
      </c>
      <c r="H1136" s="24" t="s">
        <v>216</v>
      </c>
      <c r="I1136" s="24" t="s">
        <v>9</v>
      </c>
      <c r="J1136" s="24" t="s">
        <v>30</v>
      </c>
      <c r="K1136" s="24"/>
      <c r="L1136" s="24" t="s">
        <v>99</v>
      </c>
    </row>
    <row r="1137">
      <c r="A1137" s="24">
        <f t="shared" si="1"/>
        <v>1136</v>
      </c>
      <c r="B1137" s="24" t="s">
        <v>532</v>
      </c>
      <c r="C1137" s="275">
        <v>42928.0</v>
      </c>
      <c r="D1137" s="24" t="str">
        <f t="shared" si="34"/>
        <v>Jul-2017</v>
      </c>
      <c r="E1137" s="24" t="s">
        <v>20</v>
      </c>
      <c r="F1137" s="24" t="s">
        <v>35</v>
      </c>
      <c r="G1137" s="23" t="s">
        <v>133</v>
      </c>
      <c r="H1137" s="24" t="s">
        <v>86</v>
      </c>
      <c r="I1137" s="24" t="s">
        <v>9</v>
      </c>
      <c r="J1137" s="24" t="s">
        <v>30</v>
      </c>
      <c r="K1137" s="24" t="s">
        <v>30</v>
      </c>
      <c r="L1137" s="24" t="s">
        <v>69</v>
      </c>
    </row>
    <row r="1138">
      <c r="A1138" s="24">
        <f t="shared" si="1"/>
        <v>1137</v>
      </c>
      <c r="B1138" s="24" t="s">
        <v>532</v>
      </c>
      <c r="C1138" s="275">
        <v>42928.0</v>
      </c>
      <c r="D1138" s="24" t="str">
        <f>TEXT(C1135:C1138, "mmm") &amp; "-" &amp; TEXT(C1135:C1138, "yyyy") </f>
        <v>Jul-2017</v>
      </c>
      <c r="E1138" s="24" t="s">
        <v>25</v>
      </c>
      <c r="F1138" s="24" t="s">
        <v>35</v>
      </c>
      <c r="G1138" s="23" t="s">
        <v>133</v>
      </c>
      <c r="H1138" s="24" t="s">
        <v>86</v>
      </c>
      <c r="I1138" s="24" t="s">
        <v>9</v>
      </c>
      <c r="J1138" s="24" t="s">
        <v>30</v>
      </c>
      <c r="K1138" s="24"/>
      <c r="L1138" s="24" t="s">
        <v>98</v>
      </c>
    </row>
    <row r="1139">
      <c r="A1139" s="24">
        <f t="shared" si="1"/>
        <v>1138</v>
      </c>
      <c r="B1139" s="24" t="s">
        <v>532</v>
      </c>
      <c r="C1139" s="275">
        <v>42928.0</v>
      </c>
      <c r="D1139" s="24" t="str">
        <f t="shared" ref="D1139:D1143" si="35">TEXT(C1137:C1139, "mmm") &amp; "-" &amp; TEXT(C1137:C1139, "yyyy") </f>
        <v>Jul-2017</v>
      </c>
      <c r="E1139" s="24" t="s">
        <v>20</v>
      </c>
      <c r="F1139" s="24" t="s">
        <v>35</v>
      </c>
      <c r="G1139" s="23" t="s">
        <v>194</v>
      </c>
      <c r="H1139" s="24" t="s">
        <v>23</v>
      </c>
      <c r="I1139" s="24" t="s">
        <v>9</v>
      </c>
      <c r="J1139" s="24" t="s">
        <v>24</v>
      </c>
      <c r="K1139" s="24" t="s">
        <v>24</v>
      </c>
      <c r="L1139" s="24" t="s">
        <v>99</v>
      </c>
    </row>
    <row r="1140">
      <c r="A1140" s="24">
        <f t="shared" si="1"/>
        <v>1139</v>
      </c>
      <c r="B1140" s="24" t="s">
        <v>532</v>
      </c>
      <c r="C1140" s="275">
        <v>42928.0</v>
      </c>
      <c r="D1140" s="24" t="str">
        <f t="shared" si="35"/>
        <v>Jul-2017</v>
      </c>
      <c r="E1140" s="24" t="s">
        <v>25</v>
      </c>
      <c r="F1140" s="24" t="s">
        <v>35</v>
      </c>
      <c r="G1140" s="23" t="s">
        <v>194</v>
      </c>
      <c r="H1140" s="24" t="s">
        <v>23</v>
      </c>
      <c r="I1140" s="24" t="s">
        <v>9</v>
      </c>
      <c r="J1140" s="24" t="s">
        <v>24</v>
      </c>
      <c r="K1140" s="24"/>
      <c r="L1140" s="24" t="s">
        <v>29</v>
      </c>
    </row>
    <row r="1141">
      <c r="A1141" s="24">
        <f t="shared" si="1"/>
        <v>1140</v>
      </c>
      <c r="B1141" s="24" t="s">
        <v>532</v>
      </c>
      <c r="C1141" s="275">
        <v>42928.0</v>
      </c>
      <c r="D1141" s="24" t="str">
        <f t="shared" si="35"/>
        <v>Jul-2017</v>
      </c>
      <c r="E1141" s="24" t="s">
        <v>20</v>
      </c>
      <c r="F1141" s="24" t="s">
        <v>35</v>
      </c>
      <c r="G1141" s="23" t="s">
        <v>163</v>
      </c>
      <c r="H1141" s="24" t="s">
        <v>44</v>
      </c>
      <c r="I1141" s="24" t="s">
        <v>9</v>
      </c>
      <c r="J1141" s="24" t="s">
        <v>30</v>
      </c>
      <c r="K1141" s="24" t="s">
        <v>30</v>
      </c>
      <c r="L1141" s="24" t="s">
        <v>98</v>
      </c>
    </row>
    <row r="1142">
      <c r="A1142" s="24">
        <f t="shared" si="1"/>
        <v>1141</v>
      </c>
      <c r="B1142" s="24" t="s">
        <v>532</v>
      </c>
      <c r="C1142" s="275">
        <v>42928.0</v>
      </c>
      <c r="D1142" s="24" t="str">
        <f t="shared" si="35"/>
        <v>Jul-2017</v>
      </c>
      <c r="E1142" s="24" t="s">
        <v>25</v>
      </c>
      <c r="F1142" s="24" t="s">
        <v>35</v>
      </c>
      <c r="G1142" s="23" t="s">
        <v>163</v>
      </c>
      <c r="H1142" s="24" t="s">
        <v>44</v>
      </c>
      <c r="I1142" s="24" t="s">
        <v>9</v>
      </c>
      <c r="J1142" s="24" t="s">
        <v>24</v>
      </c>
      <c r="K1142" s="24"/>
      <c r="L1142" s="24" t="s">
        <v>99</v>
      </c>
    </row>
    <row r="1143">
      <c r="A1143" s="24">
        <f t="shared" si="1"/>
        <v>1142</v>
      </c>
      <c r="B1143" s="24" t="s">
        <v>532</v>
      </c>
      <c r="C1143" s="275">
        <v>42928.0</v>
      </c>
      <c r="D1143" s="24" t="str">
        <f t="shared" si="35"/>
        <v>Jul-2017</v>
      </c>
      <c r="E1143" s="24" t="s">
        <v>32</v>
      </c>
      <c r="F1143" s="24" t="s">
        <v>35</v>
      </c>
      <c r="G1143" s="23" t="s">
        <v>163</v>
      </c>
      <c r="H1143" s="24" t="s">
        <v>44</v>
      </c>
      <c r="I1143" s="24" t="s">
        <v>9</v>
      </c>
      <c r="J1143" s="24" t="s">
        <v>30</v>
      </c>
      <c r="K1143" s="24"/>
      <c r="L1143" s="24" t="s">
        <v>106</v>
      </c>
    </row>
    <row r="1144">
      <c r="A1144" s="24">
        <f t="shared" si="1"/>
        <v>1143</v>
      </c>
      <c r="B1144" s="24" t="s">
        <v>532</v>
      </c>
      <c r="C1144" s="275">
        <v>42928.0</v>
      </c>
      <c r="D1144" s="24" t="str">
        <f>TEXT(C1141:C1144, "mmm") &amp; "-" &amp; TEXT(C1141:C1144, "yyyy") </f>
        <v>Jul-2017</v>
      </c>
      <c r="E1144" s="24" t="s">
        <v>20</v>
      </c>
      <c r="F1144" s="24" t="s">
        <v>35</v>
      </c>
      <c r="G1144" s="23" t="s">
        <v>94</v>
      </c>
      <c r="H1144" s="24" t="s">
        <v>44</v>
      </c>
      <c r="I1144" s="24" t="s">
        <v>9</v>
      </c>
      <c r="J1144" s="24" t="s">
        <v>24</v>
      </c>
      <c r="K1144" s="24" t="s">
        <v>24</v>
      </c>
      <c r="L1144" s="24" t="s">
        <v>98</v>
      </c>
    </row>
    <row r="1145">
      <c r="A1145" s="24">
        <f t="shared" si="1"/>
        <v>1144</v>
      </c>
      <c r="B1145" s="24" t="s">
        <v>532</v>
      </c>
      <c r="C1145" s="275">
        <v>42928.0</v>
      </c>
      <c r="D1145" s="24" t="str">
        <f>TEXT(C1139:C1145, "mmm") &amp; "-" &amp; TEXT(C1139:C1145, "yyyy") </f>
        <v>Jul-2017</v>
      </c>
      <c r="E1145" s="24" t="s">
        <v>25</v>
      </c>
      <c r="F1145" s="24" t="s">
        <v>35</v>
      </c>
      <c r="G1145" s="23" t="s">
        <v>94</v>
      </c>
      <c r="H1145" s="24" t="s">
        <v>44</v>
      </c>
      <c r="I1145" s="24" t="s">
        <v>9</v>
      </c>
      <c r="J1145" s="24" t="s">
        <v>24</v>
      </c>
      <c r="K1145" s="24"/>
      <c r="L1145" s="24" t="s">
        <v>106</v>
      </c>
    </row>
    <row r="1146">
      <c r="A1146" s="24">
        <f t="shared" si="1"/>
        <v>1145</v>
      </c>
      <c r="B1146" s="24" t="s">
        <v>534</v>
      </c>
      <c r="C1146" s="275">
        <v>42940.0</v>
      </c>
      <c r="D1146" s="24" t="str">
        <f t="shared" ref="D1146:D1148" si="36">TEXT(C1144:C1146, "mmm") &amp; "-" &amp; TEXT(C1144:C1146, "yyyy") </f>
        <v>Jul-2017</v>
      </c>
      <c r="E1146" s="24" t="s">
        <v>20</v>
      </c>
      <c r="F1146" s="24" t="s">
        <v>35</v>
      </c>
      <c r="G1146" s="23" t="s">
        <v>535</v>
      </c>
      <c r="H1146" s="24" t="s">
        <v>216</v>
      </c>
      <c r="I1146" s="24" t="s">
        <v>9</v>
      </c>
      <c r="J1146" s="24" t="s">
        <v>30</v>
      </c>
      <c r="K1146" s="24" t="s">
        <v>30</v>
      </c>
      <c r="L1146" s="24" t="s">
        <v>37</v>
      </c>
    </row>
    <row r="1147">
      <c r="A1147" s="24">
        <f t="shared" si="1"/>
        <v>1146</v>
      </c>
      <c r="B1147" s="24" t="s">
        <v>534</v>
      </c>
      <c r="C1147" s="275">
        <v>42940.0</v>
      </c>
      <c r="D1147" s="24" t="str">
        <f t="shared" si="36"/>
        <v>Jul-2017</v>
      </c>
      <c r="E1147" s="24" t="s">
        <v>25</v>
      </c>
      <c r="F1147" s="24" t="s">
        <v>35</v>
      </c>
      <c r="G1147" s="23" t="s">
        <v>535</v>
      </c>
      <c r="H1147" s="24" t="s">
        <v>216</v>
      </c>
      <c r="I1147" s="24" t="s">
        <v>9</v>
      </c>
      <c r="J1147" s="24" t="s">
        <v>30</v>
      </c>
      <c r="K1147" s="24"/>
      <c r="L1147" s="24" t="s">
        <v>99</v>
      </c>
    </row>
    <row r="1148">
      <c r="A1148" s="24">
        <f t="shared" si="1"/>
        <v>1147</v>
      </c>
      <c r="B1148" s="24" t="s">
        <v>534</v>
      </c>
      <c r="C1148" s="275">
        <v>42940.0</v>
      </c>
      <c r="D1148" s="24" t="str">
        <f t="shared" si="36"/>
        <v>Jul-2017</v>
      </c>
      <c r="E1148" s="24" t="s">
        <v>20</v>
      </c>
      <c r="F1148" s="24" t="s">
        <v>35</v>
      </c>
      <c r="G1148" s="23" t="s">
        <v>112</v>
      </c>
      <c r="H1148" s="24" t="s">
        <v>86</v>
      </c>
      <c r="I1148" s="24" t="s">
        <v>9</v>
      </c>
      <c r="J1148" s="24" t="s">
        <v>30</v>
      </c>
      <c r="K1148" s="24" t="s">
        <v>30</v>
      </c>
      <c r="L1148" s="24" t="s">
        <v>69</v>
      </c>
    </row>
    <row r="1149">
      <c r="A1149" s="24">
        <f t="shared" si="1"/>
        <v>1148</v>
      </c>
      <c r="B1149" s="24" t="s">
        <v>534</v>
      </c>
      <c r="C1149" s="275">
        <v>42940.0</v>
      </c>
      <c r="D1149" s="24" t="str">
        <f t="shared" ref="D1149:D1153" si="37">TEXT(C1146:C1149, "mmm") &amp; "-" &amp; TEXT(C1146:C1149, "yyyy") </f>
        <v>Jul-2017</v>
      </c>
      <c r="E1149" s="24" t="s">
        <v>25</v>
      </c>
      <c r="F1149" s="24" t="s">
        <v>35</v>
      </c>
      <c r="G1149" s="23" t="s">
        <v>112</v>
      </c>
      <c r="H1149" s="24" t="s">
        <v>86</v>
      </c>
      <c r="I1149" s="24" t="s">
        <v>9</v>
      </c>
      <c r="J1149" s="24" t="s">
        <v>30</v>
      </c>
      <c r="K1149" s="24"/>
      <c r="L1149" s="24" t="s">
        <v>98</v>
      </c>
    </row>
    <row r="1150">
      <c r="A1150" s="24">
        <f t="shared" si="1"/>
        <v>1149</v>
      </c>
      <c r="B1150" s="24" t="s">
        <v>534</v>
      </c>
      <c r="C1150" s="275">
        <v>42940.0</v>
      </c>
      <c r="D1150" s="24" t="str">
        <f t="shared" si="37"/>
        <v>Jul-2017</v>
      </c>
      <c r="E1150" s="24" t="s">
        <v>20</v>
      </c>
      <c r="F1150" s="24" t="s">
        <v>35</v>
      </c>
      <c r="G1150" s="23" t="s">
        <v>536</v>
      </c>
      <c r="H1150" s="24" t="s">
        <v>27</v>
      </c>
      <c r="I1150" s="24" t="s">
        <v>9</v>
      </c>
      <c r="J1150" s="24" t="s">
        <v>24</v>
      </c>
      <c r="K1150" s="24" t="s">
        <v>24</v>
      </c>
      <c r="L1150" s="24" t="s">
        <v>98</v>
      </c>
    </row>
    <row r="1151">
      <c r="A1151" s="24">
        <f t="shared" si="1"/>
        <v>1150</v>
      </c>
      <c r="B1151" s="24" t="s">
        <v>534</v>
      </c>
      <c r="C1151" s="275">
        <v>42940.0</v>
      </c>
      <c r="D1151" s="24" t="str">
        <f t="shared" si="37"/>
        <v>Jul-2017</v>
      </c>
      <c r="E1151" s="24" t="s">
        <v>25</v>
      </c>
      <c r="F1151" s="24" t="s">
        <v>35</v>
      </c>
      <c r="G1151" s="23" t="s">
        <v>536</v>
      </c>
      <c r="H1151" s="24" t="s">
        <v>27</v>
      </c>
      <c r="I1151" s="24" t="s">
        <v>9</v>
      </c>
      <c r="J1151" s="24" t="s">
        <v>24</v>
      </c>
      <c r="K1151" s="24"/>
      <c r="L1151" s="24" t="s">
        <v>69</v>
      </c>
    </row>
    <row r="1152">
      <c r="A1152" s="24">
        <f t="shared" si="1"/>
        <v>1151</v>
      </c>
      <c r="B1152" s="24" t="s">
        <v>534</v>
      </c>
      <c r="C1152" s="275">
        <v>42940.0</v>
      </c>
      <c r="D1152" s="24" t="str">
        <f t="shared" si="37"/>
        <v>Jul-2017</v>
      </c>
      <c r="E1152" s="24" t="s">
        <v>20</v>
      </c>
      <c r="F1152" s="24" t="s">
        <v>35</v>
      </c>
      <c r="G1152" s="23" t="s">
        <v>231</v>
      </c>
      <c r="H1152" s="24" t="s">
        <v>9</v>
      </c>
      <c r="I1152" s="24" t="s">
        <v>9</v>
      </c>
      <c r="J1152" s="24" t="s">
        <v>24</v>
      </c>
      <c r="K1152" s="24" t="s">
        <v>24</v>
      </c>
      <c r="L1152" s="24" t="s">
        <v>69</v>
      </c>
    </row>
    <row r="1153">
      <c r="A1153" s="24">
        <f t="shared" si="1"/>
        <v>1152</v>
      </c>
      <c r="B1153" s="24" t="s">
        <v>534</v>
      </c>
      <c r="C1153" s="275">
        <v>42940.0</v>
      </c>
      <c r="D1153" s="24" t="str">
        <f t="shared" si="37"/>
        <v>Jul-2017</v>
      </c>
      <c r="E1153" s="24" t="s">
        <v>25</v>
      </c>
      <c r="F1153" s="24" t="s">
        <v>35</v>
      </c>
      <c r="G1153" s="23" t="s">
        <v>231</v>
      </c>
      <c r="H1153" s="24" t="s">
        <v>9</v>
      </c>
      <c r="I1153" s="24" t="s">
        <v>9</v>
      </c>
      <c r="J1153" s="24" t="s">
        <v>24</v>
      </c>
      <c r="K1153" s="24"/>
      <c r="L1153" s="24" t="s">
        <v>98</v>
      </c>
    </row>
    <row r="1154">
      <c r="A1154" s="24">
        <f t="shared" si="1"/>
        <v>1153</v>
      </c>
      <c r="B1154" s="24" t="s">
        <v>537</v>
      </c>
      <c r="C1154" s="275">
        <v>42941.0</v>
      </c>
      <c r="D1154" s="24" t="str">
        <f t="shared" ref="D1154:D1156" si="38">TEXT(C1152:C1154, "mmm") &amp; "-" &amp; TEXT(C1152:C1154, "yyyy") </f>
        <v>Jul-2017</v>
      </c>
      <c r="E1154" s="24" t="s">
        <v>20</v>
      </c>
      <c r="F1154" s="24" t="s">
        <v>35</v>
      </c>
      <c r="G1154" s="23" t="s">
        <v>133</v>
      </c>
      <c r="H1154" s="24" t="s">
        <v>86</v>
      </c>
      <c r="I1154" s="24" t="s">
        <v>9</v>
      </c>
      <c r="J1154" s="24" t="s">
        <v>24</v>
      </c>
      <c r="K1154" s="24" t="s">
        <v>30</v>
      </c>
      <c r="L1154" s="24" t="s">
        <v>69</v>
      </c>
    </row>
    <row r="1155">
      <c r="A1155" s="24">
        <f t="shared" si="1"/>
        <v>1154</v>
      </c>
      <c r="B1155" s="24" t="s">
        <v>537</v>
      </c>
      <c r="C1155" s="275">
        <v>42941.0</v>
      </c>
      <c r="D1155" s="24" t="str">
        <f t="shared" si="38"/>
        <v>Jul-2017</v>
      </c>
      <c r="E1155" s="24" t="s">
        <v>25</v>
      </c>
      <c r="F1155" s="24" t="s">
        <v>35</v>
      </c>
      <c r="G1155" s="23" t="s">
        <v>133</v>
      </c>
      <c r="H1155" s="24" t="s">
        <v>86</v>
      </c>
      <c r="I1155" s="24" t="s">
        <v>27</v>
      </c>
      <c r="J1155" s="24" t="s">
        <v>30</v>
      </c>
      <c r="K1155" s="24"/>
      <c r="L1155" s="24" t="s">
        <v>99</v>
      </c>
    </row>
    <row r="1156">
      <c r="A1156" s="24">
        <f t="shared" si="1"/>
        <v>1155</v>
      </c>
      <c r="B1156" s="24" t="s">
        <v>537</v>
      </c>
      <c r="C1156" s="275">
        <v>42941.0</v>
      </c>
      <c r="D1156" s="24" t="str">
        <f t="shared" si="38"/>
        <v>Jul-2017</v>
      </c>
      <c r="E1156" s="24" t="s">
        <v>32</v>
      </c>
      <c r="F1156" s="24" t="s">
        <v>35</v>
      </c>
      <c r="G1156" s="23" t="s">
        <v>133</v>
      </c>
      <c r="H1156" s="24" t="s">
        <v>86</v>
      </c>
      <c r="I1156" s="24" t="s">
        <v>9</v>
      </c>
      <c r="J1156" s="24" t="s">
        <v>30</v>
      </c>
      <c r="K1156" s="24"/>
      <c r="L1156" s="24" t="s">
        <v>98</v>
      </c>
    </row>
    <row r="1157">
      <c r="A1157" s="24">
        <f t="shared" si="1"/>
        <v>1156</v>
      </c>
      <c r="B1157" s="24" t="s">
        <v>537</v>
      </c>
      <c r="C1157" s="275">
        <v>42941.0</v>
      </c>
      <c r="D1157" s="24" t="str">
        <f t="shared" ref="D1157:D1160" si="39">TEXT(C1154:C1157, "mmm") &amp; "-" &amp; TEXT(C1154:C1157, "yyyy") </f>
        <v>Jul-2017</v>
      </c>
      <c r="E1157" s="24" t="s">
        <v>20</v>
      </c>
      <c r="F1157" s="24" t="s">
        <v>35</v>
      </c>
      <c r="G1157" s="23" t="s">
        <v>36</v>
      </c>
      <c r="H1157" s="24" t="s">
        <v>27</v>
      </c>
      <c r="I1157" s="24" t="s">
        <v>9</v>
      </c>
      <c r="J1157" s="24" t="s">
        <v>24</v>
      </c>
      <c r="K1157" s="24" t="s">
        <v>24</v>
      </c>
      <c r="L1157" s="24" t="s">
        <v>37</v>
      </c>
    </row>
    <row r="1158">
      <c r="A1158" s="24">
        <f t="shared" si="1"/>
        <v>1157</v>
      </c>
      <c r="B1158" s="24" t="s">
        <v>537</v>
      </c>
      <c r="C1158" s="275">
        <v>42941.0</v>
      </c>
      <c r="D1158" s="24" t="str">
        <f t="shared" si="39"/>
        <v>Jul-2017</v>
      </c>
      <c r="E1158" s="24" t="s">
        <v>25</v>
      </c>
      <c r="F1158" s="24" t="s">
        <v>35</v>
      </c>
      <c r="G1158" s="23" t="s">
        <v>36</v>
      </c>
      <c r="H1158" s="24" t="s">
        <v>27</v>
      </c>
      <c r="I1158" s="24" t="s">
        <v>9</v>
      </c>
      <c r="J1158" s="24" t="s">
        <v>24</v>
      </c>
      <c r="K1158" s="24"/>
      <c r="L1158" s="24" t="s">
        <v>69</v>
      </c>
    </row>
    <row r="1159">
      <c r="A1159" s="24">
        <f t="shared" si="1"/>
        <v>1158</v>
      </c>
      <c r="B1159" s="24" t="s">
        <v>537</v>
      </c>
      <c r="C1159" s="275">
        <v>42941.0</v>
      </c>
      <c r="D1159" s="24" t="str">
        <f t="shared" si="39"/>
        <v>Jul-2017</v>
      </c>
      <c r="E1159" s="24" t="s">
        <v>20</v>
      </c>
      <c r="F1159" s="24" t="s">
        <v>35</v>
      </c>
      <c r="G1159" s="23" t="s">
        <v>393</v>
      </c>
      <c r="H1159" s="24" t="s">
        <v>102</v>
      </c>
      <c r="I1159" s="24" t="s">
        <v>9</v>
      </c>
      <c r="J1159" s="24" t="s">
        <v>24</v>
      </c>
      <c r="K1159" s="24" t="s">
        <v>24</v>
      </c>
      <c r="L1159" s="24" t="s">
        <v>98</v>
      </c>
    </row>
    <row r="1160">
      <c r="A1160" s="24">
        <f t="shared" si="1"/>
        <v>1159</v>
      </c>
      <c r="B1160" s="24" t="s">
        <v>537</v>
      </c>
      <c r="C1160" s="275">
        <v>42941.0</v>
      </c>
      <c r="D1160" s="24" t="str">
        <f t="shared" si="39"/>
        <v>Jul-2017</v>
      </c>
      <c r="E1160" s="24" t="s">
        <v>25</v>
      </c>
      <c r="F1160" s="24" t="s">
        <v>35</v>
      </c>
      <c r="G1160" s="23" t="s">
        <v>393</v>
      </c>
      <c r="H1160" s="24" t="s">
        <v>102</v>
      </c>
      <c r="I1160" s="24" t="s">
        <v>9</v>
      </c>
      <c r="J1160" s="24" t="s">
        <v>24</v>
      </c>
      <c r="K1160" s="24"/>
      <c r="L1160" s="24" t="s">
        <v>106</v>
      </c>
    </row>
    <row r="1161">
      <c r="A1161" s="24">
        <f t="shared" si="1"/>
        <v>1160</v>
      </c>
      <c r="B1161" s="24" t="s">
        <v>538</v>
      </c>
      <c r="C1161" s="275">
        <v>42944.0</v>
      </c>
      <c r="D1161" s="24" t="str">
        <f t="shared" ref="D1161:D1163" si="40">TEXT(C1159:C1161, "mmm") &amp; "-" &amp; TEXT(C1159:C1161, "yyyy") </f>
        <v>Jul-2017</v>
      </c>
      <c r="E1161" s="24" t="s">
        <v>20</v>
      </c>
      <c r="F1161" s="24" t="s">
        <v>35</v>
      </c>
      <c r="G1161" s="23" t="s">
        <v>520</v>
      </c>
      <c r="H1161" s="24" t="s">
        <v>86</v>
      </c>
      <c r="I1161" s="24" t="s">
        <v>9</v>
      </c>
      <c r="J1161" s="24" t="s">
        <v>30</v>
      </c>
      <c r="K1161" s="24" t="s">
        <v>30</v>
      </c>
      <c r="L1161" s="24" t="s">
        <v>29</v>
      </c>
    </row>
    <row r="1162">
      <c r="A1162" s="24">
        <f t="shared" si="1"/>
        <v>1161</v>
      </c>
      <c r="B1162" s="24" t="s">
        <v>538</v>
      </c>
      <c r="C1162" s="275">
        <v>42944.0</v>
      </c>
      <c r="D1162" s="24" t="str">
        <f t="shared" si="40"/>
        <v>Jul-2017</v>
      </c>
      <c r="E1162" s="24" t="s">
        <v>25</v>
      </c>
      <c r="F1162" s="24" t="s">
        <v>35</v>
      </c>
      <c r="G1162" s="23" t="s">
        <v>520</v>
      </c>
      <c r="H1162" s="24" t="s">
        <v>86</v>
      </c>
      <c r="I1162" s="24" t="s">
        <v>9</v>
      </c>
      <c r="J1162" s="24" t="s">
        <v>30</v>
      </c>
      <c r="K1162" s="24"/>
      <c r="L1162" s="24" t="s">
        <v>98</v>
      </c>
    </row>
    <row r="1163">
      <c r="A1163" s="24">
        <f t="shared" si="1"/>
        <v>1162</v>
      </c>
      <c r="B1163" s="24" t="s">
        <v>538</v>
      </c>
      <c r="C1163" s="275">
        <v>42944.0</v>
      </c>
      <c r="D1163" s="24" t="str">
        <f t="shared" si="40"/>
        <v>Jul-2017</v>
      </c>
      <c r="E1163" s="24" t="s">
        <v>20</v>
      </c>
      <c r="F1163" s="24" t="s">
        <v>35</v>
      </c>
      <c r="G1163" s="23" t="s">
        <v>536</v>
      </c>
      <c r="H1163" s="24" t="s">
        <v>9</v>
      </c>
      <c r="I1163" s="24" t="s">
        <v>9</v>
      </c>
      <c r="J1163" s="24" t="s">
        <v>24</v>
      </c>
      <c r="K1163" s="24" t="s">
        <v>24</v>
      </c>
      <c r="L1163" s="24" t="s">
        <v>98</v>
      </c>
    </row>
    <row r="1164">
      <c r="A1164" s="24">
        <f t="shared" si="1"/>
        <v>1163</v>
      </c>
      <c r="B1164" s="24" t="s">
        <v>538</v>
      </c>
      <c r="C1164" s="275">
        <v>42944.0</v>
      </c>
      <c r="D1164" s="24" t="str">
        <f t="shared" ref="D1164:D1172" si="41">TEXT(C1161:C1164, "mmm") &amp; "-" &amp; TEXT(C1161:C1164, "yyyy") </f>
        <v>Jul-2017</v>
      </c>
      <c r="E1164" s="24" t="s">
        <v>25</v>
      </c>
      <c r="F1164" s="24" t="s">
        <v>35</v>
      </c>
      <c r="G1164" s="23" t="s">
        <v>536</v>
      </c>
      <c r="H1164" s="24" t="s">
        <v>9</v>
      </c>
      <c r="I1164" s="24" t="s">
        <v>9</v>
      </c>
      <c r="J1164" s="24" t="s">
        <v>24</v>
      </c>
      <c r="K1164" s="24"/>
      <c r="L1164" s="24" t="s">
        <v>69</v>
      </c>
    </row>
    <row r="1165">
      <c r="A1165" s="24">
        <f t="shared" si="1"/>
        <v>1164</v>
      </c>
      <c r="B1165" s="24" t="s">
        <v>538</v>
      </c>
      <c r="C1165" s="275">
        <v>42944.0</v>
      </c>
      <c r="D1165" s="24" t="str">
        <f t="shared" si="41"/>
        <v>Jul-2017</v>
      </c>
      <c r="E1165" s="24" t="s">
        <v>20</v>
      </c>
      <c r="F1165" s="24" t="s">
        <v>35</v>
      </c>
      <c r="G1165" s="23" t="s">
        <v>539</v>
      </c>
      <c r="H1165" s="24" t="s">
        <v>71</v>
      </c>
      <c r="I1165" s="24" t="s">
        <v>9</v>
      </c>
      <c r="J1165" s="24" t="s">
        <v>30</v>
      </c>
      <c r="K1165" s="24" t="s">
        <v>30</v>
      </c>
      <c r="L1165" s="24" t="s">
        <v>99</v>
      </c>
    </row>
    <row r="1166">
      <c r="A1166" s="24">
        <f t="shared" si="1"/>
        <v>1165</v>
      </c>
      <c r="B1166" s="24" t="s">
        <v>538</v>
      </c>
      <c r="C1166" s="275">
        <v>42944.0</v>
      </c>
      <c r="D1166" s="24" t="str">
        <f t="shared" si="41"/>
        <v>Jul-2017</v>
      </c>
      <c r="E1166" s="24" t="s">
        <v>25</v>
      </c>
      <c r="F1166" s="24" t="s">
        <v>35</v>
      </c>
      <c r="G1166" s="23" t="s">
        <v>539</v>
      </c>
      <c r="H1166" s="24" t="s">
        <v>71</v>
      </c>
      <c r="I1166" s="24" t="s">
        <v>9</v>
      </c>
      <c r="J1166" s="24" t="s">
        <v>30</v>
      </c>
      <c r="K1166" s="24"/>
      <c r="L1166" s="24" t="s">
        <v>69</v>
      </c>
    </row>
    <row r="1167">
      <c r="A1167" s="24">
        <f t="shared" si="1"/>
        <v>1166</v>
      </c>
      <c r="B1167" s="24" t="s">
        <v>538</v>
      </c>
      <c r="C1167" s="275">
        <v>42944.0</v>
      </c>
      <c r="D1167" s="24" t="str">
        <f t="shared" si="41"/>
        <v>Jul-2017</v>
      </c>
      <c r="E1167" s="24" t="s">
        <v>20</v>
      </c>
      <c r="F1167" s="24" t="s">
        <v>35</v>
      </c>
      <c r="G1167" s="23" t="s">
        <v>442</v>
      </c>
      <c r="H1167" s="24" t="s">
        <v>71</v>
      </c>
      <c r="I1167" s="24" t="s">
        <v>9</v>
      </c>
      <c r="J1167" s="24" t="s">
        <v>30</v>
      </c>
      <c r="K1167" s="24" t="s">
        <v>30</v>
      </c>
      <c r="L1167" s="24" t="s">
        <v>99</v>
      </c>
    </row>
    <row r="1168">
      <c r="A1168" s="24">
        <f t="shared" si="1"/>
        <v>1167</v>
      </c>
      <c r="B1168" s="24" t="s">
        <v>538</v>
      </c>
      <c r="C1168" s="275">
        <v>42944.0</v>
      </c>
      <c r="D1168" s="24" t="str">
        <f t="shared" si="41"/>
        <v>Jul-2017</v>
      </c>
      <c r="E1168" s="24" t="s">
        <v>25</v>
      </c>
      <c r="F1168" s="24" t="s">
        <v>35</v>
      </c>
      <c r="G1168" s="23" t="s">
        <v>442</v>
      </c>
      <c r="H1168" s="24" t="s">
        <v>71</v>
      </c>
      <c r="I1168" s="24" t="s">
        <v>9</v>
      </c>
      <c r="J1168" s="24" t="s">
        <v>30</v>
      </c>
      <c r="K1168" s="24"/>
      <c r="L1168" s="24" t="s">
        <v>37</v>
      </c>
    </row>
    <row r="1169">
      <c r="A1169" s="24">
        <f t="shared" si="1"/>
        <v>1168</v>
      </c>
      <c r="B1169" s="24" t="s">
        <v>538</v>
      </c>
      <c r="C1169" s="275">
        <v>42944.0</v>
      </c>
      <c r="D1169" s="24" t="str">
        <f t="shared" si="41"/>
        <v>Jul-2017</v>
      </c>
      <c r="E1169" s="24" t="s">
        <v>20</v>
      </c>
      <c r="F1169" s="24" t="s">
        <v>35</v>
      </c>
      <c r="G1169" s="23" t="s">
        <v>36</v>
      </c>
      <c r="H1169" s="24" t="s">
        <v>27</v>
      </c>
      <c r="I1169" s="24" t="s">
        <v>9</v>
      </c>
      <c r="J1169" s="24" t="s">
        <v>30</v>
      </c>
      <c r="K1169" s="24" t="s">
        <v>30</v>
      </c>
      <c r="L1169" s="24" t="s">
        <v>37</v>
      </c>
    </row>
    <row r="1170">
      <c r="A1170" s="24">
        <f t="shared" si="1"/>
        <v>1169</v>
      </c>
      <c r="B1170" s="24" t="s">
        <v>538</v>
      </c>
      <c r="C1170" s="275">
        <v>42944.0</v>
      </c>
      <c r="D1170" s="24" t="str">
        <f t="shared" si="41"/>
        <v>Jul-2017</v>
      </c>
      <c r="E1170" s="24" t="s">
        <v>25</v>
      </c>
      <c r="F1170" s="24" t="s">
        <v>35</v>
      </c>
      <c r="G1170" s="23" t="s">
        <v>36</v>
      </c>
      <c r="H1170" s="24" t="s">
        <v>27</v>
      </c>
      <c r="I1170" s="24" t="s">
        <v>9</v>
      </c>
      <c r="J1170" s="24" t="s">
        <v>30</v>
      </c>
      <c r="K1170" s="24"/>
      <c r="L1170" s="24" t="s">
        <v>37</v>
      </c>
    </row>
    <row r="1171">
      <c r="A1171" s="24">
        <f t="shared" si="1"/>
        <v>1170</v>
      </c>
      <c r="B1171" s="24" t="s">
        <v>538</v>
      </c>
      <c r="C1171" s="275">
        <v>42944.0</v>
      </c>
      <c r="D1171" s="24" t="str">
        <f t="shared" si="41"/>
        <v>Jul-2017</v>
      </c>
      <c r="E1171" s="24" t="s">
        <v>20</v>
      </c>
      <c r="F1171" s="24" t="s">
        <v>35</v>
      </c>
      <c r="G1171" s="23" t="s">
        <v>536</v>
      </c>
      <c r="H1171" s="24" t="s">
        <v>9</v>
      </c>
      <c r="I1171" s="24" t="s">
        <v>9</v>
      </c>
      <c r="J1171" s="24" t="s">
        <v>24</v>
      </c>
      <c r="K1171" s="24" t="s">
        <v>24</v>
      </c>
      <c r="L1171" s="24" t="s">
        <v>69</v>
      </c>
    </row>
    <row r="1172">
      <c r="A1172" s="24">
        <f t="shared" si="1"/>
        <v>1171</v>
      </c>
      <c r="B1172" s="24" t="s">
        <v>538</v>
      </c>
      <c r="C1172" s="275">
        <v>42944.0</v>
      </c>
      <c r="D1172" s="24" t="str">
        <f t="shared" si="41"/>
        <v>Jul-2017</v>
      </c>
      <c r="E1172" s="24" t="s">
        <v>25</v>
      </c>
      <c r="F1172" s="24" t="s">
        <v>35</v>
      </c>
      <c r="G1172" s="23" t="s">
        <v>536</v>
      </c>
      <c r="H1172" s="24" t="s">
        <v>9</v>
      </c>
      <c r="I1172" s="24" t="s">
        <v>9</v>
      </c>
      <c r="J1172" s="24" t="s">
        <v>24</v>
      </c>
      <c r="K1172" s="24"/>
      <c r="L1172" s="24" t="s">
        <v>99</v>
      </c>
    </row>
    <row r="1173">
      <c r="A1173" s="24">
        <f t="shared" si="1"/>
        <v>1172</v>
      </c>
      <c r="B1173" s="24" t="s">
        <v>540</v>
      </c>
      <c r="C1173" s="275">
        <v>42949.0</v>
      </c>
      <c r="D1173" s="24" t="str">
        <f t="shared" ref="D1173:D1175" si="42">TEXT(C1171:C1173, "mmm") &amp; "-" &amp; TEXT(C1171:C1173, "yyyy") </f>
        <v>Aug-2017</v>
      </c>
      <c r="E1173" s="24" t="s">
        <v>20</v>
      </c>
      <c r="F1173" s="24" t="s">
        <v>35</v>
      </c>
      <c r="G1173" s="23" t="s">
        <v>133</v>
      </c>
      <c r="H1173" s="24" t="s">
        <v>86</v>
      </c>
      <c r="I1173" s="24" t="s">
        <v>9</v>
      </c>
      <c r="J1173" s="24" t="s">
        <v>30</v>
      </c>
      <c r="K1173" s="24" t="s">
        <v>30</v>
      </c>
      <c r="L1173" s="24" t="s">
        <v>69</v>
      </c>
    </row>
    <row r="1174">
      <c r="A1174" s="24">
        <f t="shared" si="1"/>
        <v>1173</v>
      </c>
      <c r="B1174" s="24" t="s">
        <v>540</v>
      </c>
      <c r="C1174" s="275">
        <v>42949.0</v>
      </c>
      <c r="D1174" s="24" t="str">
        <f t="shared" si="42"/>
        <v>Aug-2017</v>
      </c>
      <c r="E1174" s="24" t="s">
        <v>25</v>
      </c>
      <c r="F1174" s="24" t="s">
        <v>35</v>
      </c>
      <c r="G1174" s="23" t="s">
        <v>133</v>
      </c>
      <c r="H1174" s="24" t="s">
        <v>86</v>
      </c>
      <c r="I1174" s="24" t="s">
        <v>9</v>
      </c>
      <c r="J1174" s="24" t="s">
        <v>24</v>
      </c>
      <c r="K1174" s="24"/>
      <c r="L1174" s="24" t="s">
        <v>98</v>
      </c>
    </row>
    <row r="1175">
      <c r="A1175" s="24">
        <f t="shared" si="1"/>
        <v>1174</v>
      </c>
      <c r="B1175" s="24" t="s">
        <v>540</v>
      </c>
      <c r="C1175" s="275">
        <v>42949.0</v>
      </c>
      <c r="D1175" s="24" t="str">
        <f t="shared" si="42"/>
        <v>Aug-2017</v>
      </c>
      <c r="E1175" s="24" t="s">
        <v>32</v>
      </c>
      <c r="F1175" s="24" t="s">
        <v>35</v>
      </c>
      <c r="G1175" s="23" t="s">
        <v>133</v>
      </c>
      <c r="H1175" s="24" t="s">
        <v>86</v>
      </c>
      <c r="I1175" s="24" t="s">
        <v>9</v>
      </c>
      <c r="J1175" s="24" t="s">
        <v>30</v>
      </c>
      <c r="K1175" s="24"/>
      <c r="L1175" s="24" t="s">
        <v>29</v>
      </c>
    </row>
    <row r="1176">
      <c r="A1176" s="24">
        <f t="shared" si="1"/>
        <v>1175</v>
      </c>
      <c r="B1176" s="24" t="s">
        <v>540</v>
      </c>
      <c r="C1176" s="275">
        <v>42949.0</v>
      </c>
      <c r="D1176" s="24" t="str">
        <f t="shared" ref="D1176:D1180" si="43">TEXT(C1173:C1176, "mmm") &amp; "-" &amp; TEXT(C1173:C1176, "yyyy") </f>
        <v>Aug-2017</v>
      </c>
      <c r="E1176" s="24" t="s">
        <v>20</v>
      </c>
      <c r="F1176" s="24" t="s">
        <v>35</v>
      </c>
      <c r="G1176" s="23" t="s">
        <v>541</v>
      </c>
      <c r="H1176" s="24" t="s">
        <v>139</v>
      </c>
      <c r="I1176" s="24" t="s">
        <v>9</v>
      </c>
      <c r="J1176" s="24" t="s">
        <v>24</v>
      </c>
      <c r="K1176" s="24" t="s">
        <v>24</v>
      </c>
      <c r="L1176" s="24" t="s">
        <v>37</v>
      </c>
    </row>
    <row r="1177">
      <c r="A1177" s="24">
        <f t="shared" si="1"/>
        <v>1176</v>
      </c>
      <c r="B1177" s="24" t="s">
        <v>540</v>
      </c>
      <c r="C1177" s="275">
        <v>42949.0</v>
      </c>
      <c r="D1177" s="24" t="str">
        <f t="shared" si="43"/>
        <v>Aug-2017</v>
      </c>
      <c r="E1177" s="24" t="s">
        <v>25</v>
      </c>
      <c r="F1177" s="24" t="s">
        <v>35</v>
      </c>
      <c r="G1177" s="23" t="s">
        <v>541</v>
      </c>
      <c r="H1177" s="24" t="s">
        <v>139</v>
      </c>
      <c r="I1177" s="24" t="s">
        <v>9</v>
      </c>
      <c r="J1177" s="24" t="s">
        <v>24</v>
      </c>
      <c r="K1177" s="24"/>
      <c r="L1177" s="24" t="s">
        <v>98</v>
      </c>
    </row>
    <row r="1178">
      <c r="A1178" s="24">
        <f t="shared" si="1"/>
        <v>1177</v>
      </c>
      <c r="B1178" s="24" t="s">
        <v>540</v>
      </c>
      <c r="C1178" s="275">
        <v>42949.0</v>
      </c>
      <c r="D1178" s="24" t="str">
        <f t="shared" si="43"/>
        <v>Aug-2017</v>
      </c>
      <c r="E1178" s="24" t="s">
        <v>20</v>
      </c>
      <c r="F1178" s="24" t="s">
        <v>35</v>
      </c>
      <c r="G1178" s="23" t="s">
        <v>442</v>
      </c>
      <c r="H1178" s="24" t="s">
        <v>71</v>
      </c>
      <c r="I1178" s="24" t="s">
        <v>9</v>
      </c>
      <c r="J1178" s="24" t="s">
        <v>24</v>
      </c>
      <c r="K1178" s="24" t="s">
        <v>24</v>
      </c>
      <c r="L1178" s="24" t="s">
        <v>99</v>
      </c>
    </row>
    <row r="1179">
      <c r="A1179" s="24">
        <f t="shared" si="1"/>
        <v>1178</v>
      </c>
      <c r="B1179" s="24" t="s">
        <v>540</v>
      </c>
      <c r="C1179" s="275">
        <v>42949.0</v>
      </c>
      <c r="D1179" s="24" t="str">
        <f t="shared" si="43"/>
        <v>Aug-2017</v>
      </c>
      <c r="E1179" s="24" t="s">
        <v>25</v>
      </c>
      <c r="F1179" s="24" t="s">
        <v>35</v>
      </c>
      <c r="G1179" s="23" t="s">
        <v>442</v>
      </c>
      <c r="H1179" s="24" t="s">
        <v>71</v>
      </c>
      <c r="I1179" s="24" t="s">
        <v>9</v>
      </c>
      <c r="J1179" s="24" t="s">
        <v>30</v>
      </c>
      <c r="K1179" s="24"/>
      <c r="L1179" s="24" t="s">
        <v>106</v>
      </c>
    </row>
    <row r="1180">
      <c r="A1180" s="24">
        <f t="shared" si="1"/>
        <v>1179</v>
      </c>
      <c r="B1180" s="24" t="s">
        <v>540</v>
      </c>
      <c r="C1180" s="275">
        <v>42949.0</v>
      </c>
      <c r="D1180" s="24" t="str">
        <f t="shared" si="43"/>
        <v>Aug-2017</v>
      </c>
      <c r="E1180" s="24" t="s">
        <v>32</v>
      </c>
      <c r="F1180" s="24" t="s">
        <v>35</v>
      </c>
      <c r="G1180" s="23" t="s">
        <v>442</v>
      </c>
      <c r="H1180" s="24" t="s">
        <v>71</v>
      </c>
      <c r="I1180" s="24" t="s">
        <v>9</v>
      </c>
      <c r="J1180" s="24" t="s">
        <v>24</v>
      </c>
      <c r="K1180" s="24"/>
      <c r="L1180" s="24" t="s">
        <v>37</v>
      </c>
    </row>
    <row r="1181">
      <c r="A1181" s="24">
        <f t="shared" si="1"/>
        <v>1180</v>
      </c>
      <c r="B1181" s="24" t="s">
        <v>542</v>
      </c>
      <c r="C1181" s="275">
        <v>42951.0</v>
      </c>
      <c r="D1181" s="24" t="str">
        <f t="shared" ref="D1181:D1183" si="44">TEXT(C1179:C1181, "mmm") &amp; "-" &amp; TEXT(C1179:C1181, "yyyy") </f>
        <v>Aug-2017</v>
      </c>
      <c r="E1181" s="24" t="s">
        <v>20</v>
      </c>
      <c r="F1181" s="24" t="s">
        <v>35</v>
      </c>
      <c r="G1181" s="23" t="s">
        <v>543</v>
      </c>
      <c r="H1181" s="24" t="s">
        <v>140</v>
      </c>
      <c r="I1181" s="24" t="s">
        <v>9</v>
      </c>
      <c r="J1181" s="24" t="s">
        <v>30</v>
      </c>
      <c r="K1181" s="24" t="s">
        <v>30</v>
      </c>
      <c r="L1181" s="24" t="s">
        <v>69</v>
      </c>
    </row>
    <row r="1182">
      <c r="A1182" s="24">
        <f t="shared" si="1"/>
        <v>1181</v>
      </c>
      <c r="B1182" s="24" t="s">
        <v>542</v>
      </c>
      <c r="C1182" s="275">
        <v>42951.0</v>
      </c>
      <c r="D1182" s="24" t="str">
        <f t="shared" si="44"/>
        <v>Aug-2017</v>
      </c>
      <c r="E1182" s="24" t="s">
        <v>25</v>
      </c>
      <c r="F1182" s="24" t="s">
        <v>35</v>
      </c>
      <c r="G1182" s="23" t="s">
        <v>543</v>
      </c>
      <c r="H1182" s="24" t="s">
        <v>140</v>
      </c>
      <c r="I1182" s="24" t="s">
        <v>9</v>
      </c>
      <c r="J1182" s="24" t="s">
        <v>30</v>
      </c>
      <c r="K1182" s="24"/>
      <c r="L1182" s="24" t="s">
        <v>29</v>
      </c>
    </row>
    <row r="1183">
      <c r="A1183" s="24">
        <f t="shared" si="1"/>
        <v>1182</v>
      </c>
      <c r="B1183" s="24" t="s">
        <v>542</v>
      </c>
      <c r="C1183" s="275">
        <v>42951.0</v>
      </c>
      <c r="D1183" s="24" t="str">
        <f t="shared" si="44"/>
        <v>Aug-2017</v>
      </c>
      <c r="E1183" s="24" t="s">
        <v>20</v>
      </c>
      <c r="F1183" s="24" t="s">
        <v>35</v>
      </c>
      <c r="G1183" s="23" t="s">
        <v>544</v>
      </c>
      <c r="H1183" s="24" t="s">
        <v>27</v>
      </c>
      <c r="I1183" s="24" t="s">
        <v>9</v>
      </c>
      <c r="J1183" s="24" t="s">
        <v>30</v>
      </c>
      <c r="K1183" s="24" t="s">
        <v>30</v>
      </c>
      <c r="L1183" s="24" t="s">
        <v>98</v>
      </c>
    </row>
    <row r="1184">
      <c r="A1184" s="24">
        <f t="shared" si="1"/>
        <v>1183</v>
      </c>
      <c r="B1184" s="24" t="s">
        <v>542</v>
      </c>
      <c r="C1184" s="275">
        <v>42951.0</v>
      </c>
      <c r="D1184" s="24" t="str">
        <f>TEXT(C1181:C1184, "mmm") &amp; "-" &amp; TEXT(C1181:C1184, "yyyy") </f>
        <v>Aug-2017</v>
      </c>
      <c r="E1184" s="24" t="s">
        <v>25</v>
      </c>
      <c r="F1184" s="24" t="s">
        <v>35</v>
      </c>
      <c r="G1184" s="23" t="s">
        <v>544</v>
      </c>
      <c r="H1184" s="24" t="s">
        <v>27</v>
      </c>
      <c r="I1184" s="24" t="s">
        <v>9</v>
      </c>
      <c r="J1184" s="24" t="s">
        <v>30</v>
      </c>
      <c r="K1184" s="24"/>
      <c r="L1184" s="24" t="s">
        <v>37</v>
      </c>
    </row>
    <row r="1185">
      <c r="A1185" s="24">
        <f t="shared" si="1"/>
        <v>1184</v>
      </c>
      <c r="B1185" s="24" t="s">
        <v>542</v>
      </c>
      <c r="C1185" s="275">
        <v>42951.0</v>
      </c>
      <c r="D1185" s="24" t="str">
        <f t="shared" ref="D1185:D1191" si="45">TEXT(C1183:C1185, "mmm") &amp; "-" &amp; TEXT(C1183:C1185, "yyyy") </f>
        <v>Aug-2017</v>
      </c>
      <c r="E1185" s="24" t="s">
        <v>20</v>
      </c>
      <c r="F1185" s="24" t="s">
        <v>35</v>
      </c>
      <c r="G1185" s="23" t="s">
        <v>239</v>
      </c>
      <c r="H1185" s="24" t="s">
        <v>27</v>
      </c>
      <c r="I1185" s="24" t="s">
        <v>9</v>
      </c>
      <c r="J1185" s="24" t="s">
        <v>24</v>
      </c>
      <c r="K1185" s="24" t="s">
        <v>24</v>
      </c>
      <c r="L1185" s="24" t="s">
        <v>69</v>
      </c>
    </row>
    <row r="1186">
      <c r="A1186" s="24">
        <f t="shared" si="1"/>
        <v>1185</v>
      </c>
      <c r="B1186" s="24" t="s">
        <v>542</v>
      </c>
      <c r="C1186" s="275">
        <v>42951.0</v>
      </c>
      <c r="D1186" s="24" t="str">
        <f t="shared" si="45"/>
        <v>Aug-2017</v>
      </c>
      <c r="E1186" s="24" t="s">
        <v>25</v>
      </c>
      <c r="F1186" s="24" t="s">
        <v>35</v>
      </c>
      <c r="G1186" s="23" t="s">
        <v>239</v>
      </c>
      <c r="H1186" s="24" t="s">
        <v>27</v>
      </c>
      <c r="I1186" s="24" t="s">
        <v>9</v>
      </c>
      <c r="J1186" s="24" t="s">
        <v>24</v>
      </c>
      <c r="K1186" s="24"/>
      <c r="L1186" s="24" t="s">
        <v>98</v>
      </c>
    </row>
    <row r="1187">
      <c r="A1187" s="24">
        <f t="shared" si="1"/>
        <v>1186</v>
      </c>
      <c r="B1187" s="24" t="s">
        <v>542</v>
      </c>
      <c r="C1187" s="275">
        <v>42951.0</v>
      </c>
      <c r="D1187" s="24" t="str">
        <f t="shared" si="45"/>
        <v>Aug-2017</v>
      </c>
      <c r="E1187" s="24" t="s">
        <v>20</v>
      </c>
      <c r="F1187" s="24" t="s">
        <v>35</v>
      </c>
      <c r="G1187" s="23" t="s">
        <v>451</v>
      </c>
      <c r="H1187" s="24" t="s">
        <v>139</v>
      </c>
      <c r="I1187" s="24" t="s">
        <v>9</v>
      </c>
      <c r="J1187" s="24" t="s">
        <v>24</v>
      </c>
      <c r="K1187" s="24" t="s">
        <v>30</v>
      </c>
      <c r="L1187" s="24" t="s">
        <v>98</v>
      </c>
    </row>
    <row r="1188">
      <c r="A1188" s="24">
        <f t="shared" si="1"/>
        <v>1187</v>
      </c>
      <c r="B1188" s="24" t="s">
        <v>542</v>
      </c>
      <c r="C1188" s="275">
        <v>42951.0</v>
      </c>
      <c r="D1188" s="24" t="str">
        <f t="shared" si="45"/>
        <v>Aug-2017</v>
      </c>
      <c r="E1188" s="24" t="s">
        <v>25</v>
      </c>
      <c r="F1188" s="24" t="s">
        <v>35</v>
      </c>
      <c r="G1188" s="23" t="s">
        <v>451</v>
      </c>
      <c r="H1188" s="24" t="s">
        <v>139</v>
      </c>
      <c r="I1188" s="24" t="s">
        <v>9</v>
      </c>
      <c r="J1188" s="24" t="s">
        <v>30</v>
      </c>
      <c r="K1188" s="24"/>
      <c r="L1188" s="24" t="s">
        <v>106</v>
      </c>
    </row>
    <row r="1189">
      <c r="A1189" s="24">
        <f t="shared" si="1"/>
        <v>1188</v>
      </c>
      <c r="B1189" s="24" t="s">
        <v>542</v>
      </c>
      <c r="C1189" s="275">
        <v>42951.0</v>
      </c>
      <c r="D1189" s="24" t="str">
        <f t="shared" si="45"/>
        <v>Aug-2017</v>
      </c>
      <c r="E1189" s="24" t="s">
        <v>32</v>
      </c>
      <c r="F1189" s="24" t="s">
        <v>35</v>
      </c>
      <c r="G1189" s="23" t="s">
        <v>451</v>
      </c>
      <c r="H1189" s="24" t="s">
        <v>139</v>
      </c>
      <c r="I1189" s="24" t="s">
        <v>9</v>
      </c>
      <c r="J1189" s="24" t="s">
        <v>30</v>
      </c>
      <c r="K1189" s="24"/>
      <c r="L1189" s="24" t="s">
        <v>99</v>
      </c>
    </row>
    <row r="1190">
      <c r="A1190" s="24">
        <f t="shared" si="1"/>
        <v>1189</v>
      </c>
      <c r="B1190" s="24" t="s">
        <v>542</v>
      </c>
      <c r="C1190" s="275">
        <v>42951.0</v>
      </c>
      <c r="D1190" s="24" t="str">
        <f t="shared" si="45"/>
        <v>Aug-2017</v>
      </c>
      <c r="E1190" s="24" t="s">
        <v>20</v>
      </c>
      <c r="F1190" s="24" t="s">
        <v>35</v>
      </c>
      <c r="G1190" s="23" t="s">
        <v>346</v>
      </c>
      <c r="H1190" s="24" t="s">
        <v>139</v>
      </c>
      <c r="I1190" s="24" t="s">
        <v>9</v>
      </c>
      <c r="J1190" s="24" t="s">
        <v>24</v>
      </c>
      <c r="K1190" s="24" t="s">
        <v>24</v>
      </c>
      <c r="L1190" s="24" t="s">
        <v>98</v>
      </c>
    </row>
    <row r="1191">
      <c r="A1191" s="24">
        <f t="shared" si="1"/>
        <v>1190</v>
      </c>
      <c r="B1191" s="24" t="s">
        <v>542</v>
      </c>
      <c r="C1191" s="275">
        <v>42951.0</v>
      </c>
      <c r="D1191" s="24" t="str">
        <f t="shared" si="45"/>
        <v>Aug-2017</v>
      </c>
      <c r="E1191" s="24" t="s">
        <v>25</v>
      </c>
      <c r="F1191" s="24" t="s">
        <v>35</v>
      </c>
      <c r="G1191" s="23" t="s">
        <v>346</v>
      </c>
      <c r="H1191" s="24" t="s">
        <v>139</v>
      </c>
      <c r="I1191" s="24" t="s">
        <v>9</v>
      </c>
      <c r="J1191" s="24" t="s">
        <v>30</v>
      </c>
      <c r="K1191" s="24"/>
      <c r="L1191" s="24" t="s">
        <v>106</v>
      </c>
    </row>
    <row r="1192">
      <c r="A1192" s="24">
        <f t="shared" si="1"/>
        <v>1191</v>
      </c>
      <c r="B1192" s="24" t="s">
        <v>542</v>
      </c>
      <c r="C1192" s="275">
        <v>42951.0</v>
      </c>
      <c r="D1192" s="24" t="str">
        <f>TEXT(C1185:C1192, "mmm") &amp; "-" &amp; TEXT(C1185:C1192, "yyyy") </f>
        <v>Aug-2017</v>
      </c>
      <c r="E1192" s="24" t="s">
        <v>32</v>
      </c>
      <c r="F1192" s="24" t="s">
        <v>35</v>
      </c>
      <c r="G1192" s="23" t="s">
        <v>346</v>
      </c>
      <c r="H1192" s="24" t="s">
        <v>139</v>
      </c>
      <c r="I1192" s="24" t="s">
        <v>9</v>
      </c>
      <c r="J1192" s="24" t="s">
        <v>24</v>
      </c>
      <c r="K1192" s="24"/>
      <c r="L1192" s="24" t="s">
        <v>37</v>
      </c>
    </row>
    <row r="1193">
      <c r="A1193" s="24">
        <f t="shared" si="1"/>
        <v>1192</v>
      </c>
      <c r="B1193" s="24" t="s">
        <v>545</v>
      </c>
      <c r="C1193" s="275">
        <v>42952.0</v>
      </c>
      <c r="D1193" s="24" t="str">
        <f t="shared" ref="D1193:D1194" si="46">TEXT(C1192:C1193, "mmm") &amp; "-" &amp; TEXT(C1192:C1193, "yyyy") </f>
        <v>Aug-2017</v>
      </c>
      <c r="E1193" s="24" t="s">
        <v>20</v>
      </c>
      <c r="F1193" s="24" t="s">
        <v>35</v>
      </c>
      <c r="G1193" s="23" t="s">
        <v>547</v>
      </c>
      <c r="H1193" s="24" t="s">
        <v>86</v>
      </c>
      <c r="I1193" s="24" t="s">
        <v>9</v>
      </c>
      <c r="J1193" s="24" t="s">
        <v>30</v>
      </c>
      <c r="K1193" s="24" t="s">
        <v>30</v>
      </c>
      <c r="L1193" s="24" t="s">
        <v>29</v>
      </c>
    </row>
    <row r="1194">
      <c r="A1194" s="24">
        <f t="shared" si="1"/>
        <v>1193</v>
      </c>
      <c r="B1194" s="24" t="s">
        <v>545</v>
      </c>
      <c r="C1194" s="275">
        <v>42952.0</v>
      </c>
      <c r="D1194" s="24" t="str">
        <f t="shared" si="46"/>
        <v>Aug-2017</v>
      </c>
      <c r="E1194" s="24" t="s">
        <v>25</v>
      </c>
      <c r="F1194" s="24" t="s">
        <v>35</v>
      </c>
      <c r="G1194" s="23" t="s">
        <v>547</v>
      </c>
      <c r="H1194" s="24" t="s">
        <v>86</v>
      </c>
      <c r="I1194" s="24" t="s">
        <v>9</v>
      </c>
      <c r="J1194" s="24" t="s">
        <v>30</v>
      </c>
      <c r="K1194" s="24"/>
      <c r="L1194" s="24" t="s">
        <v>98</v>
      </c>
    </row>
    <row r="1195">
      <c r="A1195" s="24">
        <f t="shared" si="1"/>
        <v>1194</v>
      </c>
      <c r="B1195" s="24" t="s">
        <v>545</v>
      </c>
      <c r="C1195" s="275">
        <v>42952.0</v>
      </c>
      <c r="D1195" s="24" t="str">
        <f t="shared" ref="D1195:D1206" si="47">TEXT(C1193:C1195, "mmm") &amp; "-" &amp; TEXT(C1193:C1195, "yyyy") </f>
        <v>Aug-2017</v>
      </c>
      <c r="E1195" s="24" t="s">
        <v>20</v>
      </c>
      <c r="F1195" s="24" t="s">
        <v>35</v>
      </c>
      <c r="G1195" s="23" t="s">
        <v>148</v>
      </c>
      <c r="H1195" s="24" t="s">
        <v>27</v>
      </c>
      <c r="I1195" s="24" t="s">
        <v>9</v>
      </c>
      <c r="J1195" s="24" t="s">
        <v>30</v>
      </c>
      <c r="K1195" s="24" t="s">
        <v>30</v>
      </c>
      <c r="L1195" s="24" t="s">
        <v>69</v>
      </c>
    </row>
    <row r="1196">
      <c r="A1196" s="24">
        <f t="shared" si="1"/>
        <v>1195</v>
      </c>
      <c r="B1196" s="24" t="s">
        <v>545</v>
      </c>
      <c r="C1196" s="275">
        <v>42952.0</v>
      </c>
      <c r="D1196" s="24" t="str">
        <f t="shared" si="47"/>
        <v>Aug-2017</v>
      </c>
      <c r="E1196" s="24" t="s">
        <v>25</v>
      </c>
      <c r="F1196" s="24" t="s">
        <v>35</v>
      </c>
      <c r="G1196" s="23" t="s">
        <v>148</v>
      </c>
      <c r="H1196" s="24" t="s">
        <v>27</v>
      </c>
      <c r="I1196" s="24" t="s">
        <v>9</v>
      </c>
      <c r="J1196" s="24" t="s">
        <v>24</v>
      </c>
      <c r="K1196" s="24"/>
      <c r="L1196" s="24" t="s">
        <v>37</v>
      </c>
    </row>
    <row r="1197">
      <c r="A1197" s="24">
        <f t="shared" si="1"/>
        <v>1196</v>
      </c>
      <c r="B1197" s="24" t="s">
        <v>545</v>
      </c>
      <c r="C1197" s="275">
        <v>42952.0</v>
      </c>
      <c r="D1197" s="24" t="str">
        <f t="shared" si="47"/>
        <v>Aug-2017</v>
      </c>
      <c r="E1197" s="24" t="s">
        <v>32</v>
      </c>
      <c r="F1197" s="24" t="s">
        <v>35</v>
      </c>
      <c r="G1197" s="23" t="s">
        <v>148</v>
      </c>
      <c r="H1197" s="24" t="s">
        <v>27</v>
      </c>
      <c r="I1197" s="24" t="s">
        <v>9</v>
      </c>
      <c r="J1197" s="24" t="s">
        <v>30</v>
      </c>
      <c r="K1197" s="24"/>
      <c r="L1197" s="24" t="s">
        <v>106</v>
      </c>
    </row>
    <row r="1198">
      <c r="A1198" s="24">
        <f t="shared" si="1"/>
        <v>1197</v>
      </c>
      <c r="B1198" s="24" t="s">
        <v>545</v>
      </c>
      <c r="C1198" s="275">
        <v>42952.0</v>
      </c>
      <c r="D1198" s="24" t="str">
        <f t="shared" si="47"/>
        <v>Aug-2017</v>
      </c>
      <c r="E1198" s="24" t="s">
        <v>20</v>
      </c>
      <c r="F1198" s="24" t="s">
        <v>35</v>
      </c>
      <c r="G1198" s="23" t="s">
        <v>239</v>
      </c>
      <c r="H1198" s="24" t="s">
        <v>27</v>
      </c>
      <c r="I1198" s="24" t="s">
        <v>9</v>
      </c>
      <c r="J1198" s="24" t="s">
        <v>24</v>
      </c>
      <c r="K1198" s="24" t="s">
        <v>24</v>
      </c>
      <c r="L1198" s="24" t="s">
        <v>69</v>
      </c>
    </row>
    <row r="1199">
      <c r="A1199" s="24">
        <f t="shared" si="1"/>
        <v>1198</v>
      </c>
      <c r="B1199" s="24" t="s">
        <v>545</v>
      </c>
      <c r="C1199" s="275">
        <v>42952.0</v>
      </c>
      <c r="D1199" s="24" t="str">
        <f t="shared" si="47"/>
        <v>Aug-2017</v>
      </c>
      <c r="E1199" s="24" t="s">
        <v>25</v>
      </c>
      <c r="F1199" s="24" t="s">
        <v>35</v>
      </c>
      <c r="G1199" s="23" t="s">
        <v>239</v>
      </c>
      <c r="H1199" s="24" t="s">
        <v>27</v>
      </c>
      <c r="I1199" s="24" t="s">
        <v>9</v>
      </c>
      <c r="J1199" s="24" t="s">
        <v>24</v>
      </c>
      <c r="K1199" s="24"/>
      <c r="L1199" s="24" t="s">
        <v>98</v>
      </c>
    </row>
    <row r="1200">
      <c r="A1200" s="24">
        <f t="shared" si="1"/>
        <v>1199</v>
      </c>
      <c r="B1200" s="24" t="s">
        <v>545</v>
      </c>
      <c r="C1200" s="275">
        <v>42952.0</v>
      </c>
      <c r="D1200" s="24" t="str">
        <f t="shared" si="47"/>
        <v>Aug-2017</v>
      </c>
      <c r="E1200" s="24" t="s">
        <v>20</v>
      </c>
      <c r="F1200" s="24" t="s">
        <v>35</v>
      </c>
      <c r="G1200" s="23" t="s">
        <v>117</v>
      </c>
      <c r="H1200" s="24" t="s">
        <v>44</v>
      </c>
      <c r="I1200" s="24" t="s">
        <v>9</v>
      </c>
      <c r="J1200" s="24" t="s">
        <v>30</v>
      </c>
      <c r="K1200" s="24" t="s">
        <v>30</v>
      </c>
      <c r="L1200" s="24" t="s">
        <v>98</v>
      </c>
    </row>
    <row r="1201">
      <c r="A1201" s="24">
        <f t="shared" si="1"/>
        <v>1200</v>
      </c>
      <c r="B1201" s="24" t="s">
        <v>545</v>
      </c>
      <c r="C1201" s="275">
        <v>42952.0</v>
      </c>
      <c r="D1201" s="24" t="str">
        <f t="shared" si="47"/>
        <v>Aug-2017</v>
      </c>
      <c r="E1201" s="24" t="s">
        <v>25</v>
      </c>
      <c r="F1201" s="24" t="s">
        <v>35</v>
      </c>
      <c r="G1201" s="23" t="s">
        <v>117</v>
      </c>
      <c r="H1201" s="24" t="s">
        <v>44</v>
      </c>
      <c r="I1201" s="24" t="s">
        <v>9</v>
      </c>
      <c r="J1201" s="24" t="s">
        <v>30</v>
      </c>
      <c r="K1201" s="24"/>
      <c r="L1201" s="24" t="s">
        <v>98</v>
      </c>
    </row>
    <row r="1202">
      <c r="A1202" s="24">
        <f t="shared" si="1"/>
        <v>1201</v>
      </c>
      <c r="B1202" s="24" t="s">
        <v>545</v>
      </c>
      <c r="C1202" s="275">
        <v>42952.0</v>
      </c>
      <c r="D1202" s="24" t="str">
        <f t="shared" si="47"/>
        <v>Aug-2017</v>
      </c>
      <c r="E1202" s="24" t="s">
        <v>146</v>
      </c>
      <c r="F1202" s="24" t="s">
        <v>35</v>
      </c>
      <c r="G1202" s="23" t="s">
        <v>36</v>
      </c>
      <c r="H1202" s="24" t="s">
        <v>27</v>
      </c>
      <c r="I1202" s="24" t="s">
        <v>9</v>
      </c>
      <c r="J1202" s="24" t="s">
        <v>24</v>
      </c>
      <c r="K1202" s="24" t="s">
        <v>24</v>
      </c>
      <c r="L1202" s="24" t="s">
        <v>37</v>
      </c>
    </row>
    <row r="1203">
      <c r="A1203" s="24">
        <f t="shared" si="1"/>
        <v>1202</v>
      </c>
      <c r="B1203" s="24" t="s">
        <v>545</v>
      </c>
      <c r="C1203" s="275">
        <v>42952.0</v>
      </c>
      <c r="D1203" s="24" t="str">
        <f t="shared" si="47"/>
        <v>Aug-2017</v>
      </c>
      <c r="E1203" s="24" t="s">
        <v>149</v>
      </c>
      <c r="F1203" s="24" t="s">
        <v>35</v>
      </c>
      <c r="G1203" s="23" t="s">
        <v>36</v>
      </c>
      <c r="H1203" s="24" t="s">
        <v>27</v>
      </c>
      <c r="I1203" s="24" t="s">
        <v>9</v>
      </c>
      <c r="J1203" s="24" t="s">
        <v>30</v>
      </c>
      <c r="K1203" s="24"/>
      <c r="L1203" s="24" t="s">
        <v>98</v>
      </c>
    </row>
    <row r="1204">
      <c r="A1204" s="24">
        <f t="shared" si="1"/>
        <v>1203</v>
      </c>
      <c r="B1204" s="24" t="s">
        <v>545</v>
      </c>
      <c r="C1204" s="275">
        <v>42952.0</v>
      </c>
      <c r="D1204" s="24" t="str">
        <f t="shared" si="47"/>
        <v>Aug-2017</v>
      </c>
      <c r="E1204" s="24" t="s">
        <v>222</v>
      </c>
      <c r="F1204" s="24" t="s">
        <v>35</v>
      </c>
      <c r="G1204" s="23" t="s">
        <v>36</v>
      </c>
      <c r="H1204" s="24" t="s">
        <v>27</v>
      </c>
      <c r="I1204" s="24" t="s">
        <v>9</v>
      </c>
      <c r="J1204" s="24" t="s">
        <v>24</v>
      </c>
      <c r="K1204" s="24"/>
      <c r="L1204" s="24" t="s">
        <v>29</v>
      </c>
    </row>
    <row r="1205">
      <c r="A1205" s="24">
        <f t="shared" si="1"/>
        <v>1204</v>
      </c>
      <c r="B1205" s="24" t="s">
        <v>545</v>
      </c>
      <c r="C1205" s="275">
        <v>42952.0</v>
      </c>
      <c r="D1205" s="24" t="str">
        <f t="shared" si="47"/>
        <v>Aug-2017</v>
      </c>
      <c r="E1205" s="24" t="s">
        <v>467</v>
      </c>
      <c r="F1205" s="24" t="s">
        <v>35</v>
      </c>
      <c r="G1205" s="23" t="s">
        <v>36</v>
      </c>
      <c r="H1205" s="24" t="s">
        <v>27</v>
      </c>
      <c r="I1205" s="24" t="s">
        <v>9</v>
      </c>
      <c r="J1205" s="24" t="s">
        <v>30</v>
      </c>
      <c r="K1205" s="24"/>
      <c r="L1205" s="24" t="s">
        <v>69</v>
      </c>
    </row>
    <row r="1206">
      <c r="A1206" s="24">
        <f t="shared" si="1"/>
        <v>1205</v>
      </c>
      <c r="B1206" s="24" t="s">
        <v>545</v>
      </c>
      <c r="C1206" s="275">
        <v>42952.0</v>
      </c>
      <c r="D1206" s="24" t="str">
        <f t="shared" si="47"/>
        <v>Aug-2017</v>
      </c>
      <c r="E1206" s="24" t="s">
        <v>480</v>
      </c>
      <c r="F1206" s="24" t="s">
        <v>35</v>
      </c>
      <c r="G1206" s="23" t="s">
        <v>36</v>
      </c>
      <c r="H1206" s="24" t="s">
        <v>27</v>
      </c>
      <c r="I1206" s="24" t="s">
        <v>9</v>
      </c>
      <c r="J1206" s="24" t="s">
        <v>24</v>
      </c>
      <c r="K1206" s="24"/>
      <c r="L1206" s="24" t="s">
        <v>106</v>
      </c>
    </row>
    <row r="1207">
      <c r="A1207" s="24">
        <f t="shared" si="1"/>
        <v>1206</v>
      </c>
      <c r="B1207" s="24" t="s">
        <v>549</v>
      </c>
      <c r="C1207" s="275">
        <v>42955.0</v>
      </c>
      <c r="D1207" s="24" t="str">
        <f t="shared" ref="D1207:D1208" si="48">TEXT(C1206:C1207, "mmm") &amp; "-" &amp; TEXT(C1206:C1207, "yyyy") </f>
        <v>Aug-2017</v>
      </c>
      <c r="E1207" s="24" t="s">
        <v>20</v>
      </c>
      <c r="F1207" s="24" t="s">
        <v>35</v>
      </c>
      <c r="G1207" s="23" t="s">
        <v>550</v>
      </c>
      <c r="H1207" s="24" t="s">
        <v>97</v>
      </c>
      <c r="I1207" s="24" t="s">
        <v>9</v>
      </c>
      <c r="J1207" s="24" t="s">
        <v>30</v>
      </c>
      <c r="K1207" s="24" t="s">
        <v>30</v>
      </c>
      <c r="L1207" s="24" t="s">
        <v>98</v>
      </c>
    </row>
    <row r="1208">
      <c r="A1208" s="24">
        <f t="shared" si="1"/>
        <v>1207</v>
      </c>
      <c r="B1208" s="24" t="s">
        <v>549</v>
      </c>
      <c r="C1208" s="275">
        <v>42955.0</v>
      </c>
      <c r="D1208" s="24" t="str">
        <f t="shared" si="48"/>
        <v>Aug-2017</v>
      </c>
      <c r="E1208" s="24" t="s">
        <v>25</v>
      </c>
      <c r="F1208" s="24" t="s">
        <v>35</v>
      </c>
      <c r="G1208" s="23" t="s">
        <v>550</v>
      </c>
      <c r="H1208" s="24" t="s">
        <v>97</v>
      </c>
      <c r="I1208" s="24" t="s">
        <v>9</v>
      </c>
      <c r="J1208" s="24" t="s">
        <v>30</v>
      </c>
      <c r="K1208" s="24"/>
      <c r="L1208" s="24" t="s">
        <v>98</v>
      </c>
    </row>
    <row r="1209">
      <c r="A1209" s="24">
        <f t="shared" si="1"/>
        <v>1208</v>
      </c>
      <c r="B1209" s="24" t="s">
        <v>549</v>
      </c>
      <c r="C1209" s="275">
        <v>42955.0</v>
      </c>
      <c r="D1209" s="24" t="str">
        <f t="shared" ref="D1209:D1224" si="49">TEXT(C1207:C1209, "mmm") &amp; "-" &amp; TEXT(C1207:C1209, "yyyy") </f>
        <v>Aug-2017</v>
      </c>
      <c r="E1209" s="24" t="s">
        <v>20</v>
      </c>
      <c r="F1209" s="24" t="s">
        <v>35</v>
      </c>
      <c r="G1209" s="23" t="s">
        <v>451</v>
      </c>
      <c r="H1209" s="24" t="s">
        <v>139</v>
      </c>
      <c r="I1209" s="24" t="s">
        <v>9</v>
      </c>
      <c r="J1209" s="24" t="s">
        <v>30</v>
      </c>
      <c r="K1209" s="24" t="s">
        <v>30</v>
      </c>
      <c r="L1209" s="24" t="s">
        <v>98</v>
      </c>
    </row>
    <row r="1210">
      <c r="A1210" s="24">
        <f t="shared" si="1"/>
        <v>1209</v>
      </c>
      <c r="B1210" s="24" t="s">
        <v>549</v>
      </c>
      <c r="C1210" s="275">
        <v>42955.0</v>
      </c>
      <c r="D1210" s="24" t="str">
        <f t="shared" si="49"/>
        <v>Aug-2017</v>
      </c>
      <c r="E1210" s="24" t="s">
        <v>25</v>
      </c>
      <c r="F1210" s="24" t="s">
        <v>35</v>
      </c>
      <c r="G1210" s="23" t="s">
        <v>451</v>
      </c>
      <c r="H1210" s="24" t="s">
        <v>139</v>
      </c>
      <c r="I1210" s="24" t="s">
        <v>9</v>
      </c>
      <c r="J1210" s="24" t="s">
        <v>24</v>
      </c>
      <c r="K1210" s="24"/>
      <c r="L1210" s="24" t="s">
        <v>99</v>
      </c>
    </row>
    <row r="1211">
      <c r="A1211" s="24">
        <f t="shared" si="1"/>
        <v>1210</v>
      </c>
      <c r="B1211" s="24" t="s">
        <v>549</v>
      </c>
      <c r="C1211" s="275">
        <v>42955.0</v>
      </c>
      <c r="D1211" s="24" t="str">
        <f t="shared" si="49"/>
        <v>Aug-2017</v>
      </c>
      <c r="E1211" s="24" t="s">
        <v>32</v>
      </c>
      <c r="F1211" s="24" t="s">
        <v>35</v>
      </c>
      <c r="G1211" s="23" t="s">
        <v>451</v>
      </c>
      <c r="H1211" s="24" t="s">
        <v>139</v>
      </c>
      <c r="I1211" s="24" t="s">
        <v>9</v>
      </c>
      <c r="J1211" s="24" t="s">
        <v>30</v>
      </c>
      <c r="K1211" s="24"/>
      <c r="L1211" s="24" t="s">
        <v>106</v>
      </c>
    </row>
    <row r="1212">
      <c r="A1212" s="24">
        <f t="shared" si="1"/>
        <v>1211</v>
      </c>
      <c r="B1212" s="24" t="s">
        <v>549</v>
      </c>
      <c r="C1212" s="275">
        <v>42955.0</v>
      </c>
      <c r="D1212" s="24" t="str">
        <f t="shared" si="49"/>
        <v>Aug-2017</v>
      </c>
      <c r="E1212" s="24" t="s">
        <v>20</v>
      </c>
      <c r="F1212" s="24" t="s">
        <v>35</v>
      </c>
      <c r="G1212" s="23" t="s">
        <v>552</v>
      </c>
      <c r="H1212" s="24" t="s">
        <v>216</v>
      </c>
      <c r="I1212" s="24" t="s">
        <v>9</v>
      </c>
      <c r="J1212" s="24" t="s">
        <v>30</v>
      </c>
      <c r="K1212" s="24" t="s">
        <v>30</v>
      </c>
      <c r="L1212" s="24" t="s">
        <v>98</v>
      </c>
    </row>
    <row r="1213">
      <c r="A1213" s="24">
        <f t="shared" si="1"/>
        <v>1212</v>
      </c>
      <c r="B1213" s="24" t="s">
        <v>549</v>
      </c>
      <c r="C1213" s="275">
        <v>42955.0</v>
      </c>
      <c r="D1213" s="24" t="str">
        <f t="shared" si="49"/>
        <v>Aug-2017</v>
      </c>
      <c r="E1213" s="24" t="s">
        <v>25</v>
      </c>
      <c r="F1213" s="24" t="s">
        <v>35</v>
      </c>
      <c r="G1213" s="23" t="s">
        <v>552</v>
      </c>
      <c r="H1213" s="24" t="s">
        <v>216</v>
      </c>
      <c r="I1213" s="24" t="s">
        <v>9</v>
      </c>
      <c r="J1213" s="24" t="s">
        <v>30</v>
      </c>
      <c r="K1213" s="24"/>
      <c r="L1213" s="24" t="s">
        <v>37</v>
      </c>
    </row>
    <row r="1214">
      <c r="A1214" s="24">
        <f t="shared" si="1"/>
        <v>1213</v>
      </c>
      <c r="B1214" s="24" t="s">
        <v>549</v>
      </c>
      <c r="C1214" s="275">
        <v>42955.0</v>
      </c>
      <c r="D1214" s="24" t="str">
        <f t="shared" si="49"/>
        <v>Aug-2017</v>
      </c>
      <c r="E1214" s="24" t="s">
        <v>146</v>
      </c>
      <c r="F1214" s="24" t="s">
        <v>35</v>
      </c>
      <c r="G1214" s="23" t="s">
        <v>94</v>
      </c>
      <c r="H1214" s="24" t="s">
        <v>44</v>
      </c>
      <c r="I1214" s="24" t="s">
        <v>9</v>
      </c>
      <c r="J1214" s="24" t="s">
        <v>24</v>
      </c>
      <c r="K1214" s="24" t="s">
        <v>24</v>
      </c>
      <c r="L1214" s="24" t="s">
        <v>98</v>
      </c>
    </row>
    <row r="1215">
      <c r="A1215" s="24">
        <f t="shared" si="1"/>
        <v>1214</v>
      </c>
      <c r="B1215" s="24" t="s">
        <v>549</v>
      </c>
      <c r="C1215" s="275">
        <v>42955.0</v>
      </c>
      <c r="D1215" s="24" t="str">
        <f t="shared" si="49"/>
        <v>Aug-2017</v>
      </c>
      <c r="E1215" s="24" t="s">
        <v>149</v>
      </c>
      <c r="F1215" s="24" t="s">
        <v>35</v>
      </c>
      <c r="G1215" s="23" t="s">
        <v>94</v>
      </c>
      <c r="H1215" s="24" t="s">
        <v>44</v>
      </c>
      <c r="I1215" s="24" t="s">
        <v>9</v>
      </c>
      <c r="J1215" s="24" t="s">
        <v>24</v>
      </c>
      <c r="K1215" s="24"/>
      <c r="L1215" s="24" t="s">
        <v>37</v>
      </c>
    </row>
    <row r="1216">
      <c r="A1216" s="24">
        <f t="shared" si="1"/>
        <v>1215</v>
      </c>
      <c r="B1216" s="24" t="s">
        <v>549</v>
      </c>
      <c r="C1216" s="275">
        <v>42955.0</v>
      </c>
      <c r="D1216" s="24" t="str">
        <f t="shared" si="49"/>
        <v>Aug-2017</v>
      </c>
      <c r="E1216" s="24" t="s">
        <v>222</v>
      </c>
      <c r="F1216" s="24" t="s">
        <v>35</v>
      </c>
      <c r="G1216" s="23" t="s">
        <v>94</v>
      </c>
      <c r="H1216" s="24" t="s">
        <v>44</v>
      </c>
      <c r="I1216" s="24" t="s">
        <v>9</v>
      </c>
      <c r="J1216" s="24" t="s">
        <v>24</v>
      </c>
      <c r="K1216" s="24"/>
      <c r="L1216" s="24" t="s">
        <v>69</v>
      </c>
    </row>
    <row r="1217">
      <c r="A1217" s="24">
        <f t="shared" si="1"/>
        <v>1216</v>
      </c>
      <c r="B1217" s="24" t="s">
        <v>549</v>
      </c>
      <c r="C1217" s="275">
        <v>42955.0</v>
      </c>
      <c r="D1217" s="24" t="str">
        <f t="shared" si="49"/>
        <v>Aug-2017</v>
      </c>
      <c r="E1217" s="24" t="s">
        <v>146</v>
      </c>
      <c r="F1217" s="24" t="s">
        <v>35</v>
      </c>
      <c r="G1217" s="23" t="s">
        <v>393</v>
      </c>
      <c r="H1217" s="24" t="s">
        <v>102</v>
      </c>
      <c r="I1217" s="24" t="s">
        <v>9</v>
      </c>
      <c r="J1217" s="24" t="s">
        <v>24</v>
      </c>
      <c r="K1217" s="24" t="s">
        <v>30</v>
      </c>
      <c r="L1217" s="24" t="s">
        <v>98</v>
      </c>
    </row>
    <row r="1218">
      <c r="A1218" s="24">
        <f t="shared" si="1"/>
        <v>1217</v>
      </c>
      <c r="B1218" s="24" t="s">
        <v>549</v>
      </c>
      <c r="C1218" s="275">
        <v>42955.0</v>
      </c>
      <c r="D1218" s="24" t="str">
        <f t="shared" si="49"/>
        <v>Aug-2017</v>
      </c>
      <c r="E1218" s="24" t="s">
        <v>149</v>
      </c>
      <c r="F1218" s="24" t="s">
        <v>35</v>
      </c>
      <c r="G1218" s="23" t="s">
        <v>393</v>
      </c>
      <c r="H1218" s="24" t="s">
        <v>102</v>
      </c>
      <c r="I1218" s="24" t="s">
        <v>9</v>
      </c>
      <c r="J1218" s="24" t="s">
        <v>30</v>
      </c>
      <c r="K1218" s="24"/>
      <c r="L1218" s="24" t="s">
        <v>69</v>
      </c>
    </row>
    <row r="1219">
      <c r="A1219" s="24">
        <f t="shared" si="1"/>
        <v>1218</v>
      </c>
      <c r="B1219" s="24" t="s">
        <v>549</v>
      </c>
      <c r="C1219" s="275">
        <v>42955.0</v>
      </c>
      <c r="D1219" s="24" t="str">
        <f t="shared" si="49"/>
        <v>Aug-2017</v>
      </c>
      <c r="E1219" s="24" t="s">
        <v>222</v>
      </c>
      <c r="F1219" s="24" t="s">
        <v>35</v>
      </c>
      <c r="G1219" s="23" t="s">
        <v>393</v>
      </c>
      <c r="H1219" s="24" t="s">
        <v>102</v>
      </c>
      <c r="I1219" s="24" t="s">
        <v>9</v>
      </c>
      <c r="J1219" s="24" t="s">
        <v>30</v>
      </c>
      <c r="K1219" s="24"/>
      <c r="L1219" s="24" t="s">
        <v>29</v>
      </c>
    </row>
    <row r="1220">
      <c r="A1220" s="24">
        <f t="shared" si="1"/>
        <v>1219</v>
      </c>
      <c r="B1220" s="24" t="s">
        <v>549</v>
      </c>
      <c r="C1220" s="275">
        <v>42955.0</v>
      </c>
      <c r="D1220" s="24" t="str">
        <f t="shared" si="49"/>
        <v>Aug-2017</v>
      </c>
      <c r="E1220" s="24" t="s">
        <v>467</v>
      </c>
      <c r="F1220" s="24" t="s">
        <v>35</v>
      </c>
      <c r="G1220" s="23" t="s">
        <v>393</v>
      </c>
      <c r="H1220" s="24" t="s">
        <v>102</v>
      </c>
      <c r="I1220" s="24" t="s">
        <v>9</v>
      </c>
      <c r="J1220" s="24" t="s">
        <v>24</v>
      </c>
      <c r="K1220" s="24"/>
      <c r="L1220" s="24" t="s">
        <v>37</v>
      </c>
    </row>
    <row r="1221">
      <c r="A1221" s="24">
        <f t="shared" si="1"/>
        <v>1220</v>
      </c>
      <c r="B1221" s="24" t="s">
        <v>549</v>
      </c>
      <c r="C1221" s="275">
        <v>42955.0</v>
      </c>
      <c r="D1221" s="24" t="str">
        <f t="shared" si="49"/>
        <v>Aug-2017</v>
      </c>
      <c r="E1221" s="24" t="s">
        <v>480</v>
      </c>
      <c r="F1221" s="24" t="s">
        <v>35</v>
      </c>
      <c r="G1221" s="23" t="s">
        <v>393</v>
      </c>
      <c r="H1221" s="24" t="s">
        <v>102</v>
      </c>
      <c r="I1221" s="24" t="s">
        <v>9</v>
      </c>
      <c r="J1221" s="24" t="s">
        <v>30</v>
      </c>
      <c r="K1221" s="24"/>
      <c r="L1221" s="24" t="s">
        <v>106</v>
      </c>
    </row>
    <row r="1222">
      <c r="A1222" s="24">
        <f t="shared" si="1"/>
        <v>1221</v>
      </c>
      <c r="B1222" s="24" t="s">
        <v>549</v>
      </c>
      <c r="C1222" s="275">
        <v>42955.0</v>
      </c>
      <c r="D1222" s="24" t="str">
        <f t="shared" si="49"/>
        <v>Aug-2017</v>
      </c>
      <c r="E1222" s="24" t="s">
        <v>146</v>
      </c>
      <c r="F1222" s="24" t="s">
        <v>35</v>
      </c>
      <c r="G1222" s="23" t="s">
        <v>94</v>
      </c>
      <c r="H1222" s="24" t="s">
        <v>44</v>
      </c>
      <c r="I1222" s="24" t="s">
        <v>9</v>
      </c>
      <c r="J1222" s="24" t="s">
        <v>24</v>
      </c>
      <c r="K1222" s="24" t="s">
        <v>24</v>
      </c>
      <c r="L1222" s="24" t="s">
        <v>98</v>
      </c>
    </row>
    <row r="1223">
      <c r="A1223" s="24">
        <f t="shared" si="1"/>
        <v>1222</v>
      </c>
      <c r="B1223" s="24" t="s">
        <v>549</v>
      </c>
      <c r="C1223" s="275">
        <v>42955.0</v>
      </c>
      <c r="D1223" s="24" t="str">
        <f t="shared" si="49"/>
        <v>Aug-2017</v>
      </c>
      <c r="E1223" s="24" t="s">
        <v>149</v>
      </c>
      <c r="F1223" s="24" t="s">
        <v>35</v>
      </c>
      <c r="G1223" s="23" t="s">
        <v>94</v>
      </c>
      <c r="H1223" s="24" t="s">
        <v>44</v>
      </c>
      <c r="I1223" s="24" t="s">
        <v>9</v>
      </c>
      <c r="J1223" s="24" t="s">
        <v>24</v>
      </c>
      <c r="K1223" s="24"/>
      <c r="L1223" s="24" t="s">
        <v>69</v>
      </c>
    </row>
    <row r="1224">
      <c r="A1224" s="24">
        <f t="shared" si="1"/>
        <v>1223</v>
      </c>
      <c r="B1224" s="24" t="s">
        <v>549</v>
      </c>
      <c r="C1224" s="275">
        <v>42955.0</v>
      </c>
      <c r="D1224" s="24" t="str">
        <f t="shared" si="49"/>
        <v>Aug-2017</v>
      </c>
      <c r="E1224" s="24" t="s">
        <v>222</v>
      </c>
      <c r="F1224" s="24" t="s">
        <v>35</v>
      </c>
      <c r="G1224" s="23" t="s">
        <v>94</v>
      </c>
      <c r="H1224" s="24" t="s">
        <v>44</v>
      </c>
      <c r="I1224" s="24" t="s">
        <v>9</v>
      </c>
      <c r="J1224" s="24" t="s">
        <v>24</v>
      </c>
      <c r="K1224" s="24"/>
      <c r="L1224" s="24" t="s">
        <v>106</v>
      </c>
    </row>
    <row r="1225">
      <c r="A1225" s="24">
        <f t="shared" si="1"/>
        <v>1224</v>
      </c>
      <c r="B1225" s="24" t="s">
        <v>553</v>
      </c>
      <c r="C1225" s="275">
        <v>42956.0</v>
      </c>
      <c r="D1225" s="24" t="str">
        <f t="shared" ref="D1225:D1226" si="50">TEXT(C1224:C1225, "mmm") &amp; "-" &amp; TEXT(C1224:C1225, "yyyy") </f>
        <v>Aug-2017</v>
      </c>
      <c r="E1225" s="24" t="s">
        <v>20</v>
      </c>
      <c r="F1225" s="24" t="s">
        <v>35</v>
      </c>
      <c r="G1225" s="23" t="s">
        <v>259</v>
      </c>
      <c r="H1225" s="24" t="s">
        <v>97</v>
      </c>
      <c r="I1225" s="24" t="s">
        <v>9</v>
      </c>
      <c r="J1225" s="24" t="s">
        <v>24</v>
      </c>
      <c r="K1225" s="24" t="s">
        <v>24</v>
      </c>
      <c r="L1225" s="24" t="s">
        <v>98</v>
      </c>
    </row>
    <row r="1226">
      <c r="A1226" s="24">
        <f t="shared" si="1"/>
        <v>1225</v>
      </c>
      <c r="B1226" s="24" t="s">
        <v>553</v>
      </c>
      <c r="C1226" s="275">
        <v>42956.0</v>
      </c>
      <c r="D1226" s="24" t="str">
        <f t="shared" si="50"/>
        <v>Aug-2017</v>
      </c>
      <c r="E1226" s="24" t="s">
        <v>25</v>
      </c>
      <c r="F1226" s="24" t="s">
        <v>35</v>
      </c>
      <c r="G1226" s="23" t="s">
        <v>259</v>
      </c>
      <c r="H1226" s="24" t="s">
        <v>97</v>
      </c>
      <c r="I1226" s="24" t="s">
        <v>9</v>
      </c>
      <c r="J1226" s="24" t="s">
        <v>24</v>
      </c>
      <c r="K1226" s="24"/>
      <c r="L1226" s="24" t="s">
        <v>106</v>
      </c>
    </row>
    <row r="1227">
      <c r="A1227" s="24">
        <f t="shared" si="1"/>
        <v>1226</v>
      </c>
      <c r="B1227" s="24" t="s">
        <v>553</v>
      </c>
      <c r="C1227" s="275">
        <v>42956.0</v>
      </c>
      <c r="D1227" s="24" t="str">
        <f t="shared" ref="D1227:D1237" si="51">TEXT(C1225:C1227, "mmm") &amp; "-" &amp; TEXT(C1225:C1227, "yyyy") </f>
        <v>Aug-2017</v>
      </c>
      <c r="E1227" s="24" t="s">
        <v>20</v>
      </c>
      <c r="F1227" s="24" t="s">
        <v>35</v>
      </c>
      <c r="G1227" s="23" t="s">
        <v>554</v>
      </c>
      <c r="H1227" s="24" t="s">
        <v>44</v>
      </c>
      <c r="I1227" s="24" t="s">
        <v>9</v>
      </c>
      <c r="J1227" s="24" t="s">
        <v>30</v>
      </c>
      <c r="K1227" s="24" t="s">
        <v>30</v>
      </c>
      <c r="L1227" s="24" t="s">
        <v>98</v>
      </c>
    </row>
    <row r="1228">
      <c r="A1228" s="24">
        <f t="shared" si="1"/>
        <v>1227</v>
      </c>
      <c r="B1228" s="24" t="s">
        <v>553</v>
      </c>
      <c r="C1228" s="275">
        <v>42956.0</v>
      </c>
      <c r="D1228" s="24" t="str">
        <f t="shared" si="51"/>
        <v>Aug-2017</v>
      </c>
      <c r="E1228" s="24" t="s">
        <v>25</v>
      </c>
      <c r="F1228" s="24" t="s">
        <v>35</v>
      </c>
      <c r="G1228" s="23" t="s">
        <v>554</v>
      </c>
      <c r="H1228" s="24" t="s">
        <v>27</v>
      </c>
      <c r="I1228" s="24" t="s">
        <v>9</v>
      </c>
      <c r="J1228" s="24" t="s">
        <v>30</v>
      </c>
      <c r="K1228" s="24"/>
      <c r="L1228" s="24" t="s">
        <v>37</v>
      </c>
    </row>
    <row r="1229">
      <c r="A1229" s="24">
        <f t="shared" si="1"/>
        <v>1228</v>
      </c>
      <c r="B1229" s="24" t="s">
        <v>553</v>
      </c>
      <c r="C1229" s="275">
        <v>42956.0</v>
      </c>
      <c r="D1229" s="24" t="str">
        <f t="shared" si="51"/>
        <v>Aug-2017</v>
      </c>
      <c r="E1229" s="24" t="s">
        <v>20</v>
      </c>
      <c r="F1229" s="24" t="s">
        <v>35</v>
      </c>
      <c r="G1229" s="23" t="s">
        <v>133</v>
      </c>
      <c r="H1229" s="24" t="s">
        <v>86</v>
      </c>
      <c r="I1229" s="24" t="s">
        <v>9</v>
      </c>
      <c r="J1229" s="24" t="s">
        <v>30</v>
      </c>
      <c r="K1229" s="24" t="s">
        <v>30</v>
      </c>
      <c r="L1229" s="24" t="s">
        <v>69</v>
      </c>
    </row>
    <row r="1230">
      <c r="A1230" s="24">
        <f t="shared" si="1"/>
        <v>1229</v>
      </c>
      <c r="B1230" s="24" t="s">
        <v>553</v>
      </c>
      <c r="C1230" s="275">
        <v>42956.0</v>
      </c>
      <c r="D1230" s="24" t="str">
        <f t="shared" si="51"/>
        <v>Aug-2017</v>
      </c>
      <c r="E1230" s="24" t="s">
        <v>25</v>
      </c>
      <c r="F1230" s="24" t="s">
        <v>35</v>
      </c>
      <c r="G1230" s="23" t="s">
        <v>133</v>
      </c>
      <c r="H1230" s="24" t="s">
        <v>86</v>
      </c>
      <c r="I1230" s="24" t="s">
        <v>9</v>
      </c>
      <c r="J1230" s="24" t="s">
        <v>24</v>
      </c>
      <c r="K1230" s="24"/>
      <c r="L1230" s="24" t="s">
        <v>98</v>
      </c>
    </row>
    <row r="1231">
      <c r="A1231" s="24">
        <f t="shared" si="1"/>
        <v>1230</v>
      </c>
      <c r="B1231" s="24" t="s">
        <v>553</v>
      </c>
      <c r="C1231" s="275">
        <v>42956.0</v>
      </c>
      <c r="D1231" s="24" t="str">
        <f t="shared" si="51"/>
        <v>Aug-2017</v>
      </c>
      <c r="E1231" s="24" t="s">
        <v>32</v>
      </c>
      <c r="F1231" s="24" t="s">
        <v>35</v>
      </c>
      <c r="G1231" s="23" t="s">
        <v>133</v>
      </c>
      <c r="H1231" s="24" t="s">
        <v>86</v>
      </c>
      <c r="I1231" s="24" t="s">
        <v>9</v>
      </c>
      <c r="J1231" s="24" t="s">
        <v>30</v>
      </c>
      <c r="K1231" s="24"/>
      <c r="L1231" s="24" t="s">
        <v>29</v>
      </c>
    </row>
    <row r="1232">
      <c r="A1232" s="24">
        <f t="shared" si="1"/>
        <v>1231</v>
      </c>
      <c r="B1232" s="24" t="s">
        <v>553</v>
      </c>
      <c r="C1232" s="275">
        <v>42956.0</v>
      </c>
      <c r="D1232" s="24" t="str">
        <f t="shared" si="51"/>
        <v>Aug-2017</v>
      </c>
      <c r="E1232" s="24" t="s">
        <v>146</v>
      </c>
      <c r="F1232" s="24" t="s">
        <v>35</v>
      </c>
      <c r="G1232" s="23" t="s">
        <v>394</v>
      </c>
      <c r="H1232" s="24" t="s">
        <v>27</v>
      </c>
      <c r="I1232" s="24" t="s">
        <v>9</v>
      </c>
      <c r="J1232" s="24" t="s">
        <v>24</v>
      </c>
      <c r="K1232" s="24" t="s">
        <v>24</v>
      </c>
      <c r="L1232" s="24" t="s">
        <v>69</v>
      </c>
    </row>
    <row r="1233">
      <c r="A1233" s="24">
        <f t="shared" si="1"/>
        <v>1232</v>
      </c>
      <c r="B1233" s="24" t="s">
        <v>553</v>
      </c>
      <c r="C1233" s="275">
        <v>42956.0</v>
      </c>
      <c r="D1233" s="24" t="str">
        <f t="shared" si="51"/>
        <v>Aug-2017</v>
      </c>
      <c r="E1233" s="24" t="s">
        <v>149</v>
      </c>
      <c r="F1233" s="24" t="s">
        <v>35</v>
      </c>
      <c r="G1233" s="23" t="s">
        <v>394</v>
      </c>
      <c r="H1233" s="24" t="s">
        <v>27</v>
      </c>
      <c r="I1233" s="24" t="s">
        <v>9</v>
      </c>
      <c r="J1233" s="24" t="s">
        <v>24</v>
      </c>
      <c r="K1233" s="24"/>
      <c r="L1233" s="24" t="s">
        <v>98</v>
      </c>
    </row>
    <row r="1234">
      <c r="A1234" s="24">
        <f t="shared" si="1"/>
        <v>1233</v>
      </c>
      <c r="B1234" s="24" t="s">
        <v>553</v>
      </c>
      <c r="C1234" s="275">
        <v>42956.0</v>
      </c>
      <c r="D1234" s="24" t="str">
        <f t="shared" si="51"/>
        <v>Aug-2017</v>
      </c>
      <c r="E1234" s="24" t="s">
        <v>222</v>
      </c>
      <c r="F1234" s="24" t="s">
        <v>35</v>
      </c>
      <c r="G1234" s="23" t="s">
        <v>394</v>
      </c>
      <c r="H1234" s="24" t="s">
        <v>27</v>
      </c>
      <c r="I1234" s="24" t="s">
        <v>9</v>
      </c>
      <c r="J1234" s="24" t="s">
        <v>24</v>
      </c>
      <c r="K1234" s="24"/>
      <c r="L1234" s="24" t="s">
        <v>98</v>
      </c>
    </row>
    <row r="1235">
      <c r="A1235" s="24">
        <f t="shared" si="1"/>
        <v>1234</v>
      </c>
      <c r="B1235" s="24" t="s">
        <v>556</v>
      </c>
      <c r="C1235" s="275">
        <v>42958.0</v>
      </c>
      <c r="D1235" s="24" t="str">
        <f t="shared" si="51"/>
        <v>Aug-2017</v>
      </c>
      <c r="E1235" s="24" t="s">
        <v>20</v>
      </c>
      <c r="F1235" s="24" t="s">
        <v>35</v>
      </c>
      <c r="G1235" s="23" t="s">
        <v>187</v>
      </c>
      <c r="H1235" s="24" t="s">
        <v>27</v>
      </c>
      <c r="I1235" s="24" t="s">
        <v>9</v>
      </c>
      <c r="J1235" s="24" t="s">
        <v>30</v>
      </c>
      <c r="K1235" s="24" t="s">
        <v>30</v>
      </c>
      <c r="L1235" s="24" t="s">
        <v>98</v>
      </c>
    </row>
    <row r="1236">
      <c r="A1236" s="24">
        <f t="shared" si="1"/>
        <v>1235</v>
      </c>
      <c r="B1236" s="24" t="s">
        <v>556</v>
      </c>
      <c r="C1236" s="275">
        <v>42958.0</v>
      </c>
      <c r="D1236" s="24" t="str">
        <f t="shared" si="51"/>
        <v>Aug-2017</v>
      </c>
      <c r="E1236" s="24" t="s">
        <v>25</v>
      </c>
      <c r="F1236" s="24" t="s">
        <v>35</v>
      </c>
      <c r="G1236" s="23" t="s">
        <v>187</v>
      </c>
      <c r="H1236" s="24" t="s">
        <v>27</v>
      </c>
      <c r="I1236" s="24" t="s">
        <v>9</v>
      </c>
      <c r="J1236" s="24" t="s">
        <v>30</v>
      </c>
      <c r="K1236" s="24"/>
      <c r="L1236" s="24" t="s">
        <v>106</v>
      </c>
    </row>
    <row r="1237">
      <c r="A1237" s="24">
        <f t="shared" si="1"/>
        <v>1236</v>
      </c>
      <c r="B1237" s="24" t="s">
        <v>556</v>
      </c>
      <c r="C1237" s="275">
        <v>42958.0</v>
      </c>
      <c r="D1237" s="24" t="str">
        <f t="shared" si="51"/>
        <v>Aug-2017</v>
      </c>
      <c r="E1237" s="24" t="s">
        <v>20</v>
      </c>
      <c r="F1237" s="24" t="s">
        <v>35</v>
      </c>
      <c r="G1237" s="23" t="s">
        <v>393</v>
      </c>
      <c r="H1237" s="24" t="s">
        <v>102</v>
      </c>
      <c r="I1237" s="24" t="s">
        <v>9</v>
      </c>
      <c r="J1237" s="24" t="s">
        <v>30</v>
      </c>
      <c r="K1237" s="24" t="s">
        <v>24</v>
      </c>
      <c r="L1237" s="24" t="s">
        <v>98</v>
      </c>
    </row>
    <row r="1238">
      <c r="A1238" s="24">
        <f t="shared" si="1"/>
        <v>1237</v>
      </c>
      <c r="B1238" s="24" t="s">
        <v>556</v>
      </c>
      <c r="C1238" s="275">
        <v>42958.0</v>
      </c>
      <c r="D1238" s="24" t="str">
        <f t="shared" ref="D1238:D1241" si="52">TEXT(C1235:C1238, "mmm") &amp; "-" &amp; TEXT(C1235:C1238, "yyyy") </f>
        <v>Aug-2017</v>
      </c>
      <c r="E1238" s="24" t="s">
        <v>25</v>
      </c>
      <c r="F1238" s="24" t="s">
        <v>35</v>
      </c>
      <c r="G1238" s="23" t="s">
        <v>393</v>
      </c>
      <c r="H1238" s="24" t="s">
        <v>102</v>
      </c>
      <c r="I1238" s="24" t="s">
        <v>9</v>
      </c>
      <c r="J1238" s="24" t="s">
        <v>24</v>
      </c>
      <c r="K1238" s="24"/>
      <c r="L1238" s="24" t="s">
        <v>29</v>
      </c>
    </row>
    <row r="1239">
      <c r="A1239" s="24">
        <f t="shared" si="1"/>
        <v>1238</v>
      </c>
      <c r="B1239" s="24" t="s">
        <v>556</v>
      </c>
      <c r="C1239" s="275">
        <v>42958.0</v>
      </c>
      <c r="D1239" s="24" t="str">
        <f t="shared" si="52"/>
        <v>Aug-2017</v>
      </c>
      <c r="E1239" s="24" t="s">
        <v>32</v>
      </c>
      <c r="F1239" s="24" t="s">
        <v>35</v>
      </c>
      <c r="G1239" s="23" t="s">
        <v>393</v>
      </c>
      <c r="H1239" s="24" t="s">
        <v>102</v>
      </c>
      <c r="I1239" s="24" t="s">
        <v>9</v>
      </c>
      <c r="J1239" s="24" t="s">
        <v>24</v>
      </c>
      <c r="K1239" s="24"/>
      <c r="L1239" s="24" t="s">
        <v>106</v>
      </c>
    </row>
    <row r="1240">
      <c r="A1240" s="24">
        <f t="shared" si="1"/>
        <v>1239</v>
      </c>
      <c r="B1240" s="24" t="s">
        <v>556</v>
      </c>
      <c r="C1240" s="275">
        <v>42958.0</v>
      </c>
      <c r="D1240" s="24" t="str">
        <f t="shared" si="52"/>
        <v>Aug-2017</v>
      </c>
      <c r="E1240" s="24" t="s">
        <v>20</v>
      </c>
      <c r="F1240" s="24" t="s">
        <v>35</v>
      </c>
      <c r="G1240" s="23" t="s">
        <v>371</v>
      </c>
      <c r="H1240" s="24" t="s">
        <v>44</v>
      </c>
      <c r="I1240" s="24" t="s">
        <v>9</v>
      </c>
      <c r="J1240" s="24" t="s">
        <v>30</v>
      </c>
      <c r="K1240" s="24" t="s">
        <v>30</v>
      </c>
      <c r="L1240" s="24" t="s">
        <v>98</v>
      </c>
    </row>
    <row r="1241">
      <c r="A1241" s="24">
        <f t="shared" si="1"/>
        <v>1240</v>
      </c>
      <c r="B1241" s="24" t="s">
        <v>556</v>
      </c>
      <c r="C1241" s="275">
        <v>42958.0</v>
      </c>
      <c r="D1241" s="24" t="str">
        <f t="shared" si="52"/>
        <v>Aug-2017</v>
      </c>
      <c r="E1241" s="24" t="s">
        <v>25</v>
      </c>
      <c r="F1241" s="24" t="s">
        <v>35</v>
      </c>
      <c r="G1241" s="23" t="s">
        <v>371</v>
      </c>
      <c r="H1241" s="24" t="s">
        <v>44</v>
      </c>
      <c r="I1241" s="24" t="s">
        <v>9</v>
      </c>
      <c r="J1241" s="24" t="s">
        <v>30</v>
      </c>
      <c r="K1241" s="24"/>
      <c r="L1241" s="24" t="s">
        <v>98</v>
      </c>
    </row>
    <row r="1242">
      <c r="A1242" s="24">
        <f t="shared" si="1"/>
        <v>1241</v>
      </c>
      <c r="B1242" s="24" t="s">
        <v>556</v>
      </c>
      <c r="C1242" s="275">
        <v>42958.0</v>
      </c>
      <c r="D1242" s="24" t="str">
        <f t="shared" ref="D1242:D1243" si="53">TEXT(C1240:C1242, "mmm") &amp; "-" &amp; TEXT(C1240:C1242, "yyyy") </f>
        <v>Aug-2017</v>
      </c>
      <c r="E1242" s="24" t="s">
        <v>20</v>
      </c>
      <c r="F1242" s="24" t="s">
        <v>35</v>
      </c>
      <c r="G1242" s="23" t="s">
        <v>248</v>
      </c>
      <c r="H1242" s="24" t="s">
        <v>9</v>
      </c>
      <c r="I1242" s="24" t="s">
        <v>9</v>
      </c>
      <c r="J1242" s="24" t="s">
        <v>24</v>
      </c>
      <c r="K1242" s="24" t="s">
        <v>24</v>
      </c>
      <c r="L1242" s="24" t="s">
        <v>69</v>
      </c>
    </row>
    <row r="1243">
      <c r="A1243" s="24">
        <f t="shared" si="1"/>
        <v>1242</v>
      </c>
      <c r="B1243" s="24" t="s">
        <v>556</v>
      </c>
      <c r="C1243" s="275">
        <v>42958.0</v>
      </c>
      <c r="D1243" s="24" t="str">
        <f t="shared" si="53"/>
        <v>Aug-2017</v>
      </c>
      <c r="E1243" s="24" t="s">
        <v>25</v>
      </c>
      <c r="F1243" s="24" t="s">
        <v>35</v>
      </c>
      <c r="G1243" s="23" t="s">
        <v>248</v>
      </c>
      <c r="H1243" s="24" t="s">
        <v>9</v>
      </c>
      <c r="I1243" s="24" t="s">
        <v>9</v>
      </c>
      <c r="J1243" s="24" t="s">
        <v>24</v>
      </c>
      <c r="K1243" s="24"/>
      <c r="L1243" s="24" t="s">
        <v>98</v>
      </c>
    </row>
    <row r="1244">
      <c r="A1244" s="24">
        <f t="shared" si="1"/>
        <v>1243</v>
      </c>
      <c r="B1244" s="24" t="s">
        <v>557</v>
      </c>
      <c r="C1244" s="275">
        <v>42963.0</v>
      </c>
      <c r="D1244" s="24" t="str">
        <f t="shared" ref="D1244:D1245" si="54">TEXT(C1243:C1244, "mmm") &amp; "-" &amp; TEXT(C1243:C1244, "yyyy") </f>
        <v>Aug-2017</v>
      </c>
      <c r="E1244" s="24" t="s">
        <v>146</v>
      </c>
      <c r="F1244" s="24" t="s">
        <v>35</v>
      </c>
      <c r="G1244" s="23" t="s">
        <v>259</v>
      </c>
      <c r="H1244" s="24" t="s">
        <v>97</v>
      </c>
      <c r="I1244" s="24" t="s">
        <v>9</v>
      </c>
      <c r="J1244" s="24" t="s">
        <v>24</v>
      </c>
      <c r="K1244" s="24" t="s">
        <v>24</v>
      </c>
      <c r="L1244" s="24" t="s">
        <v>98</v>
      </c>
    </row>
    <row r="1245">
      <c r="A1245" s="24">
        <f t="shared" si="1"/>
        <v>1244</v>
      </c>
      <c r="B1245" s="24" t="s">
        <v>557</v>
      </c>
      <c r="C1245" s="275">
        <v>42963.0</v>
      </c>
      <c r="D1245" s="24" t="str">
        <f t="shared" si="54"/>
        <v>Aug-2017</v>
      </c>
      <c r="E1245" s="24" t="s">
        <v>149</v>
      </c>
      <c r="F1245" s="24" t="s">
        <v>35</v>
      </c>
      <c r="G1245" s="23" t="s">
        <v>259</v>
      </c>
      <c r="H1245" s="24" t="s">
        <v>97</v>
      </c>
      <c r="I1245" s="24" t="s">
        <v>9</v>
      </c>
      <c r="J1245" s="24" t="s">
        <v>24</v>
      </c>
      <c r="K1245" s="24"/>
      <c r="L1245" s="24" t="s">
        <v>69</v>
      </c>
    </row>
    <row r="1246">
      <c r="A1246" s="24">
        <f t="shared" si="1"/>
        <v>1245</v>
      </c>
      <c r="B1246" s="24" t="s">
        <v>557</v>
      </c>
      <c r="C1246" s="275">
        <v>42963.0</v>
      </c>
      <c r="D1246" s="24" t="str">
        <f>TEXT(C1244:C1246, "mmm") &amp; "-" &amp; TEXT(C1244:C1246, "yyyy") </f>
        <v>Aug-2017</v>
      </c>
      <c r="E1246" s="24" t="s">
        <v>222</v>
      </c>
      <c r="F1246" s="24" t="s">
        <v>35</v>
      </c>
      <c r="G1246" s="23" t="s">
        <v>259</v>
      </c>
      <c r="H1246" s="24" t="s">
        <v>97</v>
      </c>
      <c r="I1246" s="24" t="s">
        <v>9</v>
      </c>
      <c r="J1246" s="24" t="s">
        <v>24</v>
      </c>
      <c r="K1246" s="24"/>
      <c r="L1246" s="24" t="s">
        <v>29</v>
      </c>
    </row>
    <row r="1247">
      <c r="A1247" s="24">
        <f t="shared" si="1"/>
        <v>1246</v>
      </c>
      <c r="B1247" s="24" t="s">
        <v>557</v>
      </c>
      <c r="C1247" s="275">
        <v>42963.0</v>
      </c>
      <c r="D1247" s="24" t="str">
        <f t="shared" ref="D1247:D1248" si="55">TEXT(C1244:C1247, "mmm") &amp; "-" &amp; TEXT(C1244:C1247, "yyyy") </f>
        <v>Aug-2017</v>
      </c>
      <c r="E1247" s="24" t="s">
        <v>146</v>
      </c>
      <c r="F1247" s="24" t="s">
        <v>35</v>
      </c>
      <c r="G1247" s="23" t="s">
        <v>276</v>
      </c>
      <c r="H1247" s="24" t="s">
        <v>48</v>
      </c>
      <c r="I1247" s="24" t="s">
        <v>9</v>
      </c>
      <c r="J1247" s="24" t="s">
        <v>30</v>
      </c>
      <c r="K1247" s="24" t="s">
        <v>30</v>
      </c>
      <c r="L1247" s="24" t="s">
        <v>98</v>
      </c>
    </row>
    <row r="1248">
      <c r="A1248" s="24">
        <f t="shared" si="1"/>
        <v>1247</v>
      </c>
      <c r="B1248" s="24" t="s">
        <v>557</v>
      </c>
      <c r="C1248" s="275">
        <v>42963.0</v>
      </c>
      <c r="D1248" s="24" t="str">
        <f t="shared" si="55"/>
        <v>Aug-2017</v>
      </c>
      <c r="E1248" s="24" t="s">
        <v>149</v>
      </c>
      <c r="F1248" s="24" t="s">
        <v>35</v>
      </c>
      <c r="G1248" s="23" t="s">
        <v>276</v>
      </c>
      <c r="H1248" s="24" t="s">
        <v>48</v>
      </c>
      <c r="I1248" s="24" t="s">
        <v>9</v>
      </c>
      <c r="J1248" s="24" t="s">
        <v>30</v>
      </c>
      <c r="K1248" s="24"/>
      <c r="L1248" s="24" t="s">
        <v>37</v>
      </c>
    </row>
    <row r="1249">
      <c r="A1249" s="24">
        <f t="shared" si="1"/>
        <v>1248</v>
      </c>
      <c r="B1249" s="24" t="s">
        <v>557</v>
      </c>
      <c r="C1249" s="275">
        <v>42963.0</v>
      </c>
      <c r="D1249" s="24" t="str">
        <f t="shared" ref="D1249:D1253" si="56">TEXT(C1247:C1249, "mmm") &amp; "-" &amp; TEXT(C1247:C1249, "yyyy") </f>
        <v>Aug-2017</v>
      </c>
      <c r="E1249" s="24" t="s">
        <v>222</v>
      </c>
      <c r="F1249" s="24" t="s">
        <v>35</v>
      </c>
      <c r="G1249" s="23" t="s">
        <v>276</v>
      </c>
      <c r="H1249" s="24" t="s">
        <v>48</v>
      </c>
      <c r="I1249" s="24" t="s">
        <v>9</v>
      </c>
      <c r="J1249" s="24" t="s">
        <v>30</v>
      </c>
      <c r="K1249" s="24"/>
      <c r="L1249" s="24" t="s">
        <v>37</v>
      </c>
    </row>
    <row r="1250">
      <c r="A1250" s="24">
        <f t="shared" si="1"/>
        <v>1249</v>
      </c>
      <c r="B1250" s="24" t="s">
        <v>557</v>
      </c>
      <c r="C1250" s="275">
        <v>42963.0</v>
      </c>
      <c r="D1250" s="24" t="str">
        <f t="shared" si="56"/>
        <v>Aug-2017</v>
      </c>
      <c r="E1250" s="24" t="s">
        <v>146</v>
      </c>
      <c r="F1250" s="24" t="s">
        <v>35</v>
      </c>
      <c r="G1250" s="23" t="s">
        <v>36</v>
      </c>
      <c r="H1250" s="24" t="s">
        <v>27</v>
      </c>
      <c r="I1250" s="24" t="s">
        <v>9</v>
      </c>
      <c r="J1250" s="24" t="s">
        <v>24</v>
      </c>
      <c r="K1250" s="24" t="s">
        <v>24</v>
      </c>
      <c r="L1250" s="24" t="s">
        <v>29</v>
      </c>
    </row>
    <row r="1251">
      <c r="A1251" s="24">
        <f t="shared" si="1"/>
        <v>1250</v>
      </c>
      <c r="B1251" s="24" t="s">
        <v>557</v>
      </c>
      <c r="C1251" s="275">
        <v>42963.0</v>
      </c>
      <c r="D1251" s="24" t="str">
        <f t="shared" si="56"/>
        <v>Aug-2017</v>
      </c>
      <c r="E1251" s="24" t="s">
        <v>149</v>
      </c>
      <c r="F1251" s="24" t="s">
        <v>35</v>
      </c>
      <c r="G1251" s="23" t="s">
        <v>36</v>
      </c>
      <c r="H1251" s="24" t="s">
        <v>27</v>
      </c>
      <c r="I1251" s="24" t="s">
        <v>9</v>
      </c>
      <c r="J1251" s="24" t="s">
        <v>30</v>
      </c>
      <c r="K1251" s="24"/>
      <c r="L1251" s="24" t="s">
        <v>98</v>
      </c>
    </row>
    <row r="1252">
      <c r="A1252" s="24">
        <f t="shared" si="1"/>
        <v>1251</v>
      </c>
      <c r="B1252" s="24" t="s">
        <v>557</v>
      </c>
      <c r="C1252" s="275">
        <v>42963.0</v>
      </c>
      <c r="D1252" s="24" t="str">
        <f t="shared" si="56"/>
        <v>Aug-2017</v>
      </c>
      <c r="E1252" s="24" t="s">
        <v>222</v>
      </c>
      <c r="F1252" s="24" t="s">
        <v>35</v>
      </c>
      <c r="G1252" s="23" t="s">
        <v>36</v>
      </c>
      <c r="H1252" s="24" t="s">
        <v>27</v>
      </c>
      <c r="I1252" s="24" t="s">
        <v>9</v>
      </c>
      <c r="J1252" s="24" t="s">
        <v>24</v>
      </c>
      <c r="K1252" s="24"/>
      <c r="L1252" s="24" t="s">
        <v>37</v>
      </c>
    </row>
    <row r="1253">
      <c r="A1253" s="24">
        <f t="shared" si="1"/>
        <v>1252</v>
      </c>
      <c r="B1253" s="24" t="s">
        <v>557</v>
      </c>
      <c r="C1253" s="275">
        <v>42963.0</v>
      </c>
      <c r="D1253" s="24" t="str">
        <f t="shared" si="56"/>
        <v>Aug-2017</v>
      </c>
      <c r="E1253" s="24" t="s">
        <v>467</v>
      </c>
      <c r="F1253" s="24" t="s">
        <v>35</v>
      </c>
      <c r="G1253" s="23" t="s">
        <v>36</v>
      </c>
      <c r="H1253" s="24" t="s">
        <v>27</v>
      </c>
      <c r="I1253" s="24" t="s">
        <v>9</v>
      </c>
      <c r="J1253" s="24" t="s">
        <v>24</v>
      </c>
      <c r="K1253" s="24"/>
      <c r="L1253" s="24" t="s">
        <v>69</v>
      </c>
    </row>
    <row r="1254">
      <c r="A1254" s="24">
        <f t="shared" si="1"/>
        <v>1253</v>
      </c>
      <c r="B1254" s="24" t="s">
        <v>558</v>
      </c>
      <c r="C1254" s="275">
        <v>42965.0</v>
      </c>
      <c r="D1254" s="24" t="str">
        <f t="shared" ref="D1254:D1255" si="57">TEXT(C1253:C1254, "mmm") &amp; "-" &amp; TEXT(C1253:C1254, "yyyy") </f>
        <v>Aug-2017</v>
      </c>
      <c r="E1254" s="24" t="s">
        <v>20</v>
      </c>
      <c r="F1254" s="24" t="s">
        <v>35</v>
      </c>
      <c r="G1254" s="23" t="s">
        <v>114</v>
      </c>
      <c r="H1254" s="24" t="s">
        <v>27</v>
      </c>
      <c r="I1254" s="24" t="s">
        <v>9</v>
      </c>
      <c r="J1254" s="24" t="s">
        <v>30</v>
      </c>
      <c r="K1254" s="24" t="s">
        <v>30</v>
      </c>
      <c r="L1254" s="24" t="s">
        <v>98</v>
      </c>
    </row>
    <row r="1255">
      <c r="A1255" s="24">
        <f t="shared" si="1"/>
        <v>1254</v>
      </c>
      <c r="B1255" s="24" t="s">
        <v>558</v>
      </c>
      <c r="C1255" s="275">
        <v>42965.0</v>
      </c>
      <c r="D1255" s="24" t="str">
        <f t="shared" si="57"/>
        <v>Aug-2017</v>
      </c>
      <c r="E1255" s="24" t="s">
        <v>25</v>
      </c>
      <c r="F1255" s="24" t="s">
        <v>35</v>
      </c>
      <c r="G1255" s="23" t="s">
        <v>114</v>
      </c>
      <c r="H1255" s="24" t="s">
        <v>27</v>
      </c>
      <c r="I1255" s="24" t="s">
        <v>9</v>
      </c>
      <c r="J1255" s="24" t="s">
        <v>30</v>
      </c>
      <c r="K1255" s="24"/>
      <c r="L1255" s="24" t="s">
        <v>99</v>
      </c>
    </row>
    <row r="1256">
      <c r="A1256" s="24">
        <f t="shared" si="1"/>
        <v>1255</v>
      </c>
      <c r="B1256" s="24" t="s">
        <v>558</v>
      </c>
      <c r="C1256" s="275">
        <v>42965.0</v>
      </c>
      <c r="D1256" s="24" t="str">
        <f>TEXT(C1254:C1256, "mmm") &amp; "-" &amp; TEXT(C1254:C1256, "yyyy") </f>
        <v>Aug-2017</v>
      </c>
      <c r="E1256" s="24" t="s">
        <v>20</v>
      </c>
      <c r="F1256" s="24" t="s">
        <v>35</v>
      </c>
      <c r="G1256" s="23" t="s">
        <v>450</v>
      </c>
      <c r="H1256" s="24" t="s">
        <v>9</v>
      </c>
      <c r="I1256" s="24" t="s">
        <v>9</v>
      </c>
      <c r="J1256" s="24" t="s">
        <v>24</v>
      </c>
      <c r="K1256" s="24" t="s">
        <v>24</v>
      </c>
      <c r="L1256" s="24" t="s">
        <v>98</v>
      </c>
    </row>
    <row r="1257">
      <c r="A1257" s="24">
        <f t="shared" si="1"/>
        <v>1256</v>
      </c>
      <c r="B1257" s="24" t="s">
        <v>558</v>
      </c>
      <c r="C1257" s="275">
        <v>42965.0</v>
      </c>
      <c r="D1257" s="24" t="str">
        <f>TEXT(C1254:C1257, "mmm") &amp; "-" &amp; TEXT(C1254:C1257, "yyyy") </f>
        <v>Aug-2017</v>
      </c>
      <c r="E1257" s="24" t="s">
        <v>25</v>
      </c>
      <c r="F1257" s="24" t="s">
        <v>35</v>
      </c>
      <c r="G1257" s="23" t="s">
        <v>450</v>
      </c>
      <c r="H1257" s="24" t="s">
        <v>9</v>
      </c>
      <c r="I1257" s="24" t="s">
        <v>9</v>
      </c>
      <c r="J1257" s="24" t="s">
        <v>24</v>
      </c>
      <c r="K1257" s="24"/>
      <c r="L1257" s="24" t="s">
        <v>69</v>
      </c>
    </row>
    <row r="1258">
      <c r="A1258" s="24">
        <f t="shared" si="1"/>
        <v>1257</v>
      </c>
      <c r="B1258" s="24" t="s">
        <v>558</v>
      </c>
      <c r="C1258" s="275">
        <v>42965.0</v>
      </c>
      <c r="D1258" s="24" t="str">
        <f t="shared" ref="D1258:D1263" si="58">TEXT(C1256:C1258, "mmm") &amp; "-" &amp; TEXT(C1256:C1258, "yyyy") </f>
        <v>Aug-2017</v>
      </c>
      <c r="E1258" s="24" t="s">
        <v>20</v>
      </c>
      <c r="F1258" s="24" t="s">
        <v>35</v>
      </c>
      <c r="G1258" s="23" t="s">
        <v>127</v>
      </c>
      <c r="H1258" s="24" t="s">
        <v>44</v>
      </c>
      <c r="I1258" s="24" t="s">
        <v>9</v>
      </c>
      <c r="J1258" s="24" t="s">
        <v>30</v>
      </c>
      <c r="K1258" s="24" t="s">
        <v>30</v>
      </c>
      <c r="L1258" s="24" t="s">
        <v>98</v>
      </c>
    </row>
    <row r="1259">
      <c r="A1259" s="24">
        <f t="shared" si="1"/>
        <v>1258</v>
      </c>
      <c r="B1259" s="24" t="s">
        <v>558</v>
      </c>
      <c r="C1259" s="275">
        <v>42965.0</v>
      </c>
      <c r="D1259" s="24" t="str">
        <f t="shared" si="58"/>
        <v>Aug-2017</v>
      </c>
      <c r="E1259" s="24" t="s">
        <v>25</v>
      </c>
      <c r="F1259" s="24" t="s">
        <v>35</v>
      </c>
      <c r="G1259" s="23" t="s">
        <v>127</v>
      </c>
      <c r="H1259" s="24" t="s">
        <v>44</v>
      </c>
      <c r="I1259" s="24" t="s">
        <v>9</v>
      </c>
      <c r="J1259" s="24" t="s">
        <v>24</v>
      </c>
      <c r="K1259" s="24"/>
      <c r="L1259" s="24" t="s">
        <v>69</v>
      </c>
    </row>
    <row r="1260">
      <c r="A1260" s="24">
        <f t="shared" si="1"/>
        <v>1259</v>
      </c>
      <c r="B1260" s="24" t="s">
        <v>558</v>
      </c>
      <c r="C1260" s="275">
        <v>42965.0</v>
      </c>
      <c r="D1260" s="24" t="str">
        <f t="shared" si="58"/>
        <v>Aug-2017</v>
      </c>
      <c r="E1260" s="24" t="s">
        <v>32</v>
      </c>
      <c r="F1260" s="24" t="s">
        <v>35</v>
      </c>
      <c r="G1260" s="23" t="s">
        <v>127</v>
      </c>
      <c r="H1260" s="24" t="s">
        <v>44</v>
      </c>
      <c r="I1260" s="24" t="s">
        <v>9</v>
      </c>
      <c r="J1260" s="24" t="s">
        <v>30</v>
      </c>
      <c r="K1260" s="24"/>
      <c r="L1260" s="24" t="s">
        <v>106</v>
      </c>
    </row>
    <row r="1261">
      <c r="A1261" s="24">
        <f t="shared" si="1"/>
        <v>1260</v>
      </c>
      <c r="B1261" s="24" t="s">
        <v>558</v>
      </c>
      <c r="C1261" s="275">
        <v>42965.0</v>
      </c>
      <c r="D1261" s="24" t="str">
        <f t="shared" si="58"/>
        <v>Aug-2017</v>
      </c>
      <c r="E1261" s="24" t="s">
        <v>20</v>
      </c>
      <c r="F1261" s="24" t="s">
        <v>35</v>
      </c>
      <c r="G1261" s="23" t="s">
        <v>559</v>
      </c>
      <c r="H1261" s="24" t="s">
        <v>9</v>
      </c>
      <c r="I1261" s="24" t="s">
        <v>9</v>
      </c>
      <c r="J1261" s="24" t="s">
        <v>24</v>
      </c>
      <c r="K1261" s="24" t="s">
        <v>30</v>
      </c>
      <c r="L1261" s="24" t="s">
        <v>98</v>
      </c>
    </row>
    <row r="1262">
      <c r="A1262" s="24">
        <f t="shared" si="1"/>
        <v>1261</v>
      </c>
      <c r="B1262" s="24" t="s">
        <v>558</v>
      </c>
      <c r="C1262" s="275">
        <v>42965.0</v>
      </c>
      <c r="D1262" s="24" t="str">
        <f t="shared" si="58"/>
        <v>Aug-2017</v>
      </c>
      <c r="E1262" s="24" t="s">
        <v>25</v>
      </c>
      <c r="F1262" s="24" t="s">
        <v>35</v>
      </c>
      <c r="G1262" s="23" t="s">
        <v>559</v>
      </c>
      <c r="H1262" s="24" t="s">
        <v>9</v>
      </c>
      <c r="I1262" s="24" t="s">
        <v>9</v>
      </c>
      <c r="J1262" s="24" t="s">
        <v>30</v>
      </c>
      <c r="K1262" s="24"/>
      <c r="L1262" s="24" t="s">
        <v>69</v>
      </c>
    </row>
    <row r="1263">
      <c r="A1263" s="24">
        <f t="shared" si="1"/>
        <v>1262</v>
      </c>
      <c r="B1263" s="24" t="s">
        <v>558</v>
      </c>
      <c r="C1263" s="275">
        <v>42965.0</v>
      </c>
      <c r="D1263" s="24" t="str">
        <f t="shared" si="58"/>
        <v>Aug-2017</v>
      </c>
      <c r="E1263" s="24" t="s">
        <v>32</v>
      </c>
      <c r="F1263" s="24" t="s">
        <v>35</v>
      </c>
      <c r="G1263" s="23" t="s">
        <v>559</v>
      </c>
      <c r="H1263" s="24" t="s">
        <v>9</v>
      </c>
      <c r="I1263" s="24" t="s">
        <v>9</v>
      </c>
      <c r="J1263" s="24" t="s">
        <v>30</v>
      </c>
      <c r="K1263" s="24"/>
      <c r="L1263" s="24" t="s">
        <v>37</v>
      </c>
    </row>
    <row r="1264">
      <c r="A1264" s="24">
        <f t="shared" si="1"/>
        <v>1263</v>
      </c>
      <c r="B1264" s="24" t="s">
        <v>558</v>
      </c>
      <c r="C1264" s="275">
        <v>42965.0</v>
      </c>
      <c r="D1264" s="24" t="str">
        <f t="shared" ref="D1264:D1265" si="59">TEXT(C1258:C1264, "mmm") &amp; "-" &amp; TEXT(C1258:C1264, "yyyy") </f>
        <v>Aug-2017</v>
      </c>
      <c r="E1264" s="24" t="s">
        <v>20</v>
      </c>
      <c r="F1264" s="24" t="s">
        <v>35</v>
      </c>
      <c r="G1264" s="23" t="s">
        <v>194</v>
      </c>
      <c r="H1264" s="24" t="s">
        <v>23</v>
      </c>
      <c r="I1264" s="24" t="s">
        <v>9</v>
      </c>
      <c r="J1264" s="24" t="s">
        <v>24</v>
      </c>
      <c r="K1264" s="24" t="s">
        <v>24</v>
      </c>
      <c r="L1264" s="24" t="s">
        <v>99</v>
      </c>
    </row>
    <row r="1265">
      <c r="A1265" s="24">
        <f t="shared" si="1"/>
        <v>1264</v>
      </c>
      <c r="B1265" s="24" t="s">
        <v>558</v>
      </c>
      <c r="C1265" s="275">
        <v>42965.0</v>
      </c>
      <c r="D1265" s="24" t="str">
        <f t="shared" si="59"/>
        <v>Aug-2017</v>
      </c>
      <c r="E1265" s="24" t="s">
        <v>25</v>
      </c>
      <c r="F1265" s="24" t="s">
        <v>35</v>
      </c>
      <c r="G1265" s="23" t="s">
        <v>194</v>
      </c>
      <c r="H1265" s="24" t="s">
        <v>23</v>
      </c>
      <c r="I1265" s="24" t="s">
        <v>9</v>
      </c>
      <c r="J1265" s="24" t="s">
        <v>24</v>
      </c>
      <c r="K1265" s="24"/>
      <c r="L1265" s="24" t="s">
        <v>69</v>
      </c>
    </row>
    <row r="1266">
      <c r="A1266" s="24">
        <f t="shared" si="1"/>
        <v>1265</v>
      </c>
      <c r="B1266" s="24" t="s">
        <v>560</v>
      </c>
      <c r="C1266" s="275">
        <v>42966.0</v>
      </c>
      <c r="D1266" s="24" t="str">
        <f t="shared" ref="D1266:D1271" si="60">TEXT(C1261:C1266, "mmm") &amp; "-" &amp; TEXT(C1261:C1266, "yyyy") </f>
        <v>Aug-2017</v>
      </c>
      <c r="E1266" s="24" t="s">
        <v>20</v>
      </c>
      <c r="F1266" s="24" t="s">
        <v>287</v>
      </c>
      <c r="G1266" s="23" t="s">
        <v>561</v>
      </c>
      <c r="H1266" s="24" t="s">
        <v>71</v>
      </c>
      <c r="I1266" s="24" t="s">
        <v>9</v>
      </c>
      <c r="J1266" s="24" t="s">
        <v>30</v>
      </c>
      <c r="K1266" s="24" t="s">
        <v>30</v>
      </c>
      <c r="L1266" s="24" t="s">
        <v>99</v>
      </c>
    </row>
    <row r="1267">
      <c r="A1267" s="24">
        <f t="shared" si="1"/>
        <v>1266</v>
      </c>
      <c r="B1267" s="24" t="s">
        <v>560</v>
      </c>
      <c r="C1267" s="275">
        <v>42966.0</v>
      </c>
      <c r="D1267" s="24" t="str">
        <f t="shared" si="60"/>
        <v>Aug-2017</v>
      </c>
      <c r="E1267" s="24" t="s">
        <v>25</v>
      </c>
      <c r="F1267" s="24" t="s">
        <v>287</v>
      </c>
      <c r="G1267" s="23" t="s">
        <v>561</v>
      </c>
      <c r="H1267" s="24" t="s">
        <v>71</v>
      </c>
      <c r="I1267" s="24" t="s">
        <v>9</v>
      </c>
      <c r="J1267" s="24" t="s">
        <v>30</v>
      </c>
      <c r="K1267" s="24"/>
      <c r="L1267" s="24" t="s">
        <v>69</v>
      </c>
    </row>
    <row r="1268">
      <c r="A1268" s="24">
        <f t="shared" si="1"/>
        <v>1267</v>
      </c>
      <c r="B1268" s="24" t="s">
        <v>560</v>
      </c>
      <c r="C1268" s="275">
        <v>42966.0</v>
      </c>
      <c r="D1268" s="24" t="str">
        <f t="shared" si="60"/>
        <v>Aug-2017</v>
      </c>
      <c r="E1268" s="24" t="s">
        <v>20</v>
      </c>
      <c r="F1268" s="24" t="s">
        <v>287</v>
      </c>
      <c r="G1268" s="23" t="s">
        <v>520</v>
      </c>
      <c r="H1268" s="24" t="s">
        <v>86</v>
      </c>
      <c r="I1268" s="24" t="s">
        <v>9</v>
      </c>
      <c r="J1268" s="24" t="s">
        <v>30</v>
      </c>
      <c r="K1268" s="24" t="s">
        <v>30</v>
      </c>
      <c r="L1268" s="24" t="s">
        <v>29</v>
      </c>
    </row>
    <row r="1269">
      <c r="A1269" s="24">
        <f t="shared" si="1"/>
        <v>1268</v>
      </c>
      <c r="B1269" s="24" t="s">
        <v>560</v>
      </c>
      <c r="C1269" s="275">
        <v>42966.0</v>
      </c>
      <c r="D1269" s="24" t="str">
        <f t="shared" si="60"/>
        <v>Aug-2017</v>
      </c>
      <c r="E1269" s="24" t="s">
        <v>25</v>
      </c>
      <c r="F1269" s="24" t="s">
        <v>287</v>
      </c>
      <c r="G1269" s="23" t="s">
        <v>520</v>
      </c>
      <c r="H1269" s="24" t="s">
        <v>86</v>
      </c>
      <c r="I1269" s="24" t="s">
        <v>9</v>
      </c>
      <c r="J1269" s="24" t="s">
        <v>30</v>
      </c>
      <c r="K1269" s="24"/>
      <c r="L1269" s="24" t="s">
        <v>98</v>
      </c>
    </row>
    <row r="1270">
      <c r="A1270" s="24">
        <f t="shared" si="1"/>
        <v>1269</v>
      </c>
      <c r="B1270" s="24" t="s">
        <v>560</v>
      </c>
      <c r="C1270" s="275">
        <v>42966.0</v>
      </c>
      <c r="D1270" s="24" t="str">
        <f t="shared" si="60"/>
        <v>Aug-2017</v>
      </c>
      <c r="E1270" s="24" t="s">
        <v>20</v>
      </c>
      <c r="F1270" s="24" t="s">
        <v>287</v>
      </c>
      <c r="G1270" s="23" t="s">
        <v>563</v>
      </c>
      <c r="H1270" s="24" t="s">
        <v>44</v>
      </c>
      <c r="I1270" s="24" t="s">
        <v>9</v>
      </c>
      <c r="J1270" s="24" t="s">
        <v>30</v>
      </c>
      <c r="K1270" s="24" t="s">
        <v>30</v>
      </c>
      <c r="L1270" s="24" t="s">
        <v>37</v>
      </c>
    </row>
    <row r="1271">
      <c r="A1271" s="24">
        <f t="shared" si="1"/>
        <v>1270</v>
      </c>
      <c r="B1271" s="24" t="s">
        <v>560</v>
      </c>
      <c r="C1271" s="275">
        <v>42966.0</v>
      </c>
      <c r="D1271" s="24" t="str">
        <f t="shared" si="60"/>
        <v>Aug-2017</v>
      </c>
      <c r="E1271" s="24" t="s">
        <v>25</v>
      </c>
      <c r="F1271" s="24" t="s">
        <v>287</v>
      </c>
      <c r="G1271" s="23" t="s">
        <v>563</v>
      </c>
      <c r="H1271" s="24" t="s">
        <v>44</v>
      </c>
      <c r="I1271" s="24" t="s">
        <v>9</v>
      </c>
      <c r="J1271" s="24" t="s">
        <v>30</v>
      </c>
      <c r="K1271" s="24"/>
      <c r="L1271" s="24" t="s">
        <v>106</v>
      </c>
    </row>
    <row r="1272">
      <c r="A1272" s="24">
        <f t="shared" si="1"/>
        <v>1271</v>
      </c>
      <c r="B1272" s="24" t="s">
        <v>560</v>
      </c>
      <c r="C1272" s="275">
        <v>42966.0</v>
      </c>
      <c r="D1272" s="24" t="str">
        <f t="shared" ref="D1272:D1290" si="61">TEXT(C1266:C1272, "mmm") &amp; "-" &amp; TEXT(C1266:C1272, "yyyy") </f>
        <v>Aug-2017</v>
      </c>
      <c r="E1272" s="24" t="s">
        <v>20</v>
      </c>
      <c r="F1272" s="24" t="s">
        <v>287</v>
      </c>
      <c r="G1272" s="23" t="s">
        <v>565</v>
      </c>
      <c r="H1272" s="24" t="s">
        <v>9</v>
      </c>
      <c r="I1272" s="24" t="s">
        <v>9</v>
      </c>
      <c r="J1272" s="24" t="s">
        <v>30</v>
      </c>
      <c r="K1272" s="24" t="s">
        <v>30</v>
      </c>
      <c r="L1272" s="24" t="s">
        <v>98</v>
      </c>
    </row>
    <row r="1273">
      <c r="A1273" s="24">
        <f t="shared" si="1"/>
        <v>1272</v>
      </c>
      <c r="B1273" s="24" t="s">
        <v>560</v>
      </c>
      <c r="C1273" s="275">
        <v>42966.0</v>
      </c>
      <c r="D1273" s="24" t="str">
        <f t="shared" si="61"/>
        <v>Aug-2017</v>
      </c>
      <c r="E1273" s="24" t="s">
        <v>25</v>
      </c>
      <c r="F1273" s="24" t="s">
        <v>287</v>
      </c>
      <c r="G1273" s="23" t="s">
        <v>565</v>
      </c>
      <c r="H1273" s="24" t="s">
        <v>9</v>
      </c>
      <c r="I1273" s="24" t="s">
        <v>9</v>
      </c>
      <c r="J1273" s="24" t="s">
        <v>30</v>
      </c>
      <c r="K1273" s="24"/>
      <c r="L1273" s="24" t="s">
        <v>106</v>
      </c>
    </row>
    <row r="1274">
      <c r="A1274" s="24">
        <f t="shared" si="1"/>
        <v>1273</v>
      </c>
      <c r="B1274" s="24" t="s">
        <v>560</v>
      </c>
      <c r="C1274" s="275">
        <v>42966.0</v>
      </c>
      <c r="D1274" s="24" t="str">
        <f t="shared" si="61"/>
        <v>Aug-2017</v>
      </c>
      <c r="E1274" s="24" t="s">
        <v>20</v>
      </c>
      <c r="F1274" s="24" t="s">
        <v>287</v>
      </c>
      <c r="G1274" s="23" t="s">
        <v>566</v>
      </c>
      <c r="H1274" s="24" t="s">
        <v>9</v>
      </c>
      <c r="I1274" s="24" t="s">
        <v>9</v>
      </c>
      <c r="J1274" s="24" t="s">
        <v>30</v>
      </c>
      <c r="K1274" s="24" t="s">
        <v>30</v>
      </c>
      <c r="L1274" s="24" t="s">
        <v>99</v>
      </c>
    </row>
    <row r="1275">
      <c r="A1275" s="24">
        <f t="shared" si="1"/>
        <v>1274</v>
      </c>
      <c r="B1275" s="24" t="s">
        <v>560</v>
      </c>
      <c r="C1275" s="275">
        <v>42966.0</v>
      </c>
      <c r="D1275" s="24" t="str">
        <f t="shared" si="61"/>
        <v>Aug-2017</v>
      </c>
      <c r="E1275" s="24" t="s">
        <v>25</v>
      </c>
      <c r="F1275" s="24" t="s">
        <v>287</v>
      </c>
      <c r="G1275" s="23" t="s">
        <v>566</v>
      </c>
      <c r="H1275" s="24" t="s">
        <v>9</v>
      </c>
      <c r="I1275" s="24" t="s">
        <v>9</v>
      </c>
      <c r="J1275" s="24" t="s">
        <v>30</v>
      </c>
      <c r="K1275" s="24"/>
      <c r="L1275" s="24" t="s">
        <v>37</v>
      </c>
    </row>
    <row r="1276">
      <c r="A1276" s="24">
        <f t="shared" si="1"/>
        <v>1275</v>
      </c>
      <c r="B1276" s="24" t="s">
        <v>560</v>
      </c>
      <c r="C1276" s="275">
        <v>42966.0</v>
      </c>
      <c r="D1276" s="24" t="str">
        <f t="shared" si="61"/>
        <v>Aug-2017</v>
      </c>
      <c r="E1276" s="24" t="s">
        <v>20</v>
      </c>
      <c r="F1276" s="24" t="s">
        <v>287</v>
      </c>
      <c r="G1276" s="23" t="s">
        <v>567</v>
      </c>
      <c r="H1276" s="24" t="s">
        <v>27</v>
      </c>
      <c r="I1276" s="24" t="s">
        <v>9</v>
      </c>
      <c r="J1276" s="24" t="s">
        <v>24</v>
      </c>
      <c r="K1276" s="24" t="s">
        <v>24</v>
      </c>
      <c r="L1276" s="24" t="s">
        <v>69</v>
      </c>
    </row>
    <row r="1277">
      <c r="A1277" s="24">
        <f t="shared" si="1"/>
        <v>1276</v>
      </c>
      <c r="B1277" s="24" t="s">
        <v>560</v>
      </c>
      <c r="C1277" s="275">
        <v>42966.0</v>
      </c>
      <c r="D1277" s="24" t="str">
        <f t="shared" si="61"/>
        <v>Aug-2017</v>
      </c>
      <c r="E1277" s="24" t="s">
        <v>25</v>
      </c>
      <c r="F1277" s="24" t="s">
        <v>287</v>
      </c>
      <c r="G1277" s="23" t="s">
        <v>567</v>
      </c>
      <c r="H1277" s="24" t="s">
        <v>27</v>
      </c>
      <c r="I1277" s="24" t="s">
        <v>9</v>
      </c>
      <c r="J1277" s="24" t="s">
        <v>24</v>
      </c>
      <c r="K1277" s="24"/>
      <c r="L1277" s="24" t="s">
        <v>106</v>
      </c>
    </row>
    <row r="1278">
      <c r="A1278" s="24">
        <f t="shared" si="1"/>
        <v>1277</v>
      </c>
      <c r="B1278" s="24" t="s">
        <v>560</v>
      </c>
      <c r="C1278" s="275">
        <v>42966.0</v>
      </c>
      <c r="D1278" s="24" t="str">
        <f t="shared" si="61"/>
        <v>Aug-2017</v>
      </c>
      <c r="E1278" s="24" t="s">
        <v>20</v>
      </c>
      <c r="F1278" s="24" t="s">
        <v>287</v>
      </c>
      <c r="G1278" s="23" t="s">
        <v>451</v>
      </c>
      <c r="H1278" s="24" t="s">
        <v>139</v>
      </c>
      <c r="I1278" s="24" t="s">
        <v>9</v>
      </c>
      <c r="J1278" s="24" t="s">
        <v>30</v>
      </c>
      <c r="K1278" s="24" t="s">
        <v>30</v>
      </c>
      <c r="L1278" s="24" t="s">
        <v>98</v>
      </c>
    </row>
    <row r="1279">
      <c r="A1279" s="24">
        <f t="shared" si="1"/>
        <v>1278</v>
      </c>
      <c r="B1279" s="24" t="s">
        <v>560</v>
      </c>
      <c r="C1279" s="275">
        <v>42966.0</v>
      </c>
      <c r="D1279" s="24" t="str">
        <f t="shared" si="61"/>
        <v>Aug-2017</v>
      </c>
      <c r="E1279" s="24" t="s">
        <v>25</v>
      </c>
      <c r="F1279" s="24" t="s">
        <v>287</v>
      </c>
      <c r="G1279" s="23" t="s">
        <v>451</v>
      </c>
      <c r="H1279" s="24" t="s">
        <v>139</v>
      </c>
      <c r="I1279" s="24" t="s">
        <v>9</v>
      </c>
      <c r="J1279" s="24" t="s">
        <v>30</v>
      </c>
      <c r="K1279" s="24"/>
      <c r="L1279" s="24" t="s">
        <v>99</v>
      </c>
    </row>
    <row r="1280">
      <c r="A1280" s="24">
        <f t="shared" si="1"/>
        <v>1279</v>
      </c>
      <c r="B1280" s="24" t="s">
        <v>560</v>
      </c>
      <c r="C1280" s="275">
        <v>42966.0</v>
      </c>
      <c r="D1280" s="24" t="str">
        <f t="shared" si="61"/>
        <v>Aug-2017</v>
      </c>
      <c r="E1280" s="24" t="s">
        <v>20</v>
      </c>
      <c r="F1280" s="24" t="s">
        <v>287</v>
      </c>
      <c r="G1280" s="23" t="s">
        <v>568</v>
      </c>
      <c r="H1280" s="24" t="s">
        <v>71</v>
      </c>
      <c r="I1280" s="24" t="s">
        <v>9</v>
      </c>
      <c r="J1280" s="24" t="s">
        <v>30</v>
      </c>
      <c r="K1280" s="24" t="s">
        <v>30</v>
      </c>
      <c r="L1280" s="24" t="s">
        <v>69</v>
      </c>
    </row>
    <row r="1281">
      <c r="A1281" s="24">
        <f t="shared" si="1"/>
        <v>1280</v>
      </c>
      <c r="B1281" s="24" t="s">
        <v>560</v>
      </c>
      <c r="C1281" s="275">
        <v>42966.0</v>
      </c>
      <c r="D1281" s="24" t="str">
        <f t="shared" si="61"/>
        <v>Aug-2017</v>
      </c>
      <c r="E1281" s="24" t="s">
        <v>25</v>
      </c>
      <c r="F1281" s="24" t="s">
        <v>287</v>
      </c>
      <c r="G1281" s="23" t="s">
        <v>568</v>
      </c>
      <c r="H1281" s="24" t="s">
        <v>479</v>
      </c>
      <c r="I1281" s="24" t="s">
        <v>9</v>
      </c>
      <c r="J1281" s="24" t="s">
        <v>30</v>
      </c>
      <c r="K1281" s="24"/>
      <c r="L1281" s="24" t="s">
        <v>106</v>
      </c>
    </row>
    <row r="1282">
      <c r="A1282" s="24">
        <f t="shared" si="1"/>
        <v>1281</v>
      </c>
      <c r="B1282" s="24" t="s">
        <v>560</v>
      </c>
      <c r="C1282" s="275">
        <v>42966.0</v>
      </c>
      <c r="D1282" s="24" t="str">
        <f t="shared" si="61"/>
        <v>Aug-2017</v>
      </c>
      <c r="E1282" s="24" t="s">
        <v>20</v>
      </c>
      <c r="F1282" s="24" t="s">
        <v>35</v>
      </c>
      <c r="G1282" s="23" t="s">
        <v>569</v>
      </c>
      <c r="H1282" s="24" t="s">
        <v>44</v>
      </c>
      <c r="I1282" s="24" t="s">
        <v>9</v>
      </c>
      <c r="J1282" s="24" t="s">
        <v>30</v>
      </c>
      <c r="K1282" s="24" t="s">
        <v>30</v>
      </c>
      <c r="L1282" s="24" t="s">
        <v>98</v>
      </c>
    </row>
    <row r="1283">
      <c r="A1283" s="24">
        <f t="shared" si="1"/>
        <v>1282</v>
      </c>
      <c r="B1283" s="24" t="s">
        <v>560</v>
      </c>
      <c r="C1283" s="275">
        <v>42966.0</v>
      </c>
      <c r="D1283" s="24" t="str">
        <f t="shared" si="61"/>
        <v>Aug-2017</v>
      </c>
      <c r="E1283" s="24" t="s">
        <v>25</v>
      </c>
      <c r="F1283" s="24" t="s">
        <v>35</v>
      </c>
      <c r="G1283" s="23" t="s">
        <v>569</v>
      </c>
      <c r="H1283" s="24" t="s">
        <v>44</v>
      </c>
      <c r="I1283" s="24" t="s">
        <v>9</v>
      </c>
      <c r="J1283" s="24" t="s">
        <v>24</v>
      </c>
      <c r="K1283" s="24"/>
      <c r="L1283" s="24" t="s">
        <v>98</v>
      </c>
    </row>
    <row r="1284">
      <c r="A1284" s="24">
        <f t="shared" si="1"/>
        <v>1283</v>
      </c>
      <c r="B1284" s="24" t="s">
        <v>560</v>
      </c>
      <c r="C1284" s="275">
        <v>42966.0</v>
      </c>
      <c r="D1284" s="24" t="str">
        <f t="shared" si="61"/>
        <v>Aug-2017</v>
      </c>
      <c r="E1284" s="24" t="s">
        <v>32</v>
      </c>
      <c r="F1284" s="24" t="s">
        <v>35</v>
      </c>
      <c r="G1284" s="23" t="s">
        <v>569</v>
      </c>
      <c r="H1284" s="24" t="s">
        <v>44</v>
      </c>
      <c r="I1284" s="24" t="s">
        <v>9</v>
      </c>
      <c r="J1284" s="24" t="s">
        <v>30</v>
      </c>
      <c r="K1284" s="24"/>
      <c r="L1284" s="24" t="s">
        <v>37</v>
      </c>
    </row>
    <row r="1285">
      <c r="A1285" s="24">
        <f t="shared" si="1"/>
        <v>1284</v>
      </c>
      <c r="B1285" s="24" t="s">
        <v>560</v>
      </c>
      <c r="C1285" s="275">
        <v>42966.0</v>
      </c>
      <c r="D1285" s="24" t="str">
        <f t="shared" si="61"/>
        <v>Aug-2017</v>
      </c>
      <c r="E1285" s="24" t="s">
        <v>20</v>
      </c>
      <c r="F1285" s="24" t="s">
        <v>35</v>
      </c>
      <c r="G1285" s="23" t="s">
        <v>570</v>
      </c>
      <c r="H1285" s="24" t="s">
        <v>97</v>
      </c>
      <c r="I1285" s="24" t="s">
        <v>9</v>
      </c>
      <c r="J1285" s="24" t="s">
        <v>24</v>
      </c>
      <c r="K1285" s="24" t="s">
        <v>24</v>
      </c>
      <c r="L1285" s="24" t="s">
        <v>98</v>
      </c>
    </row>
    <row r="1286">
      <c r="A1286" s="24">
        <f t="shared" si="1"/>
        <v>1285</v>
      </c>
      <c r="B1286" s="24" t="s">
        <v>560</v>
      </c>
      <c r="C1286" s="275">
        <v>42966.0</v>
      </c>
      <c r="D1286" s="24" t="str">
        <f t="shared" si="61"/>
        <v>Aug-2017</v>
      </c>
      <c r="E1286" s="24" t="s">
        <v>25</v>
      </c>
      <c r="F1286" s="24" t="s">
        <v>35</v>
      </c>
      <c r="G1286" s="23" t="s">
        <v>570</v>
      </c>
      <c r="H1286" s="24" t="s">
        <v>97</v>
      </c>
      <c r="I1286" s="24" t="s">
        <v>9</v>
      </c>
      <c r="J1286" s="24" t="s">
        <v>24</v>
      </c>
      <c r="K1286" s="24"/>
      <c r="L1286" s="24" t="s">
        <v>69</v>
      </c>
    </row>
    <row r="1287">
      <c r="A1287" s="24">
        <f t="shared" si="1"/>
        <v>1286</v>
      </c>
      <c r="B1287" s="24" t="s">
        <v>560</v>
      </c>
      <c r="C1287" s="275">
        <v>42966.0</v>
      </c>
      <c r="D1287" s="24" t="str">
        <f t="shared" si="61"/>
        <v>Aug-2017</v>
      </c>
      <c r="E1287" s="24" t="s">
        <v>20</v>
      </c>
      <c r="F1287" s="24" t="s">
        <v>35</v>
      </c>
      <c r="G1287" s="23" t="s">
        <v>462</v>
      </c>
      <c r="H1287" s="24" t="s">
        <v>48</v>
      </c>
      <c r="I1287" s="24" t="s">
        <v>9</v>
      </c>
      <c r="J1287" s="24" t="s">
        <v>30</v>
      </c>
      <c r="K1287" s="24" t="s">
        <v>30</v>
      </c>
      <c r="L1287" s="24" t="s">
        <v>98</v>
      </c>
    </row>
    <row r="1288">
      <c r="A1288" s="24">
        <f t="shared" si="1"/>
        <v>1287</v>
      </c>
      <c r="B1288" s="24" t="s">
        <v>560</v>
      </c>
      <c r="C1288" s="275">
        <v>42966.0</v>
      </c>
      <c r="D1288" s="24" t="str">
        <f t="shared" si="61"/>
        <v>Aug-2017</v>
      </c>
      <c r="E1288" s="24" t="s">
        <v>25</v>
      </c>
      <c r="F1288" s="24" t="s">
        <v>35</v>
      </c>
      <c r="G1288" s="23" t="s">
        <v>462</v>
      </c>
      <c r="H1288" s="24" t="s">
        <v>48</v>
      </c>
      <c r="I1288" s="24" t="s">
        <v>9</v>
      </c>
      <c r="J1288" s="24" t="s">
        <v>30</v>
      </c>
      <c r="K1288" s="24"/>
      <c r="L1288" s="24" t="s">
        <v>99</v>
      </c>
    </row>
    <row r="1289">
      <c r="A1289" s="24">
        <f t="shared" si="1"/>
        <v>1288</v>
      </c>
      <c r="B1289" s="24" t="s">
        <v>560</v>
      </c>
      <c r="C1289" s="275">
        <v>42966.0</v>
      </c>
      <c r="D1289" s="24" t="str">
        <f t="shared" si="61"/>
        <v>Aug-2017</v>
      </c>
      <c r="E1289" s="24" t="s">
        <v>20</v>
      </c>
      <c r="F1289" s="24" t="s">
        <v>35</v>
      </c>
      <c r="G1289" s="23" t="s">
        <v>355</v>
      </c>
      <c r="H1289" s="24" t="s">
        <v>9</v>
      </c>
      <c r="I1289" s="24" t="s">
        <v>9</v>
      </c>
      <c r="J1289" s="24" t="s">
        <v>24</v>
      </c>
      <c r="K1289" s="24" t="s">
        <v>24</v>
      </c>
      <c r="L1289" s="24" t="s">
        <v>69</v>
      </c>
    </row>
    <row r="1290">
      <c r="A1290" s="24">
        <f t="shared" si="1"/>
        <v>1289</v>
      </c>
      <c r="B1290" s="24" t="s">
        <v>560</v>
      </c>
      <c r="C1290" s="275">
        <v>42966.0</v>
      </c>
      <c r="D1290" s="24" t="str">
        <f t="shared" si="61"/>
        <v>Aug-2017</v>
      </c>
      <c r="E1290" s="24" t="s">
        <v>25</v>
      </c>
      <c r="F1290" s="24" t="s">
        <v>35</v>
      </c>
      <c r="G1290" s="23" t="s">
        <v>355</v>
      </c>
      <c r="H1290" s="24" t="s">
        <v>9</v>
      </c>
      <c r="I1290" s="24" t="s">
        <v>9</v>
      </c>
      <c r="J1290" s="24" t="s">
        <v>24</v>
      </c>
      <c r="K1290" s="24"/>
      <c r="L1290" s="24" t="s">
        <v>98</v>
      </c>
    </row>
    <row r="1291">
      <c r="A1291" s="24">
        <f t="shared" si="1"/>
        <v>1290</v>
      </c>
      <c r="B1291" s="24" t="s">
        <v>571</v>
      </c>
      <c r="C1291" s="275">
        <v>42968.0</v>
      </c>
      <c r="D1291" s="24" t="str">
        <f t="shared" ref="D1291:D1296" si="62">TEXT(C1286:C1291, "mmm") &amp; "-" &amp; TEXT(C1286:C1291, "yyyy") </f>
        <v>Aug-2017</v>
      </c>
      <c r="E1291" s="24" t="s">
        <v>20</v>
      </c>
      <c r="F1291" s="24" t="s">
        <v>35</v>
      </c>
      <c r="G1291" s="23" t="s">
        <v>572</v>
      </c>
      <c r="H1291" s="24" t="s">
        <v>9</v>
      </c>
      <c r="I1291" s="24" t="s">
        <v>9</v>
      </c>
      <c r="J1291" s="24" t="s">
        <v>30</v>
      </c>
      <c r="K1291" s="24" t="s">
        <v>30</v>
      </c>
      <c r="L1291" s="24" t="s">
        <v>37</v>
      </c>
    </row>
    <row r="1292">
      <c r="A1292" s="24">
        <f t="shared" si="1"/>
        <v>1291</v>
      </c>
      <c r="B1292" s="24" t="s">
        <v>571</v>
      </c>
      <c r="C1292" s="275">
        <v>42968.0</v>
      </c>
      <c r="D1292" s="24" t="str">
        <f t="shared" si="62"/>
        <v>Aug-2017</v>
      </c>
      <c r="E1292" s="24" t="s">
        <v>25</v>
      </c>
      <c r="F1292" s="24" t="s">
        <v>35</v>
      </c>
      <c r="G1292" s="23" t="s">
        <v>572</v>
      </c>
      <c r="H1292" s="24" t="s">
        <v>9</v>
      </c>
      <c r="I1292" s="24" t="s">
        <v>9</v>
      </c>
      <c r="J1292" s="24" t="s">
        <v>30</v>
      </c>
      <c r="K1292" s="24"/>
      <c r="L1292" s="24" t="s">
        <v>37</v>
      </c>
    </row>
    <row r="1293">
      <c r="A1293" s="24">
        <f t="shared" si="1"/>
        <v>1292</v>
      </c>
      <c r="B1293" s="24" t="s">
        <v>571</v>
      </c>
      <c r="C1293" s="275">
        <v>42968.0</v>
      </c>
      <c r="D1293" s="24" t="str">
        <f t="shared" si="62"/>
        <v>Aug-2017</v>
      </c>
      <c r="E1293" s="24" t="s">
        <v>20</v>
      </c>
      <c r="F1293" s="24" t="s">
        <v>35</v>
      </c>
      <c r="G1293" s="23" t="s">
        <v>442</v>
      </c>
      <c r="H1293" s="24" t="s">
        <v>71</v>
      </c>
      <c r="I1293" s="24" t="s">
        <v>9</v>
      </c>
      <c r="J1293" s="24" t="s">
        <v>30</v>
      </c>
      <c r="K1293" s="24" t="s">
        <v>24</v>
      </c>
      <c r="L1293" s="24" t="s">
        <v>99</v>
      </c>
    </row>
    <row r="1294">
      <c r="A1294" s="24">
        <f t="shared" si="1"/>
        <v>1293</v>
      </c>
      <c r="B1294" s="24" t="s">
        <v>571</v>
      </c>
      <c r="C1294" s="275">
        <v>42968.0</v>
      </c>
      <c r="D1294" s="24" t="str">
        <f t="shared" si="62"/>
        <v>Aug-2017</v>
      </c>
      <c r="E1294" s="24" t="s">
        <v>25</v>
      </c>
      <c r="F1294" s="24" t="s">
        <v>35</v>
      </c>
      <c r="G1294" s="23" t="s">
        <v>442</v>
      </c>
      <c r="H1294" s="24" t="s">
        <v>71</v>
      </c>
      <c r="I1294" s="24" t="s">
        <v>9</v>
      </c>
      <c r="J1294" s="24" t="s">
        <v>24</v>
      </c>
      <c r="K1294" s="24"/>
      <c r="L1294" s="24" t="s">
        <v>37</v>
      </c>
    </row>
    <row r="1295">
      <c r="A1295" s="24">
        <f t="shared" si="1"/>
        <v>1294</v>
      </c>
      <c r="B1295" s="24" t="s">
        <v>571</v>
      </c>
      <c r="C1295" s="275">
        <v>42968.0</v>
      </c>
      <c r="D1295" s="24" t="str">
        <f t="shared" si="62"/>
        <v>Aug-2017</v>
      </c>
      <c r="E1295" s="24" t="s">
        <v>32</v>
      </c>
      <c r="F1295" s="24" t="s">
        <v>35</v>
      </c>
      <c r="G1295" s="23" t="s">
        <v>442</v>
      </c>
      <c r="H1295" s="24" t="s">
        <v>71</v>
      </c>
      <c r="I1295" s="24" t="s">
        <v>9</v>
      </c>
      <c r="J1295" s="24" t="s">
        <v>24</v>
      </c>
      <c r="K1295" s="24"/>
      <c r="L1295" s="24" t="s">
        <v>106</v>
      </c>
    </row>
    <row r="1296">
      <c r="A1296" s="24">
        <f t="shared" si="1"/>
        <v>1295</v>
      </c>
      <c r="B1296" s="24" t="s">
        <v>571</v>
      </c>
      <c r="C1296" s="275">
        <v>42968.0</v>
      </c>
      <c r="D1296" s="24" t="str">
        <f t="shared" si="62"/>
        <v>Aug-2017</v>
      </c>
      <c r="E1296" s="24" t="s">
        <v>20</v>
      </c>
      <c r="F1296" s="24" t="s">
        <v>35</v>
      </c>
      <c r="G1296" s="23" t="s">
        <v>302</v>
      </c>
      <c r="H1296" s="24" t="s">
        <v>27</v>
      </c>
      <c r="I1296" s="24" t="s">
        <v>9</v>
      </c>
      <c r="J1296" s="24" t="s">
        <v>30</v>
      </c>
      <c r="K1296" s="24" t="s">
        <v>30</v>
      </c>
      <c r="L1296" s="24" t="s">
        <v>37</v>
      </c>
    </row>
    <row r="1297">
      <c r="A1297" s="24">
        <f t="shared" si="1"/>
        <v>1296</v>
      </c>
      <c r="B1297" s="24" t="s">
        <v>571</v>
      </c>
      <c r="C1297" s="275">
        <v>42968.0</v>
      </c>
      <c r="D1297" s="24" t="str">
        <f t="shared" ref="D1297:D1305" si="63">TEXT(C1291:C1297, "mmm") &amp; "-" &amp; TEXT(C1291:C1297, "yyyy") </f>
        <v>Aug-2017</v>
      </c>
      <c r="E1297" s="24" t="s">
        <v>25</v>
      </c>
      <c r="F1297" s="24" t="s">
        <v>35</v>
      </c>
      <c r="G1297" s="23" t="s">
        <v>302</v>
      </c>
      <c r="H1297" s="24" t="s">
        <v>27</v>
      </c>
      <c r="I1297" s="24" t="s">
        <v>9</v>
      </c>
      <c r="J1297" s="24" t="s">
        <v>30</v>
      </c>
      <c r="K1297" s="24"/>
      <c r="L1297" s="24" t="s">
        <v>99</v>
      </c>
    </row>
    <row r="1298">
      <c r="A1298" s="24">
        <f t="shared" si="1"/>
        <v>1297</v>
      </c>
      <c r="B1298" s="24" t="s">
        <v>571</v>
      </c>
      <c r="C1298" s="275">
        <v>42968.0</v>
      </c>
      <c r="D1298" s="24" t="str">
        <f t="shared" si="63"/>
        <v>Aug-2017</v>
      </c>
      <c r="E1298" s="24" t="s">
        <v>20</v>
      </c>
      <c r="F1298" s="24" t="s">
        <v>35</v>
      </c>
      <c r="G1298" s="23" t="s">
        <v>574</v>
      </c>
      <c r="H1298" s="24" t="s">
        <v>27</v>
      </c>
      <c r="I1298" s="24" t="s">
        <v>9</v>
      </c>
      <c r="J1298" s="24" t="s">
        <v>30</v>
      </c>
      <c r="K1298" s="24" t="s">
        <v>30</v>
      </c>
      <c r="L1298" s="24" t="s">
        <v>98</v>
      </c>
    </row>
    <row r="1299">
      <c r="A1299" s="24">
        <f t="shared" si="1"/>
        <v>1298</v>
      </c>
      <c r="B1299" s="24" t="s">
        <v>571</v>
      </c>
      <c r="C1299" s="275">
        <v>42968.0</v>
      </c>
      <c r="D1299" s="24" t="str">
        <f t="shared" si="63"/>
        <v>Aug-2017</v>
      </c>
      <c r="E1299" s="24" t="s">
        <v>25</v>
      </c>
      <c r="F1299" s="24" t="s">
        <v>35</v>
      </c>
      <c r="G1299" s="23" t="s">
        <v>574</v>
      </c>
      <c r="H1299" s="24" t="s">
        <v>71</v>
      </c>
      <c r="I1299" s="24" t="s">
        <v>9</v>
      </c>
      <c r="J1299" s="24" t="s">
        <v>24</v>
      </c>
      <c r="K1299" s="24"/>
      <c r="L1299" s="24" t="s">
        <v>37</v>
      </c>
    </row>
    <row r="1300">
      <c r="A1300" s="24">
        <f t="shared" si="1"/>
        <v>1299</v>
      </c>
      <c r="B1300" s="24" t="s">
        <v>571</v>
      </c>
      <c r="C1300" s="275">
        <v>42968.0</v>
      </c>
      <c r="D1300" s="24" t="str">
        <f t="shared" si="63"/>
        <v>Aug-2017</v>
      </c>
      <c r="E1300" s="24" t="s">
        <v>32</v>
      </c>
      <c r="F1300" s="24" t="s">
        <v>35</v>
      </c>
      <c r="G1300" s="23" t="s">
        <v>574</v>
      </c>
      <c r="H1300" s="24" t="s">
        <v>27</v>
      </c>
      <c r="I1300" s="24" t="s">
        <v>9</v>
      </c>
      <c r="J1300" s="24" t="s">
        <v>30</v>
      </c>
      <c r="K1300" s="24"/>
      <c r="L1300" s="24" t="s">
        <v>106</v>
      </c>
    </row>
    <row r="1301">
      <c r="A1301" s="24">
        <f t="shared" si="1"/>
        <v>1300</v>
      </c>
      <c r="B1301" s="24" t="s">
        <v>571</v>
      </c>
      <c r="C1301" s="275">
        <v>42968.0</v>
      </c>
      <c r="D1301" s="24" t="str">
        <f t="shared" si="63"/>
        <v>Aug-2017</v>
      </c>
      <c r="E1301" s="24" t="s">
        <v>20</v>
      </c>
      <c r="F1301" s="24" t="s">
        <v>35</v>
      </c>
      <c r="G1301" s="23" t="s">
        <v>226</v>
      </c>
      <c r="H1301" s="24" t="s">
        <v>9</v>
      </c>
      <c r="I1301" s="24" t="s">
        <v>9</v>
      </c>
      <c r="J1301" s="24" t="s">
        <v>24</v>
      </c>
      <c r="K1301" s="24" t="s">
        <v>30</v>
      </c>
      <c r="L1301" s="24" t="s">
        <v>98</v>
      </c>
    </row>
    <row r="1302">
      <c r="A1302" s="24">
        <f t="shared" si="1"/>
        <v>1301</v>
      </c>
      <c r="B1302" s="24" t="s">
        <v>571</v>
      </c>
      <c r="C1302" s="275">
        <v>42968.0</v>
      </c>
      <c r="D1302" s="24" t="str">
        <f t="shared" si="63"/>
        <v>Aug-2017</v>
      </c>
      <c r="E1302" s="24" t="s">
        <v>25</v>
      </c>
      <c r="F1302" s="24" t="s">
        <v>35</v>
      </c>
      <c r="G1302" s="23" t="s">
        <v>226</v>
      </c>
      <c r="H1302" s="24" t="s">
        <v>9</v>
      </c>
      <c r="I1302" s="24" t="s">
        <v>9</v>
      </c>
      <c r="J1302" s="24" t="s">
        <v>30</v>
      </c>
      <c r="K1302" s="24"/>
      <c r="L1302" s="24" t="s">
        <v>69</v>
      </c>
    </row>
    <row r="1303">
      <c r="A1303" s="24">
        <f t="shared" si="1"/>
        <v>1302</v>
      </c>
      <c r="B1303" s="24" t="s">
        <v>571</v>
      </c>
      <c r="C1303" s="275">
        <v>42968.0</v>
      </c>
      <c r="D1303" s="24" t="str">
        <f t="shared" si="63"/>
        <v>Aug-2017</v>
      </c>
      <c r="E1303" s="24" t="s">
        <v>32</v>
      </c>
      <c r="F1303" s="24" t="s">
        <v>35</v>
      </c>
      <c r="G1303" s="23" t="s">
        <v>226</v>
      </c>
      <c r="H1303" s="24" t="s">
        <v>9</v>
      </c>
      <c r="I1303" s="24" t="s">
        <v>9</v>
      </c>
      <c r="J1303" s="24" t="s">
        <v>30</v>
      </c>
      <c r="K1303" s="24"/>
      <c r="L1303" s="24" t="s">
        <v>99</v>
      </c>
    </row>
    <row r="1304">
      <c r="A1304" s="24">
        <f t="shared" si="1"/>
        <v>1303</v>
      </c>
      <c r="B1304" s="24" t="s">
        <v>571</v>
      </c>
      <c r="C1304" s="275">
        <v>42968.0</v>
      </c>
      <c r="D1304" s="24" t="str">
        <f t="shared" si="63"/>
        <v>Aug-2017</v>
      </c>
      <c r="E1304" s="24" t="s">
        <v>20</v>
      </c>
      <c r="F1304" s="24" t="s">
        <v>35</v>
      </c>
      <c r="G1304" s="23" t="s">
        <v>184</v>
      </c>
      <c r="H1304" s="24" t="s">
        <v>44</v>
      </c>
      <c r="I1304" s="24" t="s">
        <v>9</v>
      </c>
      <c r="J1304" s="24" t="s">
        <v>24</v>
      </c>
      <c r="K1304" s="24" t="s">
        <v>24</v>
      </c>
      <c r="L1304" s="24" t="s">
        <v>98</v>
      </c>
    </row>
    <row r="1305">
      <c r="A1305" s="24">
        <f t="shared" si="1"/>
        <v>1304</v>
      </c>
      <c r="B1305" s="24" t="s">
        <v>571</v>
      </c>
      <c r="C1305" s="275">
        <v>42968.0</v>
      </c>
      <c r="D1305" s="24" t="str">
        <f t="shared" si="63"/>
        <v>Aug-2017</v>
      </c>
      <c r="E1305" s="24" t="s">
        <v>25</v>
      </c>
      <c r="F1305" s="24" t="s">
        <v>35</v>
      </c>
      <c r="G1305" s="23" t="s">
        <v>184</v>
      </c>
      <c r="H1305" s="24" t="s">
        <v>44</v>
      </c>
      <c r="I1305" s="24" t="s">
        <v>9</v>
      </c>
      <c r="J1305" s="24" t="s">
        <v>24</v>
      </c>
      <c r="K1305" s="24"/>
      <c r="L1305" s="24" t="s">
        <v>37</v>
      </c>
    </row>
    <row r="1306">
      <c r="A1306" s="24">
        <f t="shared" si="1"/>
        <v>1305</v>
      </c>
      <c r="B1306" s="24" t="s">
        <v>575</v>
      </c>
      <c r="C1306" s="275">
        <v>42972.0</v>
      </c>
      <c r="D1306" s="24" t="str">
        <f t="shared" ref="D1306:D1311" si="64">TEXT(C1301:C1306, "mmm") &amp; "-" &amp; TEXT(C1301:C1306, "yyyy") </f>
        <v>Aug-2017</v>
      </c>
      <c r="E1306" s="24" t="s">
        <v>20</v>
      </c>
      <c r="F1306" s="24" t="s">
        <v>35</v>
      </c>
      <c r="G1306" s="23" t="s">
        <v>576</v>
      </c>
      <c r="H1306" s="24" t="s">
        <v>9</v>
      </c>
      <c r="I1306" s="24" t="s">
        <v>9</v>
      </c>
      <c r="J1306" s="24" t="s">
        <v>30</v>
      </c>
      <c r="K1306" s="24" t="s">
        <v>30</v>
      </c>
      <c r="L1306" s="24" t="s">
        <v>98</v>
      </c>
    </row>
    <row r="1307">
      <c r="A1307" s="24">
        <f t="shared" si="1"/>
        <v>1306</v>
      </c>
      <c r="B1307" s="24" t="s">
        <v>575</v>
      </c>
      <c r="C1307" s="275">
        <v>42972.0</v>
      </c>
      <c r="D1307" s="24" t="str">
        <f t="shared" si="64"/>
        <v>Aug-2017</v>
      </c>
      <c r="E1307" s="24" t="s">
        <v>25</v>
      </c>
      <c r="F1307" s="24" t="s">
        <v>35</v>
      </c>
      <c r="G1307" s="23" t="s">
        <v>576</v>
      </c>
      <c r="H1307" s="24" t="s">
        <v>9</v>
      </c>
      <c r="I1307" s="24" t="s">
        <v>9</v>
      </c>
      <c r="J1307" s="24" t="s">
        <v>30</v>
      </c>
      <c r="K1307" s="24"/>
      <c r="L1307" s="24" t="s">
        <v>106</v>
      </c>
    </row>
    <row r="1308">
      <c r="A1308" s="24">
        <f t="shared" si="1"/>
        <v>1307</v>
      </c>
      <c r="B1308" s="24" t="s">
        <v>575</v>
      </c>
      <c r="C1308" s="275">
        <v>42972.0</v>
      </c>
      <c r="D1308" s="24" t="str">
        <f t="shared" si="64"/>
        <v>Aug-2017</v>
      </c>
      <c r="E1308" s="24" t="s">
        <v>20</v>
      </c>
      <c r="F1308" s="24" t="s">
        <v>35</v>
      </c>
      <c r="G1308" s="23" t="s">
        <v>47</v>
      </c>
      <c r="H1308" s="24" t="s">
        <v>48</v>
      </c>
      <c r="I1308" s="24" t="s">
        <v>9</v>
      </c>
      <c r="J1308" s="24" t="s">
        <v>24</v>
      </c>
      <c r="K1308" s="24" t="s">
        <v>24</v>
      </c>
      <c r="L1308" s="24" t="s">
        <v>29</v>
      </c>
    </row>
    <row r="1309">
      <c r="A1309" s="24">
        <f t="shared" si="1"/>
        <v>1308</v>
      </c>
      <c r="B1309" s="24" t="s">
        <v>575</v>
      </c>
      <c r="C1309" s="275">
        <v>42972.0</v>
      </c>
      <c r="D1309" s="24" t="str">
        <f t="shared" si="64"/>
        <v>Aug-2017</v>
      </c>
      <c r="E1309" s="24" t="s">
        <v>25</v>
      </c>
      <c r="F1309" s="24" t="s">
        <v>35</v>
      </c>
      <c r="G1309" s="23" t="s">
        <v>47</v>
      </c>
      <c r="H1309" s="24" t="s">
        <v>48</v>
      </c>
      <c r="I1309" s="24" t="s">
        <v>9</v>
      </c>
      <c r="J1309" s="24" t="s">
        <v>24</v>
      </c>
      <c r="K1309" s="24"/>
      <c r="L1309" s="24" t="s">
        <v>106</v>
      </c>
    </row>
    <row r="1310">
      <c r="A1310" s="24">
        <f t="shared" si="1"/>
        <v>1309</v>
      </c>
      <c r="B1310" s="24" t="s">
        <v>575</v>
      </c>
      <c r="C1310" s="275">
        <v>42972.0</v>
      </c>
      <c r="D1310" s="24" t="str">
        <f t="shared" si="64"/>
        <v>Aug-2017</v>
      </c>
      <c r="E1310" s="24" t="s">
        <v>20</v>
      </c>
      <c r="F1310" s="24" t="s">
        <v>35</v>
      </c>
      <c r="G1310" s="23" t="s">
        <v>569</v>
      </c>
      <c r="H1310" s="24" t="s">
        <v>44</v>
      </c>
      <c r="I1310" s="24" t="s">
        <v>9</v>
      </c>
      <c r="J1310" s="24" t="s">
        <v>30</v>
      </c>
      <c r="K1310" s="24" t="s">
        <v>30</v>
      </c>
      <c r="L1310" s="24" t="s">
        <v>98</v>
      </c>
    </row>
    <row r="1311">
      <c r="A1311" s="24">
        <f t="shared" si="1"/>
        <v>1310</v>
      </c>
      <c r="B1311" s="24" t="s">
        <v>575</v>
      </c>
      <c r="C1311" s="275">
        <v>42972.0</v>
      </c>
      <c r="D1311" s="24" t="str">
        <f t="shared" si="64"/>
        <v>Aug-2017</v>
      </c>
      <c r="E1311" s="24" t="s">
        <v>25</v>
      </c>
      <c r="F1311" s="24" t="s">
        <v>35</v>
      </c>
      <c r="G1311" s="23" t="s">
        <v>569</v>
      </c>
      <c r="H1311" s="24" t="s">
        <v>44</v>
      </c>
      <c r="I1311" s="24" t="s">
        <v>9</v>
      </c>
      <c r="J1311" s="24" t="s">
        <v>30</v>
      </c>
      <c r="K1311" s="24"/>
      <c r="L1311" s="24" t="s">
        <v>98</v>
      </c>
    </row>
    <row r="1312">
      <c r="A1312" s="24">
        <f t="shared" si="1"/>
        <v>1311</v>
      </c>
      <c r="B1312" s="24" t="s">
        <v>575</v>
      </c>
      <c r="C1312" s="275">
        <v>42972.0</v>
      </c>
      <c r="D1312" s="24" t="str">
        <f t="shared" ref="D1312:D1329" si="65">TEXT(C1306:C1312, "mmm") &amp; "-" &amp; TEXT(C1306:C1312, "yyyy") </f>
        <v>Aug-2017</v>
      </c>
      <c r="E1312" s="24" t="s">
        <v>20</v>
      </c>
      <c r="F1312" s="24" t="s">
        <v>35</v>
      </c>
      <c r="G1312" s="23" t="s">
        <v>148</v>
      </c>
      <c r="H1312" s="24" t="s">
        <v>9</v>
      </c>
      <c r="I1312" s="24" t="s">
        <v>9</v>
      </c>
      <c r="J1312" s="24" t="s">
        <v>30</v>
      </c>
      <c r="K1312" s="24" t="s">
        <v>30</v>
      </c>
      <c r="L1312" s="24" t="s">
        <v>98</v>
      </c>
    </row>
    <row r="1313">
      <c r="A1313" s="24">
        <f t="shared" si="1"/>
        <v>1312</v>
      </c>
      <c r="B1313" s="24" t="s">
        <v>575</v>
      </c>
      <c r="C1313" s="275">
        <v>42972.0</v>
      </c>
      <c r="D1313" s="24" t="str">
        <f t="shared" si="65"/>
        <v>Aug-2017</v>
      </c>
      <c r="E1313" s="24" t="s">
        <v>25</v>
      </c>
      <c r="F1313" s="24" t="s">
        <v>35</v>
      </c>
      <c r="G1313" s="23" t="s">
        <v>148</v>
      </c>
      <c r="H1313" s="24" t="s">
        <v>9</v>
      </c>
      <c r="I1313" s="24" t="s">
        <v>9</v>
      </c>
      <c r="J1313" s="24" t="s">
        <v>30</v>
      </c>
      <c r="K1313" s="24"/>
      <c r="L1313" s="24" t="s">
        <v>98</v>
      </c>
    </row>
    <row r="1314">
      <c r="A1314" s="24">
        <f t="shared" si="1"/>
        <v>1313</v>
      </c>
      <c r="B1314" s="24" t="s">
        <v>575</v>
      </c>
      <c r="C1314" s="275">
        <v>42972.0</v>
      </c>
      <c r="D1314" s="24" t="str">
        <f t="shared" si="65"/>
        <v>Aug-2017</v>
      </c>
      <c r="E1314" s="24" t="s">
        <v>20</v>
      </c>
      <c r="F1314" s="24" t="s">
        <v>35</v>
      </c>
      <c r="G1314" s="23" t="s">
        <v>452</v>
      </c>
      <c r="H1314" s="24" t="s">
        <v>27</v>
      </c>
      <c r="I1314" s="24" t="s">
        <v>9</v>
      </c>
      <c r="J1314" s="24" t="s">
        <v>24</v>
      </c>
      <c r="K1314" s="24" t="s">
        <v>24</v>
      </c>
      <c r="L1314" s="24" t="s">
        <v>37</v>
      </c>
    </row>
    <row r="1315">
      <c r="A1315" s="24">
        <f t="shared" si="1"/>
        <v>1314</v>
      </c>
      <c r="B1315" s="24" t="s">
        <v>575</v>
      </c>
      <c r="C1315" s="275">
        <v>42972.0</v>
      </c>
      <c r="D1315" s="24" t="str">
        <f t="shared" si="65"/>
        <v>Aug-2017</v>
      </c>
      <c r="E1315" s="24" t="s">
        <v>25</v>
      </c>
      <c r="F1315" s="24" t="s">
        <v>35</v>
      </c>
      <c r="G1315" s="23" t="s">
        <v>452</v>
      </c>
      <c r="H1315" s="24" t="s">
        <v>27</v>
      </c>
      <c r="I1315" s="24" t="s">
        <v>9</v>
      </c>
      <c r="J1315" s="24" t="s">
        <v>24</v>
      </c>
      <c r="K1315" s="24"/>
      <c r="L1315" s="24" t="s">
        <v>69</v>
      </c>
    </row>
    <row r="1316">
      <c r="A1316" s="24">
        <f t="shared" si="1"/>
        <v>1315</v>
      </c>
      <c r="B1316" s="24" t="s">
        <v>575</v>
      </c>
      <c r="C1316" s="275">
        <v>42972.0</v>
      </c>
      <c r="D1316" s="24" t="str">
        <f t="shared" si="65"/>
        <v>Aug-2017</v>
      </c>
      <c r="E1316" s="24" t="s">
        <v>20</v>
      </c>
      <c r="F1316" s="24" t="s">
        <v>278</v>
      </c>
      <c r="G1316" s="23" t="s">
        <v>579</v>
      </c>
      <c r="H1316" s="24" t="s">
        <v>97</v>
      </c>
      <c r="I1316" s="24" t="s">
        <v>9</v>
      </c>
      <c r="J1316" s="24" t="s">
        <v>30</v>
      </c>
      <c r="K1316" s="24" t="s">
        <v>30</v>
      </c>
      <c r="L1316" s="24" t="s">
        <v>29</v>
      </c>
    </row>
    <row r="1317">
      <c r="A1317" s="24">
        <f t="shared" si="1"/>
        <v>1316</v>
      </c>
      <c r="B1317" s="24" t="s">
        <v>575</v>
      </c>
      <c r="C1317" s="275">
        <v>42972.0</v>
      </c>
      <c r="D1317" s="24" t="str">
        <f t="shared" si="65"/>
        <v>Aug-2017</v>
      </c>
      <c r="E1317" s="24" t="s">
        <v>25</v>
      </c>
      <c r="F1317" s="24" t="s">
        <v>278</v>
      </c>
      <c r="G1317" s="23" t="s">
        <v>579</v>
      </c>
      <c r="H1317" s="24" t="s">
        <v>97</v>
      </c>
      <c r="I1317" s="24" t="s">
        <v>9</v>
      </c>
      <c r="J1317" s="24" t="s">
        <v>30</v>
      </c>
      <c r="K1317" s="24"/>
      <c r="L1317" s="24" t="s">
        <v>99</v>
      </c>
    </row>
    <row r="1318">
      <c r="A1318" s="24">
        <f t="shared" si="1"/>
        <v>1317</v>
      </c>
      <c r="B1318" s="24" t="s">
        <v>575</v>
      </c>
      <c r="C1318" s="275">
        <v>42972.0</v>
      </c>
      <c r="D1318" s="24" t="str">
        <f t="shared" si="65"/>
        <v>Aug-2017</v>
      </c>
      <c r="E1318" s="24" t="s">
        <v>20</v>
      </c>
      <c r="F1318" s="24" t="s">
        <v>278</v>
      </c>
      <c r="G1318" s="23" t="s">
        <v>407</v>
      </c>
      <c r="H1318" s="24" t="s">
        <v>44</v>
      </c>
      <c r="I1318" s="24" t="s">
        <v>9</v>
      </c>
      <c r="J1318" s="24" t="s">
        <v>24</v>
      </c>
      <c r="K1318" s="24" t="s">
        <v>30</v>
      </c>
      <c r="L1318" s="24" t="s">
        <v>98</v>
      </c>
    </row>
    <row r="1319">
      <c r="A1319" s="24">
        <f t="shared" si="1"/>
        <v>1318</v>
      </c>
      <c r="B1319" s="24" t="s">
        <v>575</v>
      </c>
      <c r="C1319" s="275">
        <v>42972.0</v>
      </c>
      <c r="D1319" s="24" t="str">
        <f t="shared" si="65"/>
        <v>Aug-2017</v>
      </c>
      <c r="E1319" s="24" t="s">
        <v>25</v>
      </c>
      <c r="F1319" s="24" t="s">
        <v>278</v>
      </c>
      <c r="G1319" s="23" t="s">
        <v>407</v>
      </c>
      <c r="H1319" s="24" t="s">
        <v>44</v>
      </c>
      <c r="I1319" s="24" t="s">
        <v>9</v>
      </c>
      <c r="J1319" s="24" t="s">
        <v>30</v>
      </c>
      <c r="K1319" s="24"/>
      <c r="L1319" s="24" t="s">
        <v>106</v>
      </c>
    </row>
    <row r="1320">
      <c r="A1320" s="24">
        <f t="shared" si="1"/>
        <v>1319</v>
      </c>
      <c r="B1320" s="24" t="s">
        <v>575</v>
      </c>
      <c r="C1320" s="275">
        <v>42972.0</v>
      </c>
      <c r="D1320" s="24" t="str">
        <f t="shared" si="65"/>
        <v>Aug-2017</v>
      </c>
      <c r="E1320" s="24" t="s">
        <v>32</v>
      </c>
      <c r="F1320" s="24" t="s">
        <v>278</v>
      </c>
      <c r="G1320" s="23" t="s">
        <v>407</v>
      </c>
      <c r="H1320" s="24" t="s">
        <v>44</v>
      </c>
      <c r="I1320" s="24" t="s">
        <v>9</v>
      </c>
      <c r="J1320" s="24" t="s">
        <v>30</v>
      </c>
      <c r="K1320" s="24"/>
      <c r="L1320" s="24" t="s">
        <v>69</v>
      </c>
    </row>
    <row r="1321">
      <c r="A1321" s="24">
        <f t="shared" si="1"/>
        <v>1320</v>
      </c>
      <c r="B1321" s="24" t="s">
        <v>575</v>
      </c>
      <c r="C1321" s="275">
        <v>42972.0</v>
      </c>
      <c r="D1321" s="24" t="str">
        <f t="shared" si="65"/>
        <v>Aug-2017</v>
      </c>
      <c r="E1321" s="24" t="s">
        <v>20</v>
      </c>
      <c r="F1321" s="24" t="s">
        <v>278</v>
      </c>
      <c r="G1321" s="23" t="s">
        <v>500</v>
      </c>
      <c r="H1321" s="24" t="s">
        <v>23</v>
      </c>
      <c r="I1321" s="24" t="s">
        <v>9</v>
      </c>
      <c r="J1321" s="24" t="s">
        <v>30</v>
      </c>
      <c r="K1321" s="24" t="s">
        <v>30</v>
      </c>
      <c r="L1321" s="24" t="s">
        <v>69</v>
      </c>
    </row>
    <row r="1322">
      <c r="A1322" s="24">
        <f t="shared" si="1"/>
        <v>1321</v>
      </c>
      <c r="B1322" s="24" t="s">
        <v>575</v>
      </c>
      <c r="C1322" s="275">
        <v>42972.0</v>
      </c>
      <c r="D1322" s="24" t="str">
        <f t="shared" si="65"/>
        <v>Aug-2017</v>
      </c>
      <c r="E1322" s="24" t="s">
        <v>25</v>
      </c>
      <c r="F1322" s="24" t="s">
        <v>278</v>
      </c>
      <c r="G1322" s="23" t="s">
        <v>500</v>
      </c>
      <c r="H1322" s="24" t="s">
        <v>23</v>
      </c>
      <c r="I1322" s="24" t="s">
        <v>9</v>
      </c>
      <c r="J1322" s="24" t="s">
        <v>24</v>
      </c>
      <c r="K1322" s="24"/>
      <c r="L1322" s="24" t="s">
        <v>98</v>
      </c>
    </row>
    <row r="1323">
      <c r="A1323" s="24">
        <f t="shared" si="1"/>
        <v>1322</v>
      </c>
      <c r="B1323" s="24" t="s">
        <v>575</v>
      </c>
      <c r="C1323" s="275">
        <v>42972.0</v>
      </c>
      <c r="D1323" s="24" t="str">
        <f t="shared" si="65"/>
        <v>Aug-2017</v>
      </c>
      <c r="E1323" s="24" t="s">
        <v>32</v>
      </c>
      <c r="F1323" s="24" t="s">
        <v>278</v>
      </c>
      <c r="G1323" s="23" t="s">
        <v>500</v>
      </c>
      <c r="H1323" s="24" t="s">
        <v>23</v>
      </c>
      <c r="I1323" s="24" t="s">
        <v>9</v>
      </c>
      <c r="J1323" s="24" t="s">
        <v>30</v>
      </c>
      <c r="K1323" s="24"/>
      <c r="L1323" s="24" t="s">
        <v>106</v>
      </c>
    </row>
    <row r="1324">
      <c r="A1324" s="24">
        <f t="shared" si="1"/>
        <v>1323</v>
      </c>
      <c r="B1324" s="24" t="s">
        <v>575</v>
      </c>
      <c r="C1324" s="275">
        <v>42972.0</v>
      </c>
      <c r="D1324" s="24" t="str">
        <f t="shared" si="65"/>
        <v>Aug-2017</v>
      </c>
      <c r="E1324" s="24" t="s">
        <v>20</v>
      </c>
      <c r="F1324" s="24" t="s">
        <v>278</v>
      </c>
      <c r="G1324" s="23" t="s">
        <v>393</v>
      </c>
      <c r="H1324" s="24" t="s">
        <v>102</v>
      </c>
      <c r="I1324" s="24" t="s">
        <v>9</v>
      </c>
      <c r="J1324" s="24" t="s">
        <v>30</v>
      </c>
      <c r="K1324" s="24" t="s">
        <v>30</v>
      </c>
      <c r="L1324" s="24" t="s">
        <v>98</v>
      </c>
    </row>
    <row r="1325">
      <c r="A1325" s="24">
        <f t="shared" si="1"/>
        <v>1324</v>
      </c>
      <c r="B1325" s="24" t="s">
        <v>575</v>
      </c>
      <c r="C1325" s="275">
        <v>42972.0</v>
      </c>
      <c r="D1325" s="24" t="str">
        <f t="shared" si="65"/>
        <v>Aug-2017</v>
      </c>
      <c r="E1325" s="24" t="s">
        <v>25</v>
      </c>
      <c r="F1325" s="24" t="s">
        <v>278</v>
      </c>
      <c r="G1325" s="23" t="s">
        <v>393</v>
      </c>
      <c r="H1325" s="24" t="s">
        <v>102</v>
      </c>
      <c r="I1325" s="24" t="s">
        <v>9</v>
      </c>
      <c r="J1325" s="24" t="s">
        <v>30</v>
      </c>
      <c r="K1325" s="24"/>
      <c r="L1325" s="24" t="s">
        <v>37</v>
      </c>
    </row>
    <row r="1326">
      <c r="A1326" s="24">
        <f t="shared" si="1"/>
        <v>1325</v>
      </c>
      <c r="B1326" s="24" t="s">
        <v>575</v>
      </c>
      <c r="C1326" s="275">
        <v>42972.0</v>
      </c>
      <c r="D1326" s="24" t="str">
        <f t="shared" si="65"/>
        <v>Aug-2017</v>
      </c>
      <c r="E1326" s="24" t="s">
        <v>20</v>
      </c>
      <c r="F1326" s="24" t="s">
        <v>278</v>
      </c>
      <c r="G1326" s="23" t="s">
        <v>393</v>
      </c>
      <c r="H1326" s="24" t="s">
        <v>102</v>
      </c>
      <c r="I1326" s="24" t="s">
        <v>9</v>
      </c>
      <c r="J1326" s="24" t="s">
        <v>24</v>
      </c>
      <c r="K1326" s="24" t="s">
        <v>24</v>
      </c>
      <c r="L1326" s="24" t="s">
        <v>98</v>
      </c>
    </row>
    <row r="1327">
      <c r="A1327" s="24">
        <f t="shared" si="1"/>
        <v>1326</v>
      </c>
      <c r="B1327" s="24" t="s">
        <v>575</v>
      </c>
      <c r="C1327" s="275">
        <v>42972.0</v>
      </c>
      <c r="D1327" s="24" t="str">
        <f t="shared" si="65"/>
        <v>Aug-2017</v>
      </c>
      <c r="E1327" s="24" t="s">
        <v>25</v>
      </c>
      <c r="F1327" s="24" t="s">
        <v>278</v>
      </c>
      <c r="G1327" s="23" t="s">
        <v>393</v>
      </c>
      <c r="H1327" s="24" t="s">
        <v>102</v>
      </c>
      <c r="I1327" s="24" t="s">
        <v>9</v>
      </c>
      <c r="J1327" s="24" t="s">
        <v>24</v>
      </c>
      <c r="K1327" s="24"/>
      <c r="L1327" s="24" t="s">
        <v>106</v>
      </c>
    </row>
    <row r="1328">
      <c r="A1328" s="24">
        <f t="shared" si="1"/>
        <v>1327</v>
      </c>
      <c r="B1328" s="24" t="s">
        <v>575</v>
      </c>
      <c r="C1328" s="275">
        <v>42972.0</v>
      </c>
      <c r="D1328" s="24" t="str">
        <f t="shared" si="65"/>
        <v>Aug-2017</v>
      </c>
      <c r="E1328" s="24" t="s">
        <v>20</v>
      </c>
      <c r="F1328" s="24" t="s">
        <v>278</v>
      </c>
      <c r="G1328" s="23" t="s">
        <v>393</v>
      </c>
      <c r="H1328" s="24" t="s">
        <v>102</v>
      </c>
      <c r="I1328" s="24" t="s">
        <v>9</v>
      </c>
      <c r="J1328" s="24" t="s">
        <v>30</v>
      </c>
      <c r="K1328" s="24" t="s">
        <v>30</v>
      </c>
      <c r="L1328" s="24" t="s">
        <v>98</v>
      </c>
    </row>
    <row r="1329">
      <c r="A1329" s="24">
        <f t="shared" si="1"/>
        <v>1328</v>
      </c>
      <c r="B1329" s="24" t="s">
        <v>575</v>
      </c>
      <c r="C1329" s="275">
        <v>42972.0</v>
      </c>
      <c r="D1329" s="24" t="str">
        <f t="shared" si="65"/>
        <v>Aug-2017</v>
      </c>
      <c r="E1329" s="24" t="s">
        <v>25</v>
      </c>
      <c r="F1329" s="24" t="s">
        <v>278</v>
      </c>
      <c r="G1329" s="23" t="s">
        <v>393</v>
      </c>
      <c r="H1329" s="24" t="s">
        <v>102</v>
      </c>
      <c r="I1329" s="24" t="s">
        <v>9</v>
      </c>
      <c r="J1329" s="24" t="s">
        <v>30</v>
      </c>
      <c r="K1329" s="24"/>
      <c r="L1329" s="24" t="s">
        <v>98</v>
      </c>
    </row>
    <row r="1330">
      <c r="A1330" s="24">
        <f t="shared" si="1"/>
        <v>1329</v>
      </c>
      <c r="B1330" s="24" t="s">
        <v>580</v>
      </c>
      <c r="C1330" s="275">
        <v>42976.0</v>
      </c>
      <c r="D1330" s="24" t="str">
        <f t="shared" ref="D1330:D1335" si="66">TEXT(C1325:C1330, "mmm") &amp; "-" &amp; TEXT(C1325:C1330, "yyyy") </f>
        <v>Aug-2017</v>
      </c>
      <c r="E1330" s="24" t="s">
        <v>20</v>
      </c>
      <c r="F1330" s="24" t="s">
        <v>35</v>
      </c>
      <c r="G1330" s="23" t="s">
        <v>167</v>
      </c>
      <c r="H1330" s="24" t="s">
        <v>139</v>
      </c>
      <c r="I1330" s="24" t="s">
        <v>9</v>
      </c>
      <c r="J1330" s="24" t="s">
        <v>30</v>
      </c>
      <c r="K1330" s="24" t="s">
        <v>30</v>
      </c>
      <c r="L1330" s="24" t="s">
        <v>37</v>
      </c>
    </row>
    <row r="1331">
      <c r="A1331" s="24">
        <f t="shared" si="1"/>
        <v>1330</v>
      </c>
      <c r="B1331" s="24" t="s">
        <v>580</v>
      </c>
      <c r="C1331" s="275">
        <v>42976.0</v>
      </c>
      <c r="D1331" s="24" t="str">
        <f t="shared" si="66"/>
        <v>Aug-2017</v>
      </c>
      <c r="E1331" s="24" t="s">
        <v>25</v>
      </c>
      <c r="F1331" s="24" t="s">
        <v>35</v>
      </c>
      <c r="G1331" s="23" t="s">
        <v>167</v>
      </c>
      <c r="H1331" s="24" t="s">
        <v>139</v>
      </c>
      <c r="I1331" s="24" t="s">
        <v>9</v>
      </c>
      <c r="J1331" s="24" t="s">
        <v>30</v>
      </c>
      <c r="K1331" s="24"/>
      <c r="L1331" s="24" t="s">
        <v>99</v>
      </c>
    </row>
    <row r="1332">
      <c r="A1332" s="24">
        <f t="shared" si="1"/>
        <v>1331</v>
      </c>
      <c r="B1332" s="24" t="s">
        <v>580</v>
      </c>
      <c r="C1332" s="275">
        <v>42976.0</v>
      </c>
      <c r="D1332" s="24" t="str">
        <f t="shared" si="66"/>
        <v>Aug-2017</v>
      </c>
      <c r="E1332" s="24" t="s">
        <v>20</v>
      </c>
      <c r="F1332" s="24" t="s">
        <v>35</v>
      </c>
      <c r="G1332" s="23" t="s">
        <v>148</v>
      </c>
      <c r="H1332" s="24" t="s">
        <v>27</v>
      </c>
      <c r="I1332" s="24" t="s">
        <v>9</v>
      </c>
      <c r="J1332" s="24" t="s">
        <v>24</v>
      </c>
      <c r="K1332" s="24" t="s">
        <v>24</v>
      </c>
      <c r="L1332" s="24" t="s">
        <v>98</v>
      </c>
    </row>
    <row r="1333">
      <c r="A1333" s="24">
        <f t="shared" si="1"/>
        <v>1332</v>
      </c>
      <c r="B1333" s="24" t="s">
        <v>580</v>
      </c>
      <c r="C1333" s="275">
        <v>42976.0</v>
      </c>
      <c r="D1333" s="24" t="str">
        <f t="shared" si="66"/>
        <v>Aug-2017</v>
      </c>
      <c r="E1333" s="24" t="s">
        <v>25</v>
      </c>
      <c r="F1333" s="24" t="s">
        <v>35</v>
      </c>
      <c r="G1333" s="23" t="s">
        <v>148</v>
      </c>
      <c r="H1333" s="24" t="s">
        <v>27</v>
      </c>
      <c r="I1333" s="24" t="s">
        <v>9</v>
      </c>
      <c r="J1333" s="24" t="s">
        <v>24</v>
      </c>
      <c r="K1333" s="24"/>
      <c r="L1333" s="24" t="s">
        <v>98</v>
      </c>
    </row>
    <row r="1334">
      <c r="A1334" s="24">
        <f t="shared" si="1"/>
        <v>1333</v>
      </c>
      <c r="B1334" s="24" t="s">
        <v>580</v>
      </c>
      <c r="C1334" s="275">
        <v>42976.0</v>
      </c>
      <c r="D1334" s="24" t="str">
        <f t="shared" si="66"/>
        <v>Aug-2017</v>
      </c>
      <c r="E1334" s="24" t="s">
        <v>20</v>
      </c>
      <c r="F1334" s="24" t="s">
        <v>35</v>
      </c>
      <c r="G1334" s="23" t="s">
        <v>401</v>
      </c>
      <c r="H1334" s="24" t="s">
        <v>27</v>
      </c>
      <c r="I1334" s="24" t="s">
        <v>9</v>
      </c>
      <c r="J1334" s="24" t="s">
        <v>30</v>
      </c>
      <c r="K1334" s="24" t="s">
        <v>30</v>
      </c>
      <c r="L1334" s="24" t="s">
        <v>98</v>
      </c>
    </row>
    <row r="1335">
      <c r="A1335" s="24">
        <f t="shared" si="1"/>
        <v>1334</v>
      </c>
      <c r="B1335" s="24" t="s">
        <v>580</v>
      </c>
      <c r="C1335" s="275">
        <v>42976.0</v>
      </c>
      <c r="D1335" s="24" t="str">
        <f t="shared" si="66"/>
        <v>Aug-2017</v>
      </c>
      <c r="E1335" s="24" t="s">
        <v>25</v>
      </c>
      <c r="F1335" s="24" t="s">
        <v>35</v>
      </c>
      <c r="G1335" s="23" t="s">
        <v>401</v>
      </c>
      <c r="H1335" s="24" t="s">
        <v>27</v>
      </c>
      <c r="I1335" s="24" t="s">
        <v>9</v>
      </c>
      <c r="J1335" s="24" t="s">
        <v>30</v>
      </c>
      <c r="K1335" s="24"/>
      <c r="L1335" s="24" t="s">
        <v>106</v>
      </c>
    </row>
    <row r="1336">
      <c r="A1336" s="24">
        <f t="shared" si="1"/>
        <v>1335</v>
      </c>
      <c r="B1336" s="24" t="s">
        <v>580</v>
      </c>
      <c r="C1336" s="275">
        <v>42976.0</v>
      </c>
      <c r="D1336" s="24" t="str">
        <f t="shared" ref="D1336:D1344" si="67">TEXT(C1330:C1336, "mmm") &amp; "-" &amp; TEXT(C1330:C1336, "yyyy") </f>
        <v>Aug-2017</v>
      </c>
      <c r="E1336" s="24" t="s">
        <v>20</v>
      </c>
      <c r="F1336" s="24" t="s">
        <v>35</v>
      </c>
      <c r="G1336" s="23" t="s">
        <v>407</v>
      </c>
      <c r="H1336" s="24" t="s">
        <v>44</v>
      </c>
      <c r="I1336" s="24" t="s">
        <v>9</v>
      </c>
      <c r="J1336" s="24" t="s">
        <v>30</v>
      </c>
      <c r="K1336" s="24" t="s">
        <v>30</v>
      </c>
      <c r="L1336" s="24" t="s">
        <v>69</v>
      </c>
    </row>
    <row r="1337">
      <c r="A1337" s="24">
        <f t="shared" si="1"/>
        <v>1336</v>
      </c>
      <c r="B1337" s="24" t="s">
        <v>580</v>
      </c>
      <c r="C1337" s="275">
        <v>42976.0</v>
      </c>
      <c r="D1337" s="24" t="str">
        <f t="shared" si="67"/>
        <v>Aug-2017</v>
      </c>
      <c r="E1337" s="24" t="s">
        <v>25</v>
      </c>
      <c r="F1337" s="24" t="s">
        <v>35</v>
      </c>
      <c r="G1337" s="23" t="s">
        <v>407</v>
      </c>
      <c r="H1337" s="24" t="s">
        <v>44</v>
      </c>
      <c r="I1337" s="24" t="s">
        <v>9</v>
      </c>
      <c r="J1337" s="24" t="s">
        <v>30</v>
      </c>
      <c r="K1337" s="24"/>
      <c r="L1337" s="24" t="s">
        <v>98</v>
      </c>
    </row>
    <row r="1338">
      <c r="A1338" s="24">
        <f t="shared" si="1"/>
        <v>1337</v>
      </c>
      <c r="B1338" s="24" t="s">
        <v>580</v>
      </c>
      <c r="C1338" s="275">
        <v>42976.0</v>
      </c>
      <c r="D1338" s="24" t="str">
        <f t="shared" si="67"/>
        <v>Aug-2017</v>
      </c>
      <c r="E1338" s="24" t="s">
        <v>20</v>
      </c>
      <c r="F1338" s="24" t="s">
        <v>35</v>
      </c>
      <c r="G1338" s="23" t="s">
        <v>393</v>
      </c>
      <c r="H1338" s="24" t="s">
        <v>102</v>
      </c>
      <c r="I1338" s="24" t="s">
        <v>9</v>
      </c>
      <c r="J1338" s="24" t="s">
        <v>30</v>
      </c>
      <c r="K1338" s="24" t="s">
        <v>30</v>
      </c>
      <c r="L1338" s="24" t="s">
        <v>98</v>
      </c>
    </row>
    <row r="1339">
      <c r="A1339" s="24">
        <f t="shared" si="1"/>
        <v>1338</v>
      </c>
      <c r="B1339" s="24" t="s">
        <v>580</v>
      </c>
      <c r="C1339" s="275">
        <v>42976.0</v>
      </c>
      <c r="D1339" s="24" t="str">
        <f t="shared" si="67"/>
        <v>Aug-2017</v>
      </c>
      <c r="E1339" s="24" t="s">
        <v>25</v>
      </c>
      <c r="F1339" s="24" t="s">
        <v>35</v>
      </c>
      <c r="G1339" s="23" t="s">
        <v>393</v>
      </c>
      <c r="H1339" s="24" t="s">
        <v>102</v>
      </c>
      <c r="I1339" s="24" t="s">
        <v>9</v>
      </c>
      <c r="J1339" s="24" t="s">
        <v>24</v>
      </c>
      <c r="K1339" s="24"/>
      <c r="L1339" s="24" t="s">
        <v>99</v>
      </c>
    </row>
    <row r="1340">
      <c r="A1340" s="24">
        <f t="shared" si="1"/>
        <v>1339</v>
      </c>
      <c r="B1340" s="24" t="s">
        <v>580</v>
      </c>
      <c r="C1340" s="275">
        <v>42976.0</v>
      </c>
      <c r="D1340" s="24" t="str">
        <f t="shared" si="67"/>
        <v>Aug-2017</v>
      </c>
      <c r="E1340" s="24" t="s">
        <v>32</v>
      </c>
      <c r="F1340" s="24" t="s">
        <v>35</v>
      </c>
      <c r="G1340" s="23" t="s">
        <v>393</v>
      </c>
      <c r="H1340" s="24" t="s">
        <v>102</v>
      </c>
      <c r="I1340" s="24" t="s">
        <v>9</v>
      </c>
      <c r="J1340" s="24" t="s">
        <v>30</v>
      </c>
      <c r="K1340" s="24"/>
      <c r="L1340" s="24" t="s">
        <v>106</v>
      </c>
    </row>
    <row r="1341">
      <c r="A1341" s="24">
        <f t="shared" si="1"/>
        <v>1340</v>
      </c>
      <c r="B1341" s="24" t="s">
        <v>580</v>
      </c>
      <c r="C1341" s="275">
        <v>42976.0</v>
      </c>
      <c r="D1341" s="24" t="str">
        <f t="shared" si="67"/>
        <v>Aug-2017</v>
      </c>
      <c r="E1341" s="24" t="s">
        <v>146</v>
      </c>
      <c r="F1341" s="24" t="s">
        <v>35</v>
      </c>
      <c r="G1341" s="23" t="s">
        <v>360</v>
      </c>
      <c r="H1341" s="24" t="s">
        <v>216</v>
      </c>
      <c r="I1341" s="24" t="s">
        <v>9</v>
      </c>
      <c r="J1341" s="24" t="s">
        <v>30</v>
      </c>
      <c r="K1341" s="24" t="s">
        <v>24</v>
      </c>
      <c r="L1341" s="24" t="s">
        <v>98</v>
      </c>
    </row>
    <row r="1342">
      <c r="A1342" s="24">
        <f t="shared" si="1"/>
        <v>1341</v>
      </c>
      <c r="B1342" s="24" t="s">
        <v>580</v>
      </c>
      <c r="C1342" s="275">
        <v>42976.0</v>
      </c>
      <c r="D1342" s="24" t="str">
        <f t="shared" si="67"/>
        <v>Aug-2017</v>
      </c>
      <c r="E1342" s="24" t="s">
        <v>149</v>
      </c>
      <c r="F1342" s="24" t="s">
        <v>35</v>
      </c>
      <c r="G1342" s="23" t="s">
        <v>360</v>
      </c>
      <c r="H1342" s="24" t="s">
        <v>216</v>
      </c>
      <c r="I1342" s="24" t="s">
        <v>9</v>
      </c>
      <c r="J1342" s="24" t="s">
        <v>24</v>
      </c>
      <c r="K1342" s="24"/>
      <c r="L1342" s="24" t="s">
        <v>29</v>
      </c>
    </row>
    <row r="1343">
      <c r="A1343" s="24">
        <f t="shared" si="1"/>
        <v>1342</v>
      </c>
      <c r="B1343" s="24" t="s">
        <v>580</v>
      </c>
      <c r="C1343" s="275">
        <v>42976.0</v>
      </c>
      <c r="D1343" s="24" t="str">
        <f t="shared" si="67"/>
        <v>Aug-2017</v>
      </c>
      <c r="E1343" s="24" t="s">
        <v>222</v>
      </c>
      <c r="F1343" s="24" t="s">
        <v>35</v>
      </c>
      <c r="G1343" s="23" t="s">
        <v>360</v>
      </c>
      <c r="H1343" s="24" t="s">
        <v>216</v>
      </c>
      <c r="I1343" s="24" t="s">
        <v>9</v>
      </c>
      <c r="J1343" s="24" t="s">
        <v>24</v>
      </c>
      <c r="K1343" s="24"/>
      <c r="L1343" s="24" t="s">
        <v>69</v>
      </c>
    </row>
    <row r="1344">
      <c r="A1344" s="24">
        <f t="shared" si="1"/>
        <v>1343</v>
      </c>
      <c r="B1344" s="24" t="s">
        <v>580</v>
      </c>
      <c r="C1344" s="275">
        <v>42976.0</v>
      </c>
      <c r="D1344" s="24" t="str">
        <f t="shared" si="67"/>
        <v>Aug-2017</v>
      </c>
      <c r="E1344" s="24" t="s">
        <v>467</v>
      </c>
      <c r="F1344" s="24" t="s">
        <v>35</v>
      </c>
      <c r="G1344" s="23" t="s">
        <v>360</v>
      </c>
      <c r="H1344" s="24" t="s">
        <v>216</v>
      </c>
      <c r="I1344" s="24" t="s">
        <v>9</v>
      </c>
      <c r="J1344" s="24" t="s">
        <v>24</v>
      </c>
      <c r="K1344" s="24"/>
      <c r="L1344" s="24" t="s">
        <v>69</v>
      </c>
    </row>
    <row r="1345">
      <c r="A1345" s="24">
        <f t="shared" si="1"/>
        <v>1344</v>
      </c>
      <c r="B1345" s="24" t="s">
        <v>582</v>
      </c>
      <c r="C1345" s="275">
        <v>42983.0</v>
      </c>
      <c r="D1345" s="24" t="str">
        <f t="shared" ref="D1345:D1350" si="68">TEXT(C1340:C1345, "mmm") &amp; "-" &amp; TEXT(C1340:C1345, "yyyy") </f>
        <v>Sep-2017</v>
      </c>
      <c r="E1345" s="24" t="s">
        <v>20</v>
      </c>
      <c r="F1345" s="24" t="s">
        <v>35</v>
      </c>
      <c r="G1345" s="23" t="s">
        <v>583</v>
      </c>
      <c r="H1345" s="24" t="s">
        <v>23</v>
      </c>
      <c r="I1345" s="24" t="s">
        <v>9</v>
      </c>
      <c r="J1345" s="24" t="s">
        <v>30</v>
      </c>
      <c r="K1345" s="24" t="s">
        <v>30</v>
      </c>
      <c r="L1345" s="24" t="s">
        <v>69</v>
      </c>
    </row>
    <row r="1346">
      <c r="A1346" s="24">
        <f t="shared" si="1"/>
        <v>1345</v>
      </c>
      <c r="B1346" s="24" t="s">
        <v>582</v>
      </c>
      <c r="C1346" s="275">
        <v>42983.0</v>
      </c>
      <c r="D1346" s="24" t="str">
        <f t="shared" si="68"/>
        <v>Sep-2017</v>
      </c>
      <c r="E1346" s="24" t="s">
        <v>25</v>
      </c>
      <c r="F1346" s="24" t="s">
        <v>35</v>
      </c>
      <c r="G1346" s="23" t="s">
        <v>583</v>
      </c>
      <c r="H1346" s="24" t="s">
        <v>44</v>
      </c>
      <c r="I1346" s="24" t="s">
        <v>9</v>
      </c>
      <c r="J1346" s="24" t="s">
        <v>30</v>
      </c>
      <c r="K1346" s="24"/>
      <c r="L1346" s="24" t="s">
        <v>37</v>
      </c>
    </row>
    <row r="1347">
      <c r="A1347" s="24">
        <f t="shared" si="1"/>
        <v>1346</v>
      </c>
      <c r="B1347" s="24" t="s">
        <v>582</v>
      </c>
      <c r="C1347" s="275">
        <v>42983.0</v>
      </c>
      <c r="D1347" s="24" t="str">
        <f t="shared" si="68"/>
        <v>Sep-2017</v>
      </c>
      <c r="E1347" s="24" t="s">
        <v>20</v>
      </c>
      <c r="F1347" s="24" t="s">
        <v>35</v>
      </c>
      <c r="G1347" s="23" t="s">
        <v>393</v>
      </c>
      <c r="H1347" s="24" t="s">
        <v>102</v>
      </c>
      <c r="I1347" s="24" t="s">
        <v>9</v>
      </c>
      <c r="J1347" s="24" t="s">
        <v>30</v>
      </c>
      <c r="K1347" s="24" t="s">
        <v>30</v>
      </c>
      <c r="L1347" s="24" t="s">
        <v>99</v>
      </c>
    </row>
    <row r="1348">
      <c r="A1348" s="24">
        <f t="shared" si="1"/>
        <v>1347</v>
      </c>
      <c r="B1348" s="24" t="s">
        <v>582</v>
      </c>
      <c r="C1348" s="275">
        <v>42983.0</v>
      </c>
      <c r="D1348" s="24" t="str">
        <f t="shared" si="68"/>
        <v>Sep-2017</v>
      </c>
      <c r="E1348" s="24" t="s">
        <v>25</v>
      </c>
      <c r="F1348" s="24" t="s">
        <v>35</v>
      </c>
      <c r="G1348" s="23" t="s">
        <v>393</v>
      </c>
      <c r="H1348" s="24" t="s">
        <v>102</v>
      </c>
      <c r="I1348" s="24" t="s">
        <v>9</v>
      </c>
      <c r="J1348" s="24" t="s">
        <v>24</v>
      </c>
      <c r="K1348" s="24"/>
      <c r="L1348" s="24" t="s">
        <v>99</v>
      </c>
    </row>
    <row r="1349">
      <c r="A1349" s="24">
        <f t="shared" si="1"/>
        <v>1348</v>
      </c>
      <c r="B1349" s="24" t="s">
        <v>582</v>
      </c>
      <c r="C1349" s="275">
        <v>42983.0</v>
      </c>
      <c r="D1349" s="24" t="str">
        <f t="shared" si="68"/>
        <v>Sep-2017</v>
      </c>
      <c r="E1349" s="24" t="s">
        <v>32</v>
      </c>
      <c r="F1349" s="24" t="s">
        <v>35</v>
      </c>
      <c r="G1349" s="23" t="s">
        <v>393</v>
      </c>
      <c r="H1349" s="24" t="s">
        <v>102</v>
      </c>
      <c r="I1349" s="24" t="s">
        <v>9</v>
      </c>
      <c r="J1349" s="24" t="s">
        <v>30</v>
      </c>
      <c r="K1349" s="24"/>
      <c r="L1349" s="24" t="s">
        <v>106</v>
      </c>
    </row>
    <row r="1350">
      <c r="A1350" s="24">
        <f t="shared" si="1"/>
        <v>1349</v>
      </c>
      <c r="B1350" s="24" t="s">
        <v>582</v>
      </c>
      <c r="C1350" s="275">
        <v>42983.0</v>
      </c>
      <c r="D1350" s="24" t="str">
        <f t="shared" si="68"/>
        <v>Sep-2017</v>
      </c>
      <c r="E1350" s="24" t="s">
        <v>20</v>
      </c>
      <c r="F1350" s="24" t="s">
        <v>35</v>
      </c>
      <c r="G1350" s="23" t="s">
        <v>450</v>
      </c>
      <c r="H1350" s="24" t="s">
        <v>9</v>
      </c>
      <c r="I1350" s="24" t="s">
        <v>9</v>
      </c>
      <c r="J1350" s="24" t="s">
        <v>24</v>
      </c>
      <c r="K1350" s="24" t="s">
        <v>24</v>
      </c>
      <c r="L1350" s="24" t="s">
        <v>69</v>
      </c>
    </row>
    <row r="1351">
      <c r="A1351" s="24">
        <f t="shared" si="1"/>
        <v>1350</v>
      </c>
      <c r="B1351" s="24" t="s">
        <v>582</v>
      </c>
      <c r="C1351" s="275">
        <v>42983.0</v>
      </c>
      <c r="D1351" s="24" t="str">
        <f t="shared" ref="D1351:D1353" si="69">TEXT(C1345:C1351, "mmm") &amp; "-" &amp; TEXT(C1345:C1351, "yyyy") </f>
        <v>Sep-2017</v>
      </c>
      <c r="E1351" s="24" t="s">
        <v>25</v>
      </c>
      <c r="F1351" s="24" t="s">
        <v>35</v>
      </c>
      <c r="G1351" s="23" t="s">
        <v>450</v>
      </c>
      <c r="H1351" s="24" t="s">
        <v>9</v>
      </c>
      <c r="I1351" s="24" t="s">
        <v>9</v>
      </c>
      <c r="J1351" s="24" t="s">
        <v>24</v>
      </c>
      <c r="K1351" s="24"/>
      <c r="L1351" s="24" t="s">
        <v>98</v>
      </c>
    </row>
    <row r="1352">
      <c r="A1352" s="24">
        <f t="shared" si="1"/>
        <v>1351</v>
      </c>
      <c r="B1352" s="24" t="s">
        <v>582</v>
      </c>
      <c r="C1352" s="275">
        <v>42983.0</v>
      </c>
      <c r="D1352" s="24" t="str">
        <f t="shared" si="69"/>
        <v>Sep-2017</v>
      </c>
      <c r="E1352" s="24" t="s">
        <v>20</v>
      </c>
      <c r="F1352" s="24" t="s">
        <v>35</v>
      </c>
      <c r="G1352" s="23" t="s">
        <v>585</v>
      </c>
      <c r="H1352" s="24" t="s">
        <v>27</v>
      </c>
      <c r="I1352" s="24" t="s">
        <v>9</v>
      </c>
      <c r="J1352" s="24" t="s">
        <v>24</v>
      </c>
      <c r="K1352" s="24" t="s">
        <v>24</v>
      </c>
      <c r="L1352" s="24" t="s">
        <v>69</v>
      </c>
    </row>
    <row r="1353">
      <c r="A1353" s="24">
        <f t="shared" si="1"/>
        <v>1352</v>
      </c>
      <c r="B1353" s="24" t="s">
        <v>582</v>
      </c>
      <c r="C1353" s="275">
        <v>42983.0</v>
      </c>
      <c r="D1353" s="24" t="str">
        <f t="shared" si="69"/>
        <v>Sep-2017</v>
      </c>
      <c r="E1353" s="24" t="s">
        <v>25</v>
      </c>
      <c r="F1353" s="24" t="s">
        <v>35</v>
      </c>
      <c r="G1353" s="23" t="s">
        <v>585</v>
      </c>
      <c r="H1353" s="24" t="s">
        <v>27</v>
      </c>
      <c r="I1353" s="24" t="s">
        <v>9</v>
      </c>
      <c r="J1353" s="24" t="s">
        <v>24</v>
      </c>
      <c r="K1353" s="24"/>
      <c r="L1353" s="24" t="s">
        <v>98</v>
      </c>
    </row>
    <row r="1354">
      <c r="A1354" s="24">
        <f t="shared" si="1"/>
        <v>1352</v>
      </c>
      <c r="B1354" s="95"/>
      <c r="C1354" s="95"/>
      <c r="G1354" s="23"/>
    </row>
    <row r="1355">
      <c r="A1355" s="24">
        <f t="shared" si="1"/>
        <v>1353</v>
      </c>
      <c r="B1355" s="24" t="s">
        <v>586</v>
      </c>
      <c r="C1355" s="275">
        <v>42986.0</v>
      </c>
      <c r="D1355" s="24" t="str">
        <f t="shared" ref="D1355:D1367" si="70">TEXT(C1349:C1355, "mmm") &amp; "-" &amp; TEXT(C1349:C1355, "yyyy") </f>
        <v>Sep-2017</v>
      </c>
      <c r="E1355" s="24" t="s">
        <v>20</v>
      </c>
      <c r="F1355" s="24" t="s">
        <v>35</v>
      </c>
      <c r="G1355" s="23" t="s">
        <v>425</v>
      </c>
      <c r="H1355" s="24" t="s">
        <v>27</v>
      </c>
      <c r="I1355" s="24" t="s">
        <v>9</v>
      </c>
      <c r="J1355" s="24" t="s">
        <v>24</v>
      </c>
      <c r="K1355" s="24" t="s">
        <v>30</v>
      </c>
      <c r="L1355" s="24" t="s">
        <v>69</v>
      </c>
    </row>
    <row r="1356">
      <c r="A1356" s="24">
        <f t="shared" si="1"/>
        <v>1354</v>
      </c>
      <c r="B1356" s="24" t="s">
        <v>586</v>
      </c>
      <c r="C1356" s="275">
        <v>42986.0</v>
      </c>
      <c r="D1356" s="24" t="str">
        <f t="shared" si="70"/>
        <v>Sep-2017</v>
      </c>
      <c r="E1356" s="24" t="s">
        <v>25</v>
      </c>
      <c r="F1356" s="24" t="s">
        <v>35</v>
      </c>
      <c r="G1356" s="23" t="s">
        <v>425</v>
      </c>
      <c r="H1356" s="24" t="s">
        <v>27</v>
      </c>
      <c r="I1356" s="24" t="s">
        <v>9</v>
      </c>
      <c r="J1356" s="24" t="s">
        <v>30</v>
      </c>
      <c r="K1356" s="24"/>
      <c r="L1356" s="24" t="s">
        <v>98</v>
      </c>
    </row>
    <row r="1357">
      <c r="A1357" s="24">
        <f t="shared" si="1"/>
        <v>1355</v>
      </c>
      <c r="B1357" s="24" t="s">
        <v>586</v>
      </c>
      <c r="C1357" s="275">
        <v>42986.0</v>
      </c>
      <c r="D1357" s="24" t="str">
        <f t="shared" si="70"/>
        <v>Sep-2017</v>
      </c>
      <c r="E1357" s="24" t="s">
        <v>32</v>
      </c>
      <c r="F1357" s="24" t="s">
        <v>35</v>
      </c>
      <c r="G1357" s="23" t="s">
        <v>425</v>
      </c>
      <c r="H1357" s="24" t="s">
        <v>27</v>
      </c>
      <c r="I1357" s="24" t="s">
        <v>9</v>
      </c>
      <c r="J1357" s="24" t="s">
        <v>30</v>
      </c>
      <c r="K1357" s="24"/>
      <c r="L1357" s="24" t="s">
        <v>37</v>
      </c>
    </row>
    <row r="1358">
      <c r="A1358" s="24">
        <f t="shared" si="1"/>
        <v>1356</v>
      </c>
      <c r="B1358" s="24" t="s">
        <v>586</v>
      </c>
      <c r="C1358" s="275">
        <v>42986.0</v>
      </c>
      <c r="D1358" s="24" t="str">
        <f t="shared" si="70"/>
        <v>Sep-2017</v>
      </c>
      <c r="E1358" s="24" t="s">
        <v>20</v>
      </c>
      <c r="F1358" s="24" t="s">
        <v>35</v>
      </c>
      <c r="G1358" s="23" t="s">
        <v>450</v>
      </c>
      <c r="H1358" s="24" t="s">
        <v>23</v>
      </c>
      <c r="I1358" s="24" t="s">
        <v>9</v>
      </c>
      <c r="J1358" s="24" t="s">
        <v>24</v>
      </c>
      <c r="K1358" s="24" t="s">
        <v>24</v>
      </c>
      <c r="L1358" s="24" t="s">
        <v>99</v>
      </c>
    </row>
    <row r="1359">
      <c r="A1359" s="24">
        <f t="shared" si="1"/>
        <v>1357</v>
      </c>
      <c r="B1359" s="24" t="s">
        <v>586</v>
      </c>
      <c r="C1359" s="275">
        <v>42986.0</v>
      </c>
      <c r="D1359" s="24" t="str">
        <f t="shared" si="70"/>
        <v>Sep-2017</v>
      </c>
      <c r="E1359" s="24" t="s">
        <v>25</v>
      </c>
      <c r="F1359" s="24" t="s">
        <v>35</v>
      </c>
      <c r="G1359" s="23" t="s">
        <v>450</v>
      </c>
      <c r="H1359" s="24" t="s">
        <v>27</v>
      </c>
      <c r="I1359" s="24" t="s">
        <v>9</v>
      </c>
      <c r="J1359" s="24" t="s">
        <v>24</v>
      </c>
      <c r="K1359" s="24"/>
      <c r="L1359" s="24" t="s">
        <v>106</v>
      </c>
    </row>
    <row r="1360">
      <c r="A1360" s="24">
        <f t="shared" si="1"/>
        <v>1358</v>
      </c>
      <c r="B1360" s="24" t="s">
        <v>586</v>
      </c>
      <c r="C1360" s="275">
        <v>42986.0</v>
      </c>
      <c r="D1360" s="24" t="str">
        <f t="shared" si="70"/>
        <v>Sep-2017</v>
      </c>
      <c r="E1360" s="24" t="s">
        <v>20</v>
      </c>
      <c r="F1360" s="24" t="s">
        <v>35</v>
      </c>
      <c r="G1360" s="23" t="s">
        <v>165</v>
      </c>
      <c r="H1360" s="24" t="s">
        <v>9</v>
      </c>
      <c r="I1360" s="24" t="s">
        <v>9</v>
      </c>
      <c r="J1360" s="24" t="s">
        <v>30</v>
      </c>
      <c r="K1360" s="24" t="s">
        <v>30</v>
      </c>
      <c r="L1360" s="24" t="s">
        <v>69</v>
      </c>
    </row>
    <row r="1361">
      <c r="A1361" s="24">
        <f t="shared" si="1"/>
        <v>1359</v>
      </c>
      <c r="B1361" s="24" t="s">
        <v>586</v>
      </c>
      <c r="C1361" s="275">
        <v>42986.0</v>
      </c>
      <c r="D1361" s="24" t="str">
        <f t="shared" si="70"/>
        <v>Sep-2017</v>
      </c>
      <c r="E1361" s="24" t="s">
        <v>25</v>
      </c>
      <c r="F1361" s="24" t="s">
        <v>35</v>
      </c>
      <c r="G1361" s="23" t="s">
        <v>165</v>
      </c>
      <c r="H1361" s="24" t="s">
        <v>9</v>
      </c>
      <c r="I1361" s="24" t="s">
        <v>9</v>
      </c>
      <c r="J1361" s="24" t="s">
        <v>30</v>
      </c>
      <c r="K1361" s="24"/>
      <c r="L1361" s="24" t="s">
        <v>69</v>
      </c>
    </row>
    <row r="1362">
      <c r="A1362" s="24">
        <f t="shared" si="1"/>
        <v>1360</v>
      </c>
      <c r="B1362" s="24" t="s">
        <v>586</v>
      </c>
      <c r="C1362" s="275">
        <v>42986.0</v>
      </c>
      <c r="D1362" s="24" t="str">
        <f t="shared" si="70"/>
        <v>Sep-2017</v>
      </c>
      <c r="E1362" s="24" t="s">
        <v>20</v>
      </c>
      <c r="F1362" s="24" t="s">
        <v>35</v>
      </c>
      <c r="G1362" s="23" t="s">
        <v>111</v>
      </c>
      <c r="H1362" s="24" t="s">
        <v>9</v>
      </c>
      <c r="I1362" s="24" t="s">
        <v>9</v>
      </c>
      <c r="J1362" s="24" t="s">
        <v>30</v>
      </c>
      <c r="K1362" s="24" t="s">
        <v>30</v>
      </c>
      <c r="L1362" s="24" t="s">
        <v>69</v>
      </c>
    </row>
    <row r="1363">
      <c r="A1363" s="24">
        <f t="shared" si="1"/>
        <v>1361</v>
      </c>
      <c r="B1363" s="24" t="s">
        <v>586</v>
      </c>
      <c r="C1363" s="275">
        <v>42986.0</v>
      </c>
      <c r="D1363" s="24" t="str">
        <f t="shared" si="70"/>
        <v>Sep-2017</v>
      </c>
      <c r="E1363" s="24" t="s">
        <v>25</v>
      </c>
      <c r="F1363" s="24" t="s">
        <v>35</v>
      </c>
      <c r="G1363" s="23" t="s">
        <v>111</v>
      </c>
      <c r="H1363" s="24" t="s">
        <v>27</v>
      </c>
      <c r="I1363" s="24" t="s">
        <v>9</v>
      </c>
      <c r="J1363" s="24" t="s">
        <v>30</v>
      </c>
      <c r="K1363" s="24"/>
      <c r="L1363" s="24" t="s">
        <v>106</v>
      </c>
    </row>
    <row r="1364">
      <c r="A1364" s="24">
        <f t="shared" si="1"/>
        <v>1362</v>
      </c>
      <c r="B1364" s="24" t="s">
        <v>586</v>
      </c>
      <c r="C1364" s="275">
        <v>42986.0</v>
      </c>
      <c r="D1364" s="24" t="str">
        <f t="shared" si="70"/>
        <v>Sep-2017</v>
      </c>
      <c r="E1364" s="24" t="s">
        <v>146</v>
      </c>
      <c r="F1364" s="24" t="s">
        <v>35</v>
      </c>
      <c r="G1364" s="23" t="s">
        <v>47</v>
      </c>
      <c r="H1364" s="24" t="s">
        <v>48</v>
      </c>
      <c r="I1364" s="24" t="s">
        <v>9</v>
      </c>
      <c r="J1364" s="24" t="s">
        <v>30</v>
      </c>
      <c r="K1364" s="24" t="s">
        <v>24</v>
      </c>
      <c r="L1364" s="24" t="s">
        <v>99</v>
      </c>
    </row>
    <row r="1365">
      <c r="A1365" s="24">
        <f t="shared" si="1"/>
        <v>1363</v>
      </c>
      <c r="B1365" s="24" t="s">
        <v>586</v>
      </c>
      <c r="C1365" s="275">
        <v>42986.0</v>
      </c>
      <c r="D1365" s="24" t="str">
        <f t="shared" si="70"/>
        <v>Sep-2017</v>
      </c>
      <c r="E1365" s="24" t="s">
        <v>149</v>
      </c>
      <c r="F1365" s="24" t="s">
        <v>35</v>
      </c>
      <c r="G1365" s="23" t="s">
        <v>47</v>
      </c>
      <c r="H1365" s="24" t="s">
        <v>48</v>
      </c>
      <c r="I1365" s="24" t="s">
        <v>9</v>
      </c>
      <c r="J1365" s="24" t="s">
        <v>24</v>
      </c>
      <c r="K1365" s="24"/>
      <c r="L1365" s="24" t="s">
        <v>37</v>
      </c>
    </row>
    <row r="1366">
      <c r="A1366" s="24">
        <f t="shared" si="1"/>
        <v>1364</v>
      </c>
      <c r="B1366" s="24" t="s">
        <v>586</v>
      </c>
      <c r="C1366" s="275">
        <v>42986.0</v>
      </c>
      <c r="D1366" s="24" t="str">
        <f t="shared" si="70"/>
        <v>Sep-2017</v>
      </c>
      <c r="E1366" s="24" t="s">
        <v>222</v>
      </c>
      <c r="F1366" s="24" t="s">
        <v>35</v>
      </c>
      <c r="G1366" s="23" t="s">
        <v>47</v>
      </c>
      <c r="H1366" s="24" t="s">
        <v>48</v>
      </c>
      <c r="I1366" s="24" t="s">
        <v>9</v>
      </c>
      <c r="J1366" s="24" t="s">
        <v>24</v>
      </c>
      <c r="K1366" s="24"/>
      <c r="L1366" s="24" t="s">
        <v>69</v>
      </c>
    </row>
    <row r="1367">
      <c r="A1367" s="24">
        <f t="shared" si="1"/>
        <v>1365</v>
      </c>
      <c r="B1367" s="24" t="s">
        <v>586</v>
      </c>
      <c r="C1367" s="275">
        <v>42986.0</v>
      </c>
      <c r="D1367" s="24" t="str">
        <f t="shared" si="70"/>
        <v>Sep-2017</v>
      </c>
      <c r="E1367" s="24" t="s">
        <v>467</v>
      </c>
      <c r="F1367" s="24" t="s">
        <v>35</v>
      </c>
      <c r="G1367" s="23" t="s">
        <v>47</v>
      </c>
      <c r="H1367" s="24" t="s">
        <v>48</v>
      </c>
      <c r="I1367" s="24" t="s">
        <v>9</v>
      </c>
      <c r="J1367" s="24" t="s">
        <v>24</v>
      </c>
      <c r="K1367" s="24"/>
      <c r="L1367" s="24" t="s">
        <v>69</v>
      </c>
    </row>
    <row r="1368">
      <c r="A1368" s="24">
        <f t="shared" si="1"/>
        <v>1366</v>
      </c>
      <c r="B1368" s="24" t="s">
        <v>588</v>
      </c>
      <c r="C1368" s="275">
        <v>42993.0</v>
      </c>
      <c r="D1368" s="24" t="str">
        <f t="shared" ref="D1368:D1373" si="71">TEXT(C1363:C1368, "mmm") &amp; "-" &amp; TEXT(C1363:C1368, "yyyy") </f>
        <v>Sep-2017</v>
      </c>
      <c r="E1368" s="24" t="s">
        <v>20</v>
      </c>
      <c r="F1368" s="24" t="s">
        <v>589</v>
      </c>
      <c r="G1368" s="23" t="s">
        <v>219</v>
      </c>
      <c r="H1368" s="24" t="s">
        <v>97</v>
      </c>
      <c r="I1368" s="24" t="s">
        <v>9</v>
      </c>
      <c r="J1368" s="24" t="s">
        <v>24</v>
      </c>
      <c r="K1368" s="24" t="s">
        <v>24</v>
      </c>
      <c r="L1368" s="24" t="s">
        <v>99</v>
      </c>
    </row>
    <row r="1369">
      <c r="A1369" s="24">
        <f t="shared" si="1"/>
        <v>1367</v>
      </c>
      <c r="B1369" s="24" t="s">
        <v>588</v>
      </c>
      <c r="C1369" s="275">
        <v>42993.0</v>
      </c>
      <c r="D1369" s="24" t="str">
        <f t="shared" si="71"/>
        <v>Sep-2017</v>
      </c>
      <c r="E1369" s="24" t="s">
        <v>25</v>
      </c>
      <c r="F1369" s="24" t="s">
        <v>589</v>
      </c>
      <c r="G1369" s="23" t="s">
        <v>219</v>
      </c>
      <c r="H1369" s="24" t="s">
        <v>97</v>
      </c>
      <c r="I1369" s="24" t="s">
        <v>9</v>
      </c>
      <c r="J1369" s="24" t="s">
        <v>24</v>
      </c>
      <c r="K1369" s="24"/>
      <c r="L1369" s="24" t="s">
        <v>106</v>
      </c>
    </row>
    <row r="1370">
      <c r="A1370" s="24">
        <f t="shared" si="1"/>
        <v>1368</v>
      </c>
      <c r="B1370" s="24" t="s">
        <v>588</v>
      </c>
      <c r="C1370" s="275">
        <v>42993.0</v>
      </c>
      <c r="D1370" s="24" t="str">
        <f t="shared" si="71"/>
        <v>Sep-2017</v>
      </c>
      <c r="E1370" s="24" t="s">
        <v>20</v>
      </c>
      <c r="F1370" s="24" t="s">
        <v>589</v>
      </c>
      <c r="G1370" s="23" t="s">
        <v>590</v>
      </c>
      <c r="H1370" s="24" t="s">
        <v>479</v>
      </c>
      <c r="I1370" s="24" t="s">
        <v>9</v>
      </c>
      <c r="J1370" s="24" t="s">
        <v>30</v>
      </c>
      <c r="K1370" s="24" t="s">
        <v>30</v>
      </c>
      <c r="L1370" s="24" t="s">
        <v>98</v>
      </c>
    </row>
    <row r="1371">
      <c r="A1371" s="24">
        <f t="shared" si="1"/>
        <v>1369</v>
      </c>
      <c r="B1371" s="24" t="s">
        <v>588</v>
      </c>
      <c r="C1371" s="275">
        <v>42993.0</v>
      </c>
      <c r="D1371" s="24" t="str">
        <f t="shared" si="71"/>
        <v>Sep-2017</v>
      </c>
      <c r="E1371" s="24" t="s">
        <v>25</v>
      </c>
      <c r="F1371" s="24" t="s">
        <v>589</v>
      </c>
      <c r="G1371" s="23" t="s">
        <v>590</v>
      </c>
      <c r="H1371" s="24" t="s">
        <v>140</v>
      </c>
      <c r="I1371" s="24" t="s">
        <v>9</v>
      </c>
      <c r="J1371" s="24" t="s">
        <v>30</v>
      </c>
      <c r="K1371" s="24"/>
      <c r="L1371" s="24" t="s">
        <v>29</v>
      </c>
    </row>
    <row r="1372">
      <c r="A1372" s="24">
        <f t="shared" si="1"/>
        <v>1370</v>
      </c>
      <c r="B1372" s="24" t="s">
        <v>588</v>
      </c>
      <c r="C1372" s="275">
        <v>42993.0</v>
      </c>
      <c r="D1372" s="24" t="str">
        <f t="shared" si="71"/>
        <v>Sep-2017</v>
      </c>
      <c r="E1372" s="24" t="s">
        <v>20</v>
      </c>
      <c r="F1372" s="24" t="s">
        <v>589</v>
      </c>
      <c r="G1372" s="23" t="s">
        <v>47</v>
      </c>
      <c r="H1372" s="24" t="s">
        <v>48</v>
      </c>
      <c r="I1372" s="24" t="s">
        <v>9</v>
      </c>
      <c r="J1372" s="24" t="s">
        <v>24</v>
      </c>
      <c r="K1372" s="24" t="s">
        <v>24</v>
      </c>
      <c r="L1372" s="24" t="s">
        <v>99</v>
      </c>
    </row>
    <row r="1373">
      <c r="A1373" s="24">
        <f t="shared" si="1"/>
        <v>1371</v>
      </c>
      <c r="B1373" s="24" t="s">
        <v>588</v>
      </c>
      <c r="C1373" s="275">
        <v>42993.0</v>
      </c>
      <c r="D1373" s="24" t="str">
        <f t="shared" si="71"/>
        <v>Sep-2017</v>
      </c>
      <c r="E1373" s="24" t="s">
        <v>25</v>
      </c>
      <c r="F1373" s="24" t="s">
        <v>589</v>
      </c>
      <c r="G1373" s="23" t="s">
        <v>47</v>
      </c>
      <c r="H1373" s="24" t="s">
        <v>48</v>
      </c>
      <c r="I1373" s="24" t="s">
        <v>9</v>
      </c>
      <c r="J1373" s="24" t="s">
        <v>30</v>
      </c>
      <c r="K1373" s="24"/>
      <c r="L1373" s="24" t="s">
        <v>106</v>
      </c>
    </row>
    <row r="1374">
      <c r="A1374" s="24">
        <f t="shared" si="1"/>
        <v>1372</v>
      </c>
      <c r="B1374" s="24" t="s">
        <v>588</v>
      </c>
      <c r="C1374" s="275">
        <v>42993.0</v>
      </c>
      <c r="D1374" s="24" t="str">
        <f t="shared" ref="D1374:D1379" si="72">TEXT(C1368:C1374, "mmm") &amp; "-" &amp; TEXT(C1368:C1374, "yyyy") </f>
        <v>Sep-2017</v>
      </c>
      <c r="E1374" s="24" t="s">
        <v>32</v>
      </c>
      <c r="F1374" s="24" t="s">
        <v>589</v>
      </c>
      <c r="G1374" s="23" t="s">
        <v>47</v>
      </c>
      <c r="H1374" s="24" t="s">
        <v>48</v>
      </c>
      <c r="I1374" s="24" t="s">
        <v>9</v>
      </c>
      <c r="J1374" s="24" t="s">
        <v>24</v>
      </c>
      <c r="K1374" s="24"/>
      <c r="L1374" s="24" t="s">
        <v>29</v>
      </c>
    </row>
    <row r="1375">
      <c r="A1375" s="24">
        <f t="shared" si="1"/>
        <v>1373</v>
      </c>
      <c r="B1375" s="24" t="s">
        <v>588</v>
      </c>
      <c r="C1375" s="275">
        <v>42993.0</v>
      </c>
      <c r="D1375" s="24" t="str">
        <f t="shared" si="72"/>
        <v>Sep-2017</v>
      </c>
      <c r="E1375" s="24" t="s">
        <v>20</v>
      </c>
      <c r="F1375" s="24" t="s">
        <v>589</v>
      </c>
      <c r="G1375" s="23" t="s">
        <v>592</v>
      </c>
      <c r="H1375" s="24" t="s">
        <v>27</v>
      </c>
      <c r="I1375" s="24" t="s">
        <v>9</v>
      </c>
      <c r="J1375" s="24" t="s">
        <v>24</v>
      </c>
      <c r="K1375" s="24" t="s">
        <v>30</v>
      </c>
      <c r="L1375" s="24" t="s">
        <v>98</v>
      </c>
    </row>
    <row r="1376">
      <c r="A1376" s="24">
        <f t="shared" si="1"/>
        <v>1374</v>
      </c>
      <c r="B1376" s="24" t="s">
        <v>588</v>
      </c>
      <c r="C1376" s="275">
        <v>42993.0</v>
      </c>
      <c r="D1376" s="24" t="str">
        <f t="shared" si="72"/>
        <v>Sep-2017</v>
      </c>
      <c r="E1376" s="24" t="s">
        <v>25</v>
      </c>
      <c r="F1376" s="24" t="s">
        <v>589</v>
      </c>
      <c r="G1376" s="23" t="s">
        <v>592</v>
      </c>
      <c r="H1376" s="24" t="s">
        <v>27</v>
      </c>
      <c r="I1376" s="24" t="s">
        <v>9</v>
      </c>
      <c r="J1376" s="24" t="s">
        <v>30</v>
      </c>
      <c r="K1376" s="24"/>
      <c r="L1376" s="24" t="s">
        <v>106</v>
      </c>
    </row>
    <row r="1377">
      <c r="A1377" s="24">
        <f t="shared" si="1"/>
        <v>1375</v>
      </c>
      <c r="B1377" s="24" t="s">
        <v>588</v>
      </c>
      <c r="C1377" s="275">
        <v>42993.0</v>
      </c>
      <c r="D1377" s="24" t="str">
        <f t="shared" si="72"/>
        <v>Sep-2017</v>
      </c>
      <c r="E1377" s="24" t="s">
        <v>32</v>
      </c>
      <c r="F1377" s="24" t="s">
        <v>589</v>
      </c>
      <c r="G1377" s="23" t="s">
        <v>592</v>
      </c>
      <c r="H1377" s="24" t="s">
        <v>27</v>
      </c>
      <c r="I1377" s="24" t="s">
        <v>9</v>
      </c>
      <c r="J1377" s="24" t="s">
        <v>30</v>
      </c>
      <c r="K1377" s="24"/>
      <c r="L1377" s="24" t="s">
        <v>37</v>
      </c>
    </row>
    <row r="1378">
      <c r="A1378" s="24">
        <f t="shared" si="1"/>
        <v>1376</v>
      </c>
      <c r="B1378" s="24" t="s">
        <v>588</v>
      </c>
      <c r="C1378" s="275">
        <v>42993.0</v>
      </c>
      <c r="D1378" s="24" t="str">
        <f t="shared" si="72"/>
        <v>Sep-2017</v>
      </c>
      <c r="E1378" s="24" t="s">
        <v>20</v>
      </c>
      <c r="F1378" s="24" t="s">
        <v>589</v>
      </c>
      <c r="G1378" s="23" t="s">
        <v>36</v>
      </c>
      <c r="H1378" s="24" t="s">
        <v>27</v>
      </c>
      <c r="I1378" s="24" t="s">
        <v>9</v>
      </c>
      <c r="J1378" s="24" t="s">
        <v>30</v>
      </c>
      <c r="K1378" s="24" t="s">
        <v>30</v>
      </c>
      <c r="L1378" s="24" t="s">
        <v>37</v>
      </c>
    </row>
    <row r="1379">
      <c r="A1379" s="24">
        <f t="shared" si="1"/>
        <v>1377</v>
      </c>
      <c r="B1379" s="24" t="s">
        <v>588</v>
      </c>
      <c r="C1379" s="275">
        <v>42993.0</v>
      </c>
      <c r="D1379" s="24" t="str">
        <f t="shared" si="72"/>
        <v>Sep-2017</v>
      </c>
      <c r="E1379" s="24" t="s">
        <v>25</v>
      </c>
      <c r="F1379" s="24" t="s">
        <v>589</v>
      </c>
      <c r="G1379" s="23" t="s">
        <v>36</v>
      </c>
      <c r="H1379" s="24" t="s">
        <v>27</v>
      </c>
      <c r="I1379" s="24" t="s">
        <v>9</v>
      </c>
      <c r="J1379" s="24" t="s">
        <v>30</v>
      </c>
      <c r="K1379" s="24"/>
      <c r="L1379" s="24" t="s">
        <v>37</v>
      </c>
    </row>
    <row r="1380">
      <c r="A1380" s="24">
        <f t="shared" si="1"/>
        <v>1378</v>
      </c>
      <c r="B1380" s="24" t="s">
        <v>593</v>
      </c>
      <c r="C1380" s="275">
        <v>42995.0</v>
      </c>
      <c r="D1380" s="24" t="str">
        <f t="shared" ref="D1380:D1385" si="73">TEXT(C1375:C1380, "mmm") &amp; "-" &amp; TEXT(C1375:C1380, "yyyy") </f>
        <v>Sep-2017</v>
      </c>
      <c r="E1380" s="24" t="s">
        <v>20</v>
      </c>
      <c r="F1380" s="24" t="s">
        <v>35</v>
      </c>
      <c r="G1380" s="23" t="s">
        <v>594</v>
      </c>
      <c r="H1380" s="24" t="s">
        <v>86</v>
      </c>
      <c r="I1380" s="24" t="s">
        <v>9</v>
      </c>
      <c r="J1380" s="24" t="s">
        <v>30</v>
      </c>
      <c r="K1380" s="24" t="s">
        <v>30</v>
      </c>
      <c r="L1380" s="24" t="s">
        <v>69</v>
      </c>
    </row>
    <row r="1381">
      <c r="A1381" s="24">
        <f t="shared" si="1"/>
        <v>1379</v>
      </c>
      <c r="B1381" s="24" t="s">
        <v>593</v>
      </c>
      <c r="C1381" s="275">
        <v>42995.0</v>
      </c>
      <c r="D1381" s="24" t="str">
        <f t="shared" si="73"/>
        <v>Sep-2017</v>
      </c>
      <c r="E1381" s="24" t="s">
        <v>25</v>
      </c>
      <c r="F1381" s="24" t="s">
        <v>35</v>
      </c>
      <c r="G1381" s="23" t="s">
        <v>594</v>
      </c>
      <c r="H1381" s="24" t="s">
        <v>86</v>
      </c>
      <c r="I1381" s="24" t="s">
        <v>9</v>
      </c>
      <c r="J1381" s="24" t="s">
        <v>30</v>
      </c>
      <c r="K1381" s="24"/>
      <c r="L1381" s="24" t="s">
        <v>29</v>
      </c>
    </row>
    <row r="1382">
      <c r="A1382" s="24">
        <f t="shared" si="1"/>
        <v>1380</v>
      </c>
      <c r="B1382" s="24" t="s">
        <v>593</v>
      </c>
      <c r="C1382" s="275">
        <v>42995.0</v>
      </c>
      <c r="D1382" s="24" t="str">
        <f t="shared" si="73"/>
        <v>Sep-2017</v>
      </c>
      <c r="E1382" s="24" t="s">
        <v>20</v>
      </c>
      <c r="F1382" s="24" t="s">
        <v>35</v>
      </c>
      <c r="G1382" s="23" t="s">
        <v>92</v>
      </c>
      <c r="H1382" s="24" t="s">
        <v>27</v>
      </c>
      <c r="I1382" s="24" t="s">
        <v>9</v>
      </c>
      <c r="J1382" s="24" t="s">
        <v>24</v>
      </c>
      <c r="K1382" s="24" t="s">
        <v>30</v>
      </c>
      <c r="L1382" s="24" t="s">
        <v>69</v>
      </c>
    </row>
    <row r="1383">
      <c r="A1383" s="24">
        <f t="shared" si="1"/>
        <v>1381</v>
      </c>
      <c r="B1383" s="24" t="s">
        <v>593</v>
      </c>
      <c r="C1383" s="275">
        <v>42995.0</v>
      </c>
      <c r="D1383" s="24" t="str">
        <f t="shared" si="73"/>
        <v>Sep-2017</v>
      </c>
      <c r="E1383" s="24" t="s">
        <v>25</v>
      </c>
      <c r="F1383" s="24" t="s">
        <v>35</v>
      </c>
      <c r="G1383" s="23" t="s">
        <v>92</v>
      </c>
      <c r="H1383" s="24" t="s">
        <v>27</v>
      </c>
      <c r="I1383" s="24" t="s">
        <v>9</v>
      </c>
      <c r="J1383" s="24" t="s">
        <v>30</v>
      </c>
      <c r="K1383" s="24"/>
      <c r="L1383" s="24" t="s">
        <v>106</v>
      </c>
    </row>
    <row r="1384">
      <c r="A1384" s="24">
        <f t="shared" si="1"/>
        <v>1382</v>
      </c>
      <c r="B1384" s="24" t="s">
        <v>593</v>
      </c>
      <c r="C1384" s="275">
        <v>42995.0</v>
      </c>
      <c r="D1384" s="24" t="str">
        <f t="shared" si="73"/>
        <v>Sep-2017</v>
      </c>
      <c r="E1384" s="24" t="s">
        <v>32</v>
      </c>
      <c r="F1384" s="24" t="s">
        <v>35</v>
      </c>
      <c r="G1384" s="23" t="s">
        <v>92</v>
      </c>
      <c r="H1384" s="24" t="s">
        <v>27</v>
      </c>
      <c r="I1384" s="24" t="s">
        <v>9</v>
      </c>
      <c r="J1384" s="24" t="s">
        <v>30</v>
      </c>
      <c r="K1384" s="24"/>
      <c r="L1384" s="24" t="s">
        <v>37</v>
      </c>
    </row>
    <row r="1385">
      <c r="A1385" s="24">
        <f t="shared" si="1"/>
        <v>1383</v>
      </c>
      <c r="B1385" s="24" t="s">
        <v>593</v>
      </c>
      <c r="C1385" s="275">
        <v>42995.0</v>
      </c>
      <c r="D1385" s="24" t="str">
        <f t="shared" si="73"/>
        <v>Sep-2017</v>
      </c>
      <c r="E1385" s="24" t="s">
        <v>20</v>
      </c>
      <c r="F1385" s="24" t="s">
        <v>35</v>
      </c>
      <c r="G1385" s="23" t="s">
        <v>135</v>
      </c>
      <c r="H1385" s="24" t="s">
        <v>86</v>
      </c>
      <c r="I1385" s="24" t="s">
        <v>9</v>
      </c>
      <c r="J1385" s="24" t="s">
        <v>30</v>
      </c>
      <c r="K1385" s="24" t="s">
        <v>30</v>
      </c>
      <c r="L1385" s="24" t="s">
        <v>99</v>
      </c>
    </row>
    <row r="1386">
      <c r="A1386" s="24">
        <f t="shared" si="1"/>
        <v>1384</v>
      </c>
      <c r="B1386" s="24" t="s">
        <v>593</v>
      </c>
      <c r="C1386" s="275">
        <v>42995.0</v>
      </c>
      <c r="D1386" s="24" t="str">
        <f t="shared" ref="D1386:D1391" si="74">TEXT(C1380:C1386, "mmm") &amp; "-" &amp; TEXT(C1380:C1386, "yyyy") </f>
        <v>Sep-2017</v>
      </c>
      <c r="E1386" s="24" t="s">
        <v>25</v>
      </c>
      <c r="F1386" s="24" t="s">
        <v>35</v>
      </c>
      <c r="G1386" s="23" t="s">
        <v>135</v>
      </c>
      <c r="H1386" s="24" t="s">
        <v>86</v>
      </c>
      <c r="I1386" s="24" t="s">
        <v>9</v>
      </c>
      <c r="J1386" s="24" t="s">
        <v>24</v>
      </c>
      <c r="K1386" s="24"/>
      <c r="L1386" s="24" t="s">
        <v>98</v>
      </c>
    </row>
    <row r="1387">
      <c r="A1387" s="24">
        <f t="shared" si="1"/>
        <v>1385</v>
      </c>
      <c r="B1387" s="24" t="s">
        <v>593</v>
      </c>
      <c r="C1387" s="275">
        <v>42995.0</v>
      </c>
      <c r="D1387" s="24" t="str">
        <f t="shared" si="74"/>
        <v>Sep-2017</v>
      </c>
      <c r="E1387" s="24" t="s">
        <v>32</v>
      </c>
      <c r="F1387" s="24" t="s">
        <v>35</v>
      </c>
      <c r="G1387" s="23" t="s">
        <v>135</v>
      </c>
      <c r="H1387" s="24" t="s">
        <v>86</v>
      </c>
      <c r="I1387" s="24" t="s">
        <v>9</v>
      </c>
      <c r="J1387" s="24" t="s">
        <v>30</v>
      </c>
      <c r="K1387" s="24"/>
      <c r="L1387" s="24" t="s">
        <v>69</v>
      </c>
    </row>
    <row r="1388">
      <c r="A1388" s="24">
        <f t="shared" si="1"/>
        <v>1386</v>
      </c>
      <c r="B1388" s="24" t="s">
        <v>593</v>
      </c>
      <c r="C1388" s="275">
        <v>42995.0</v>
      </c>
      <c r="D1388" s="24" t="str">
        <f t="shared" si="74"/>
        <v>Sep-2017</v>
      </c>
      <c r="E1388" s="24" t="s">
        <v>20</v>
      </c>
      <c r="F1388" s="24" t="s">
        <v>35</v>
      </c>
      <c r="G1388" s="23" t="s">
        <v>239</v>
      </c>
      <c r="H1388" s="24" t="s">
        <v>27</v>
      </c>
      <c r="I1388" s="24" t="s">
        <v>9</v>
      </c>
      <c r="J1388" s="24" t="s">
        <v>24</v>
      </c>
      <c r="K1388" s="24" t="s">
        <v>24</v>
      </c>
      <c r="L1388" s="24" t="s">
        <v>69</v>
      </c>
    </row>
    <row r="1389">
      <c r="A1389" s="24">
        <f t="shared" si="1"/>
        <v>1387</v>
      </c>
      <c r="B1389" s="24" t="s">
        <v>593</v>
      </c>
      <c r="C1389" s="275">
        <v>42995.0</v>
      </c>
      <c r="D1389" s="24" t="str">
        <f t="shared" si="74"/>
        <v>Sep-2017</v>
      </c>
      <c r="E1389" s="24" t="s">
        <v>25</v>
      </c>
      <c r="F1389" s="24" t="s">
        <v>35</v>
      </c>
      <c r="G1389" s="23" t="s">
        <v>239</v>
      </c>
      <c r="H1389" s="24" t="s">
        <v>27</v>
      </c>
      <c r="I1389" s="24" t="s">
        <v>9</v>
      </c>
      <c r="J1389" s="24" t="s">
        <v>24</v>
      </c>
      <c r="K1389" s="24"/>
      <c r="L1389" s="24" t="s">
        <v>106</v>
      </c>
    </row>
    <row r="1390">
      <c r="A1390" s="24">
        <f t="shared" si="1"/>
        <v>1388</v>
      </c>
      <c r="B1390" s="24" t="s">
        <v>593</v>
      </c>
      <c r="C1390" s="275">
        <v>42995.0</v>
      </c>
      <c r="D1390" s="24" t="str">
        <f t="shared" si="74"/>
        <v>Sep-2017</v>
      </c>
      <c r="E1390" s="24" t="s">
        <v>20</v>
      </c>
      <c r="F1390" s="24" t="s">
        <v>35</v>
      </c>
      <c r="G1390" s="23" t="s">
        <v>598</v>
      </c>
      <c r="H1390" s="24" t="s">
        <v>44</v>
      </c>
      <c r="I1390" s="24" t="s">
        <v>9</v>
      </c>
      <c r="J1390" s="24" t="s">
        <v>24</v>
      </c>
      <c r="K1390" s="24" t="s">
        <v>24</v>
      </c>
      <c r="L1390" s="24" t="s">
        <v>98</v>
      </c>
    </row>
    <row r="1391">
      <c r="A1391" s="24">
        <f t="shared" si="1"/>
        <v>1389</v>
      </c>
      <c r="B1391" s="24" t="s">
        <v>593</v>
      </c>
      <c r="C1391" s="275">
        <v>42995.0</v>
      </c>
      <c r="D1391" s="24" t="str">
        <f t="shared" si="74"/>
        <v>Sep-2017</v>
      </c>
      <c r="E1391" s="24" t="s">
        <v>25</v>
      </c>
      <c r="F1391" s="24" t="s">
        <v>35</v>
      </c>
      <c r="G1391" s="23" t="s">
        <v>598</v>
      </c>
      <c r="H1391" s="24" t="s">
        <v>44</v>
      </c>
      <c r="I1391" s="24" t="s">
        <v>9</v>
      </c>
      <c r="J1391" s="24" t="s">
        <v>24</v>
      </c>
      <c r="K1391" s="24"/>
      <c r="L1391" s="24" t="s">
        <v>106</v>
      </c>
    </row>
    <row r="1392">
      <c r="A1392" s="24">
        <f t="shared" si="1"/>
        <v>1390</v>
      </c>
      <c r="B1392" s="24" t="s">
        <v>599</v>
      </c>
      <c r="C1392" s="275">
        <v>43000.0</v>
      </c>
      <c r="D1392" s="24" t="str">
        <f t="shared" ref="D1392:D1397" si="75">TEXT(C1387:C1392, "mmm") &amp; "-" &amp; TEXT(C1387:C1392, "yyyy") </f>
        <v>Sep-2017</v>
      </c>
      <c r="E1392" s="24" t="s">
        <v>20</v>
      </c>
      <c r="F1392" s="24" t="s">
        <v>35</v>
      </c>
      <c r="G1392" s="23" t="s">
        <v>184</v>
      </c>
      <c r="H1392" s="24" t="s">
        <v>44</v>
      </c>
      <c r="I1392" s="24" t="s">
        <v>9</v>
      </c>
      <c r="J1392" s="24" t="s">
        <v>24</v>
      </c>
      <c r="K1392" s="24" t="s">
        <v>24</v>
      </c>
      <c r="L1392" s="24" t="s">
        <v>98</v>
      </c>
    </row>
    <row r="1393">
      <c r="A1393" s="24">
        <f t="shared" si="1"/>
        <v>1391</v>
      </c>
      <c r="B1393" s="24" t="s">
        <v>599</v>
      </c>
      <c r="C1393" s="275">
        <v>43000.0</v>
      </c>
      <c r="D1393" s="24" t="str">
        <f t="shared" si="75"/>
        <v>Sep-2017</v>
      </c>
      <c r="E1393" s="24" t="s">
        <v>25</v>
      </c>
      <c r="F1393" s="24" t="s">
        <v>35</v>
      </c>
      <c r="G1393" s="23" t="s">
        <v>184</v>
      </c>
      <c r="H1393" s="24" t="s">
        <v>44</v>
      </c>
      <c r="I1393" s="24" t="s">
        <v>9</v>
      </c>
      <c r="J1393" s="24" t="s">
        <v>24</v>
      </c>
      <c r="K1393" s="24"/>
      <c r="L1393" s="24" t="s">
        <v>37</v>
      </c>
    </row>
    <row r="1394">
      <c r="A1394" s="24">
        <f t="shared" si="1"/>
        <v>1392</v>
      </c>
      <c r="B1394" s="24" t="s">
        <v>599</v>
      </c>
      <c r="C1394" s="275">
        <v>43000.0</v>
      </c>
      <c r="D1394" s="24" t="str">
        <f t="shared" si="75"/>
        <v>Sep-2017</v>
      </c>
      <c r="E1394" s="24" t="s">
        <v>20</v>
      </c>
      <c r="F1394" s="24" t="s">
        <v>35</v>
      </c>
      <c r="G1394" s="23" t="s">
        <v>600</v>
      </c>
      <c r="H1394" s="24" t="s">
        <v>86</v>
      </c>
      <c r="I1394" s="24" t="s">
        <v>9</v>
      </c>
      <c r="J1394" s="24" t="s">
        <v>30</v>
      </c>
      <c r="K1394" s="24" t="s">
        <v>30</v>
      </c>
      <c r="L1394" s="24" t="s">
        <v>29</v>
      </c>
    </row>
    <row r="1395">
      <c r="A1395" s="24">
        <f t="shared" si="1"/>
        <v>1393</v>
      </c>
      <c r="B1395" s="24" t="s">
        <v>599</v>
      </c>
      <c r="C1395" s="275">
        <v>43000.0</v>
      </c>
      <c r="D1395" s="24" t="str">
        <f t="shared" si="75"/>
        <v>Sep-2017</v>
      </c>
      <c r="E1395" s="24" t="s">
        <v>25</v>
      </c>
      <c r="F1395" s="24" t="s">
        <v>35</v>
      </c>
      <c r="G1395" s="23" t="s">
        <v>600</v>
      </c>
      <c r="H1395" s="24" t="s">
        <v>86</v>
      </c>
      <c r="I1395" s="24" t="s">
        <v>9</v>
      </c>
      <c r="J1395" s="24" t="s">
        <v>30</v>
      </c>
      <c r="K1395" s="24"/>
      <c r="L1395" s="24" t="s">
        <v>106</v>
      </c>
    </row>
    <row r="1396">
      <c r="A1396" s="24">
        <f t="shared" si="1"/>
        <v>1394</v>
      </c>
      <c r="B1396" s="24" t="s">
        <v>599</v>
      </c>
      <c r="C1396" s="275">
        <v>43000.0</v>
      </c>
      <c r="D1396" s="24" t="str">
        <f t="shared" si="75"/>
        <v>Sep-2017</v>
      </c>
      <c r="E1396" s="24" t="s">
        <v>20</v>
      </c>
      <c r="F1396" s="24" t="s">
        <v>35</v>
      </c>
      <c r="G1396" s="23" t="s">
        <v>602</v>
      </c>
      <c r="H1396" s="24" t="s">
        <v>23</v>
      </c>
      <c r="I1396" s="24" t="s">
        <v>9</v>
      </c>
      <c r="J1396" s="24" t="s">
        <v>30</v>
      </c>
      <c r="K1396" s="24" t="s">
        <v>30</v>
      </c>
      <c r="L1396" s="24" t="s">
        <v>37</v>
      </c>
    </row>
    <row r="1397">
      <c r="A1397" s="24">
        <f t="shared" si="1"/>
        <v>1395</v>
      </c>
      <c r="B1397" s="24" t="s">
        <v>599</v>
      </c>
      <c r="C1397" s="275">
        <v>43000.0</v>
      </c>
      <c r="D1397" s="24" t="str">
        <f t="shared" si="75"/>
        <v>Sep-2017</v>
      </c>
      <c r="E1397" s="24" t="s">
        <v>25</v>
      </c>
      <c r="F1397" s="24" t="s">
        <v>35</v>
      </c>
      <c r="G1397" s="23" t="s">
        <v>602</v>
      </c>
      <c r="H1397" s="24" t="s">
        <v>23</v>
      </c>
      <c r="I1397" s="24" t="s">
        <v>9</v>
      </c>
      <c r="J1397" s="24" t="s">
        <v>30</v>
      </c>
      <c r="K1397" s="24"/>
      <c r="L1397" s="24" t="s">
        <v>37</v>
      </c>
    </row>
    <row r="1398">
      <c r="A1398" s="24">
        <f t="shared" si="1"/>
        <v>1396</v>
      </c>
      <c r="B1398" s="24" t="s">
        <v>599</v>
      </c>
      <c r="C1398" s="275">
        <v>43000.0</v>
      </c>
      <c r="D1398" s="24" t="str">
        <f t="shared" ref="D1398:D1399" si="76">TEXT(C1392:C1398, "mmm") &amp; "-" &amp; TEXT(C1392:C1398, "yyyy") </f>
        <v>Sep-2017</v>
      </c>
      <c r="E1398" s="24" t="s">
        <v>20</v>
      </c>
      <c r="F1398" s="24" t="s">
        <v>35</v>
      </c>
      <c r="G1398" s="23" t="s">
        <v>111</v>
      </c>
      <c r="H1398" s="24" t="s">
        <v>216</v>
      </c>
      <c r="I1398" s="24" t="s">
        <v>9</v>
      </c>
      <c r="J1398" s="24" t="s">
        <v>24</v>
      </c>
      <c r="K1398" s="24" t="s">
        <v>24</v>
      </c>
      <c r="L1398" s="24" t="s">
        <v>98</v>
      </c>
    </row>
    <row r="1399">
      <c r="A1399" s="24">
        <f t="shared" si="1"/>
        <v>1397</v>
      </c>
      <c r="B1399" s="24" t="s">
        <v>599</v>
      </c>
      <c r="C1399" s="275">
        <v>43000.0</v>
      </c>
      <c r="D1399" s="24" t="str">
        <f t="shared" si="76"/>
        <v>Sep-2017</v>
      </c>
      <c r="E1399" s="24" t="s">
        <v>25</v>
      </c>
      <c r="F1399" s="24" t="s">
        <v>35</v>
      </c>
      <c r="G1399" s="23" t="s">
        <v>111</v>
      </c>
      <c r="H1399" s="24" t="s">
        <v>216</v>
      </c>
      <c r="I1399" s="24" t="s">
        <v>9</v>
      </c>
      <c r="J1399" s="24" t="s">
        <v>24</v>
      </c>
      <c r="K1399" s="24"/>
      <c r="L1399" s="24" t="s">
        <v>106</v>
      </c>
    </row>
    <row r="1400">
      <c r="A1400" s="24">
        <f t="shared" si="1"/>
        <v>1398</v>
      </c>
      <c r="B1400" s="24" t="s">
        <v>603</v>
      </c>
      <c r="C1400" s="275">
        <v>43005.0</v>
      </c>
      <c r="D1400" s="24" t="str">
        <f t="shared" ref="D1400:D1403" si="77">TEXT(C1395:C1400, "mmm") &amp; "-" &amp; TEXT(C1395:C1400, "yyyy") </f>
        <v>Sep-2017</v>
      </c>
      <c r="E1400" s="24" t="s">
        <v>20</v>
      </c>
      <c r="F1400" s="24" t="s">
        <v>35</v>
      </c>
      <c r="G1400" s="23" t="s">
        <v>604</v>
      </c>
      <c r="H1400" s="24" t="s">
        <v>71</v>
      </c>
      <c r="I1400" s="24" t="s">
        <v>9</v>
      </c>
      <c r="J1400" s="24" t="s">
        <v>30</v>
      </c>
      <c r="K1400" s="24" t="s">
        <v>30</v>
      </c>
      <c r="L1400" s="24" t="s">
        <v>99</v>
      </c>
    </row>
    <row r="1401">
      <c r="A1401" s="24">
        <f t="shared" si="1"/>
        <v>1399</v>
      </c>
      <c r="B1401" s="24" t="s">
        <v>603</v>
      </c>
      <c r="C1401" s="275">
        <v>43005.0</v>
      </c>
      <c r="D1401" s="24" t="str">
        <f t="shared" si="77"/>
        <v>Sep-2017</v>
      </c>
      <c r="E1401" s="24" t="s">
        <v>25</v>
      </c>
      <c r="F1401" s="24" t="s">
        <v>35</v>
      </c>
      <c r="G1401" s="23" t="s">
        <v>604</v>
      </c>
      <c r="H1401" s="24" t="s">
        <v>71</v>
      </c>
      <c r="I1401" s="24" t="s">
        <v>9</v>
      </c>
      <c r="J1401" s="24" t="s">
        <v>30</v>
      </c>
      <c r="K1401" s="24"/>
      <c r="L1401" s="24" t="s">
        <v>37</v>
      </c>
    </row>
    <row r="1402">
      <c r="A1402" s="24">
        <f t="shared" si="1"/>
        <v>1400</v>
      </c>
      <c r="B1402" s="24" t="s">
        <v>603</v>
      </c>
      <c r="C1402" s="275">
        <v>43005.0</v>
      </c>
      <c r="D1402" s="24" t="str">
        <f t="shared" si="77"/>
        <v>Sep-2017</v>
      </c>
      <c r="E1402" s="24" t="s">
        <v>20</v>
      </c>
      <c r="F1402" s="24" t="s">
        <v>35</v>
      </c>
      <c r="G1402" s="23" t="s">
        <v>218</v>
      </c>
      <c r="H1402" s="24" t="s">
        <v>86</v>
      </c>
      <c r="I1402" s="24" t="s">
        <v>9</v>
      </c>
      <c r="J1402" s="24" t="s">
        <v>24</v>
      </c>
      <c r="K1402" s="24" t="s">
        <v>24</v>
      </c>
      <c r="L1402" s="24" t="s">
        <v>69</v>
      </c>
    </row>
    <row r="1403">
      <c r="A1403" s="24">
        <f t="shared" si="1"/>
        <v>1401</v>
      </c>
      <c r="B1403" s="24" t="s">
        <v>603</v>
      </c>
      <c r="C1403" s="275">
        <v>43005.0</v>
      </c>
      <c r="D1403" s="24" t="str">
        <f t="shared" si="77"/>
        <v>Sep-2017</v>
      </c>
      <c r="E1403" s="24" t="s">
        <v>25</v>
      </c>
      <c r="F1403" s="24" t="s">
        <v>35</v>
      </c>
      <c r="G1403" s="23" t="s">
        <v>218</v>
      </c>
      <c r="H1403" s="24" t="s">
        <v>86</v>
      </c>
      <c r="I1403" s="24" t="s">
        <v>9</v>
      </c>
      <c r="J1403" s="24" t="s">
        <v>24</v>
      </c>
      <c r="K1403" s="24"/>
      <c r="L1403" s="24" t="s">
        <v>99</v>
      </c>
    </row>
    <row r="1404">
      <c r="A1404" s="24">
        <f t="shared" si="1"/>
        <v>1402</v>
      </c>
      <c r="B1404" s="24" t="s">
        <v>603</v>
      </c>
      <c r="C1404" s="275">
        <v>43005.0</v>
      </c>
      <c r="D1404" s="24" t="str">
        <f>TEXT(C1400:C1404, "mmm") &amp; "-" &amp; TEXT(C1400:C1404, "yyyy") </f>
        <v>Sep-2017</v>
      </c>
      <c r="E1404" s="24" t="s">
        <v>20</v>
      </c>
      <c r="F1404" s="24" t="s">
        <v>35</v>
      </c>
      <c r="G1404" s="23" t="s">
        <v>606</v>
      </c>
      <c r="H1404" s="24" t="s">
        <v>97</v>
      </c>
      <c r="I1404" s="24" t="s">
        <v>9</v>
      </c>
      <c r="J1404" s="24" t="s">
        <v>30</v>
      </c>
      <c r="K1404" s="24" t="s">
        <v>30</v>
      </c>
      <c r="L1404" s="24" t="s">
        <v>98</v>
      </c>
    </row>
    <row r="1405">
      <c r="A1405" s="24">
        <f t="shared" si="1"/>
        <v>1403</v>
      </c>
      <c r="B1405" s="24" t="s">
        <v>603</v>
      </c>
      <c r="C1405" s="275">
        <v>43005.0</v>
      </c>
      <c r="D1405" s="24" t="str">
        <f t="shared" ref="D1405:D1408" si="78">TEXT(C1400:C1405, "mmm") &amp; "-" &amp; TEXT(C1400:C1405, "yyyy") </f>
        <v>Sep-2017</v>
      </c>
      <c r="E1405" s="24" t="s">
        <v>25</v>
      </c>
      <c r="F1405" s="24" t="s">
        <v>35</v>
      </c>
      <c r="G1405" s="23" t="s">
        <v>606</v>
      </c>
      <c r="H1405" s="24" t="s">
        <v>97</v>
      </c>
      <c r="I1405" s="24" t="s">
        <v>9</v>
      </c>
      <c r="J1405" s="24" t="s">
        <v>30</v>
      </c>
      <c r="K1405" s="24"/>
      <c r="L1405" s="24" t="s">
        <v>98</v>
      </c>
    </row>
    <row r="1406">
      <c r="A1406" s="24">
        <f t="shared" si="1"/>
        <v>1404</v>
      </c>
      <c r="B1406" s="24" t="s">
        <v>603</v>
      </c>
      <c r="C1406" s="275">
        <v>43005.0</v>
      </c>
      <c r="D1406" s="24" t="str">
        <f t="shared" si="78"/>
        <v>Sep-2017</v>
      </c>
      <c r="E1406" s="24" t="s">
        <v>20</v>
      </c>
      <c r="F1406" s="24" t="s">
        <v>35</v>
      </c>
      <c r="G1406" s="23" t="s">
        <v>607</v>
      </c>
      <c r="H1406" s="24" t="s">
        <v>44</v>
      </c>
      <c r="I1406" s="24" t="s">
        <v>9</v>
      </c>
      <c r="J1406" s="24" t="s">
        <v>24</v>
      </c>
      <c r="K1406" s="24" t="s">
        <v>24</v>
      </c>
      <c r="L1406" s="24" t="s">
        <v>98</v>
      </c>
    </row>
    <row r="1407">
      <c r="A1407" s="24">
        <f t="shared" si="1"/>
        <v>1405</v>
      </c>
      <c r="B1407" s="24" t="s">
        <v>603</v>
      </c>
      <c r="C1407" s="275">
        <v>43005.0</v>
      </c>
      <c r="D1407" s="24" t="str">
        <f t="shared" si="78"/>
        <v>Sep-2017</v>
      </c>
      <c r="E1407" s="24" t="s">
        <v>25</v>
      </c>
      <c r="F1407" s="24" t="s">
        <v>35</v>
      </c>
      <c r="G1407" s="23" t="s">
        <v>607</v>
      </c>
      <c r="H1407" s="24" t="s">
        <v>44</v>
      </c>
      <c r="I1407" s="24" t="s">
        <v>9</v>
      </c>
      <c r="J1407" s="24" t="s">
        <v>30</v>
      </c>
      <c r="K1407" s="24"/>
      <c r="L1407" s="24" t="s">
        <v>106</v>
      </c>
    </row>
    <row r="1408">
      <c r="A1408" s="24">
        <f t="shared" si="1"/>
        <v>1406</v>
      </c>
      <c r="B1408" s="24" t="s">
        <v>603</v>
      </c>
      <c r="C1408" s="275">
        <v>43005.0</v>
      </c>
      <c r="D1408" s="24" t="str">
        <f t="shared" si="78"/>
        <v>Sep-2017</v>
      </c>
      <c r="E1408" s="24" t="s">
        <v>32</v>
      </c>
      <c r="F1408" s="24" t="s">
        <v>35</v>
      </c>
      <c r="G1408" s="23" t="s">
        <v>607</v>
      </c>
      <c r="H1408" s="24" t="s">
        <v>44</v>
      </c>
      <c r="I1408" s="24" t="s">
        <v>9</v>
      </c>
      <c r="J1408" s="24" t="s">
        <v>24</v>
      </c>
      <c r="K1408" s="24"/>
      <c r="L1408" s="24" t="s">
        <v>99</v>
      </c>
    </row>
    <row r="1409">
      <c r="A1409" s="24">
        <f t="shared" si="1"/>
        <v>1407</v>
      </c>
      <c r="B1409" s="24" t="s">
        <v>608</v>
      </c>
      <c r="C1409" s="275">
        <v>43008.0</v>
      </c>
      <c r="D1409" s="24" t="str">
        <f t="shared" ref="D1409:D1413" si="79">TEXT(C1405:C1409, "mmm") &amp; "-" &amp; TEXT(C1405:C1409, "yyyy") </f>
        <v>Sep-2017</v>
      </c>
      <c r="E1409" s="24" t="s">
        <v>20</v>
      </c>
      <c r="F1409" s="24" t="s">
        <v>287</v>
      </c>
      <c r="G1409" s="23" t="s">
        <v>245</v>
      </c>
      <c r="H1409" s="24" t="s">
        <v>27</v>
      </c>
      <c r="I1409" s="24" t="s">
        <v>9</v>
      </c>
      <c r="J1409" s="24" t="s">
        <v>30</v>
      </c>
      <c r="K1409" s="24" t="s">
        <v>30</v>
      </c>
      <c r="L1409" s="24" t="s">
        <v>37</v>
      </c>
    </row>
    <row r="1410">
      <c r="A1410" s="24">
        <f t="shared" si="1"/>
        <v>1408</v>
      </c>
      <c r="B1410" s="24" t="s">
        <v>608</v>
      </c>
      <c r="C1410" s="275">
        <v>43008.0</v>
      </c>
      <c r="D1410" s="24" t="str">
        <f t="shared" si="79"/>
        <v>Sep-2017</v>
      </c>
      <c r="E1410" s="24" t="s">
        <v>25</v>
      </c>
      <c r="F1410" s="24" t="s">
        <v>287</v>
      </c>
      <c r="G1410" s="23" t="s">
        <v>245</v>
      </c>
      <c r="H1410" s="24" t="s">
        <v>27</v>
      </c>
      <c r="I1410" s="24" t="s">
        <v>9</v>
      </c>
      <c r="J1410" s="24" t="s">
        <v>30</v>
      </c>
      <c r="K1410" s="24"/>
      <c r="L1410" s="24" t="s">
        <v>99</v>
      </c>
    </row>
    <row r="1411">
      <c r="A1411" s="24">
        <f t="shared" si="1"/>
        <v>1409</v>
      </c>
      <c r="B1411" s="24" t="s">
        <v>608</v>
      </c>
      <c r="C1411" s="275">
        <v>43008.0</v>
      </c>
      <c r="D1411" s="24" t="str">
        <f t="shared" si="79"/>
        <v>Sep-2017</v>
      </c>
      <c r="E1411" s="24" t="s">
        <v>20</v>
      </c>
      <c r="F1411" s="24" t="s">
        <v>287</v>
      </c>
      <c r="G1411" s="23" t="s">
        <v>190</v>
      </c>
      <c r="H1411" s="24" t="s">
        <v>9</v>
      </c>
      <c r="I1411" s="24" t="s">
        <v>9</v>
      </c>
      <c r="J1411" s="24" t="s">
        <v>24</v>
      </c>
      <c r="K1411" s="24" t="s">
        <v>24</v>
      </c>
      <c r="L1411" s="24" t="s">
        <v>98</v>
      </c>
    </row>
    <row r="1412">
      <c r="A1412" s="24">
        <f t="shared" si="1"/>
        <v>1410</v>
      </c>
      <c r="B1412" s="24" t="s">
        <v>608</v>
      </c>
      <c r="C1412" s="275">
        <v>43008.0</v>
      </c>
      <c r="D1412" s="24" t="str">
        <f t="shared" si="79"/>
        <v>Sep-2017</v>
      </c>
      <c r="E1412" s="24" t="s">
        <v>25</v>
      </c>
      <c r="F1412" s="24" t="s">
        <v>287</v>
      </c>
      <c r="G1412" s="23" t="s">
        <v>190</v>
      </c>
      <c r="H1412" s="24" t="s">
        <v>9</v>
      </c>
      <c r="I1412" s="24" t="s">
        <v>9</v>
      </c>
      <c r="J1412" s="24" t="s">
        <v>30</v>
      </c>
      <c r="K1412" s="24"/>
      <c r="L1412" s="24" t="s">
        <v>106</v>
      </c>
    </row>
    <row r="1413">
      <c r="A1413" s="24">
        <f t="shared" si="1"/>
        <v>1411</v>
      </c>
      <c r="B1413" s="24" t="s">
        <v>608</v>
      </c>
      <c r="C1413" s="275">
        <v>43008.0</v>
      </c>
      <c r="D1413" s="24" t="str">
        <f t="shared" si="79"/>
        <v>Sep-2017</v>
      </c>
      <c r="E1413" s="24" t="s">
        <v>32</v>
      </c>
      <c r="F1413" s="24" t="s">
        <v>287</v>
      </c>
      <c r="G1413" s="23" t="s">
        <v>190</v>
      </c>
      <c r="H1413" s="24" t="s">
        <v>9</v>
      </c>
      <c r="I1413" s="24" t="s">
        <v>9</v>
      </c>
      <c r="J1413" s="24" t="s">
        <v>24</v>
      </c>
      <c r="K1413" s="24"/>
      <c r="L1413" s="24" t="s">
        <v>99</v>
      </c>
    </row>
    <row r="1414">
      <c r="A1414" s="24">
        <f t="shared" si="1"/>
        <v>1412</v>
      </c>
      <c r="B1414" s="24" t="s">
        <v>608</v>
      </c>
      <c r="C1414" s="275">
        <v>43008.0</v>
      </c>
      <c r="D1414" s="24" t="str">
        <f t="shared" ref="D1414:D1421" si="80">TEXT(C1409:C1414, "mmm") &amp; "-" &amp; TEXT(C1409:C1414, "yyyy") </f>
        <v>Sep-2017</v>
      </c>
      <c r="E1414" s="24" t="s">
        <v>20</v>
      </c>
      <c r="F1414" s="24" t="s">
        <v>287</v>
      </c>
      <c r="G1414" s="23" t="s">
        <v>194</v>
      </c>
      <c r="H1414" s="24" t="s">
        <v>23</v>
      </c>
      <c r="I1414" s="24" t="s">
        <v>9</v>
      </c>
      <c r="J1414" s="24" t="s">
        <v>24</v>
      </c>
      <c r="K1414" s="24" t="s">
        <v>24</v>
      </c>
      <c r="L1414" s="24" t="s">
        <v>37</v>
      </c>
    </row>
    <row r="1415">
      <c r="A1415" s="24">
        <f t="shared" si="1"/>
        <v>1413</v>
      </c>
      <c r="B1415" s="24" t="s">
        <v>608</v>
      </c>
      <c r="C1415" s="275">
        <v>43008.0</v>
      </c>
      <c r="D1415" s="24" t="str">
        <f t="shared" si="80"/>
        <v>Sep-2017</v>
      </c>
      <c r="E1415" s="24" t="s">
        <v>25</v>
      </c>
      <c r="F1415" s="24" t="s">
        <v>287</v>
      </c>
      <c r="G1415" s="23" t="s">
        <v>194</v>
      </c>
      <c r="H1415" s="24" t="s">
        <v>23</v>
      </c>
      <c r="I1415" s="24" t="s">
        <v>9</v>
      </c>
      <c r="J1415" s="24" t="s">
        <v>24</v>
      </c>
      <c r="K1415" s="24"/>
      <c r="L1415" s="24" t="s">
        <v>106</v>
      </c>
    </row>
    <row r="1416">
      <c r="A1416" s="24">
        <f t="shared" si="1"/>
        <v>1414</v>
      </c>
      <c r="B1416" s="24" t="s">
        <v>608</v>
      </c>
      <c r="C1416" s="275">
        <v>43008.0</v>
      </c>
      <c r="D1416" s="24" t="str">
        <f t="shared" si="80"/>
        <v>Sep-2017</v>
      </c>
      <c r="E1416" s="24" t="s">
        <v>20</v>
      </c>
      <c r="F1416" s="24" t="s">
        <v>35</v>
      </c>
      <c r="G1416" s="23" t="s">
        <v>22</v>
      </c>
      <c r="H1416" s="24" t="s">
        <v>23</v>
      </c>
      <c r="I1416" s="24" t="s">
        <v>9</v>
      </c>
      <c r="J1416" s="24" t="s">
        <v>24</v>
      </c>
      <c r="K1416" s="24" t="s">
        <v>24</v>
      </c>
      <c r="L1416" s="24" t="s">
        <v>69</v>
      </c>
    </row>
    <row r="1417">
      <c r="A1417" s="24">
        <f t="shared" si="1"/>
        <v>1415</v>
      </c>
      <c r="B1417" s="24" t="s">
        <v>608</v>
      </c>
      <c r="C1417" s="275">
        <v>43008.0</v>
      </c>
      <c r="D1417" s="24" t="str">
        <f t="shared" si="80"/>
        <v>Sep-2017</v>
      </c>
      <c r="E1417" s="24" t="s">
        <v>25</v>
      </c>
      <c r="F1417" s="24" t="s">
        <v>35</v>
      </c>
      <c r="G1417" s="23" t="s">
        <v>22</v>
      </c>
      <c r="H1417" s="24" t="s">
        <v>23</v>
      </c>
      <c r="I1417" s="24" t="s">
        <v>9</v>
      </c>
      <c r="J1417" s="24" t="s">
        <v>24</v>
      </c>
      <c r="K1417" s="24"/>
      <c r="L1417" s="24" t="s">
        <v>106</v>
      </c>
    </row>
    <row r="1418">
      <c r="A1418" s="24">
        <f t="shared" si="1"/>
        <v>1416</v>
      </c>
      <c r="B1418" s="24" t="s">
        <v>608</v>
      </c>
      <c r="C1418" s="275">
        <v>43008.0</v>
      </c>
      <c r="D1418" s="24" t="str">
        <f t="shared" si="80"/>
        <v>Sep-2017</v>
      </c>
      <c r="E1418" s="24" t="s">
        <v>20</v>
      </c>
      <c r="F1418" s="24" t="s">
        <v>35</v>
      </c>
      <c r="G1418" s="23" t="s">
        <v>302</v>
      </c>
      <c r="H1418" s="24" t="s">
        <v>27</v>
      </c>
      <c r="I1418" s="24" t="s">
        <v>9</v>
      </c>
      <c r="J1418" s="24" t="s">
        <v>30</v>
      </c>
      <c r="K1418" s="24" t="s">
        <v>30</v>
      </c>
      <c r="L1418" s="24" t="s">
        <v>37</v>
      </c>
    </row>
    <row r="1419">
      <c r="A1419" s="24">
        <f t="shared" si="1"/>
        <v>1417</v>
      </c>
      <c r="B1419" s="24" t="s">
        <v>608</v>
      </c>
      <c r="C1419" s="275">
        <v>43008.0</v>
      </c>
      <c r="D1419" s="24" t="str">
        <f t="shared" si="80"/>
        <v>Sep-2017</v>
      </c>
      <c r="E1419" s="24" t="s">
        <v>25</v>
      </c>
      <c r="F1419" s="24" t="s">
        <v>35</v>
      </c>
      <c r="G1419" s="23" t="s">
        <v>302</v>
      </c>
      <c r="H1419" s="24" t="s">
        <v>27</v>
      </c>
      <c r="I1419" s="24" t="s">
        <v>9</v>
      </c>
      <c r="J1419" s="24" t="s">
        <v>30</v>
      </c>
      <c r="K1419" s="24"/>
      <c r="L1419" s="24" t="s">
        <v>99</v>
      </c>
    </row>
    <row r="1420">
      <c r="A1420" s="24">
        <f t="shared" si="1"/>
        <v>1418</v>
      </c>
      <c r="B1420" s="24" t="s">
        <v>608</v>
      </c>
      <c r="C1420" s="275">
        <v>43008.0</v>
      </c>
      <c r="D1420" s="24" t="str">
        <f t="shared" si="80"/>
        <v>Sep-2017</v>
      </c>
      <c r="E1420" s="24" t="s">
        <v>20</v>
      </c>
      <c r="F1420" s="24" t="s">
        <v>35</v>
      </c>
      <c r="G1420" s="23" t="s">
        <v>346</v>
      </c>
      <c r="H1420" s="24" t="s">
        <v>44</v>
      </c>
      <c r="I1420" s="24" t="s">
        <v>9</v>
      </c>
      <c r="J1420" s="24" t="s">
        <v>24</v>
      </c>
      <c r="K1420" s="24" t="s">
        <v>24</v>
      </c>
      <c r="L1420" s="24" t="s">
        <v>69</v>
      </c>
    </row>
    <row r="1421">
      <c r="A1421" s="24">
        <f t="shared" si="1"/>
        <v>1419</v>
      </c>
      <c r="B1421" s="24" t="s">
        <v>608</v>
      </c>
      <c r="C1421" s="275">
        <v>43008.0</v>
      </c>
      <c r="D1421" s="24" t="str">
        <f t="shared" si="80"/>
        <v>Sep-2017</v>
      </c>
      <c r="E1421" s="24" t="s">
        <v>25</v>
      </c>
      <c r="F1421" s="24" t="s">
        <v>35</v>
      </c>
      <c r="G1421" s="23" t="s">
        <v>346</v>
      </c>
      <c r="H1421" s="24" t="s">
        <v>44</v>
      </c>
      <c r="I1421" s="24" t="s">
        <v>9</v>
      </c>
      <c r="J1421" s="24" t="s">
        <v>24</v>
      </c>
      <c r="K1421" s="24"/>
      <c r="L1421" s="24" t="s">
        <v>106</v>
      </c>
    </row>
    <row r="1422">
      <c r="A1422" s="24">
        <f t="shared" si="1"/>
        <v>1420</v>
      </c>
      <c r="B1422" s="24" t="s">
        <v>611</v>
      </c>
      <c r="C1422" s="95">
        <v>43014.0</v>
      </c>
      <c r="D1422" s="24" t="str">
        <f t="shared" ref="D1422:D1426" si="81">TEXT(C1418:C1422, "mmm") &amp; "-" &amp; TEXT(C1418:C1422, "yyyy") </f>
        <v>Oct-2017</v>
      </c>
      <c r="E1422" s="24" t="s">
        <v>20</v>
      </c>
      <c r="F1422" s="24" t="s">
        <v>612</v>
      </c>
      <c r="G1422" s="23" t="s">
        <v>613</v>
      </c>
      <c r="H1422" s="24" t="s">
        <v>44</v>
      </c>
      <c r="I1422" s="24" t="s">
        <v>9</v>
      </c>
      <c r="J1422" s="24" t="s">
        <v>24</v>
      </c>
      <c r="K1422" s="24" t="s">
        <v>30</v>
      </c>
      <c r="L1422" s="24" t="s">
        <v>98</v>
      </c>
    </row>
    <row r="1423">
      <c r="A1423" s="24">
        <f t="shared" si="1"/>
        <v>1421</v>
      </c>
      <c r="B1423" s="24" t="s">
        <v>611</v>
      </c>
      <c r="C1423" s="95">
        <v>43014.0</v>
      </c>
      <c r="D1423" s="24" t="str">
        <f t="shared" si="81"/>
        <v>Oct-2017</v>
      </c>
      <c r="E1423" s="24" t="s">
        <v>25</v>
      </c>
      <c r="F1423" s="24" t="s">
        <v>612</v>
      </c>
      <c r="G1423" s="23" t="s">
        <v>613</v>
      </c>
      <c r="H1423" s="24" t="s">
        <v>44</v>
      </c>
      <c r="I1423" s="24" t="s">
        <v>9</v>
      </c>
      <c r="J1423" s="24" t="s">
        <v>30</v>
      </c>
      <c r="K1423" s="24"/>
      <c r="L1423" s="24" t="s">
        <v>106</v>
      </c>
    </row>
    <row r="1424">
      <c r="A1424" s="24">
        <f t="shared" si="1"/>
        <v>1422</v>
      </c>
      <c r="B1424" s="24" t="s">
        <v>611</v>
      </c>
      <c r="C1424" s="95">
        <v>43014.0</v>
      </c>
      <c r="D1424" s="24" t="str">
        <f t="shared" si="81"/>
        <v>Oct-2017</v>
      </c>
      <c r="E1424" s="24" t="s">
        <v>32</v>
      </c>
      <c r="F1424" s="24" t="s">
        <v>612</v>
      </c>
      <c r="G1424" s="23" t="s">
        <v>613</v>
      </c>
      <c r="H1424" s="24" t="s">
        <v>44</v>
      </c>
      <c r="I1424" s="24" t="s">
        <v>9</v>
      </c>
      <c r="J1424" s="24" t="s">
        <v>30</v>
      </c>
      <c r="K1424" s="24"/>
      <c r="L1424" s="24" t="s">
        <v>99</v>
      </c>
    </row>
    <row r="1425">
      <c r="A1425" s="24">
        <f t="shared" si="1"/>
        <v>1423</v>
      </c>
      <c r="B1425" s="24" t="s">
        <v>611</v>
      </c>
      <c r="C1425" s="95">
        <v>43014.0</v>
      </c>
      <c r="D1425" s="24" t="str">
        <f t="shared" si="81"/>
        <v>Oct-2017</v>
      </c>
      <c r="E1425" s="24" t="s">
        <v>20</v>
      </c>
      <c r="F1425" s="24" t="s">
        <v>612</v>
      </c>
      <c r="G1425" s="23" t="s">
        <v>617</v>
      </c>
      <c r="H1425" s="24" t="s">
        <v>71</v>
      </c>
      <c r="I1425" s="24" t="s">
        <v>9</v>
      </c>
      <c r="J1425" s="24" t="s">
        <v>24</v>
      </c>
      <c r="K1425" s="24" t="s">
        <v>24</v>
      </c>
      <c r="L1425" s="24" t="s">
        <v>99</v>
      </c>
    </row>
    <row r="1426">
      <c r="A1426" s="24">
        <f t="shared" si="1"/>
        <v>1424</v>
      </c>
      <c r="B1426" s="24" t="s">
        <v>611</v>
      </c>
      <c r="C1426" s="95">
        <v>43014.0</v>
      </c>
      <c r="D1426" s="24" t="str">
        <f t="shared" si="81"/>
        <v>Oct-2017</v>
      </c>
      <c r="E1426" s="24" t="s">
        <v>25</v>
      </c>
      <c r="F1426" s="24" t="s">
        <v>612</v>
      </c>
      <c r="G1426" s="23" t="s">
        <v>617</v>
      </c>
      <c r="H1426" s="24" t="s">
        <v>71</v>
      </c>
      <c r="I1426" s="24" t="s">
        <v>9</v>
      </c>
      <c r="J1426" s="24" t="s">
        <v>30</v>
      </c>
      <c r="K1426" s="24"/>
      <c r="L1426" s="24" t="s">
        <v>106</v>
      </c>
    </row>
    <row r="1427">
      <c r="A1427" s="24">
        <f t="shared" si="1"/>
        <v>1425</v>
      </c>
      <c r="B1427" s="24" t="s">
        <v>611</v>
      </c>
      <c r="C1427" s="95">
        <v>43014.0</v>
      </c>
      <c r="D1427" s="24" t="str">
        <f t="shared" ref="D1427:D1440" si="82">TEXT(C1422:C1427, "mmm") &amp; "-" &amp; TEXT(C1422:C1427, "yyyy") </f>
        <v>Oct-2017</v>
      </c>
      <c r="E1427" s="24" t="s">
        <v>32</v>
      </c>
      <c r="F1427" s="24" t="s">
        <v>612</v>
      </c>
      <c r="G1427" s="23" t="s">
        <v>617</v>
      </c>
      <c r="H1427" s="24" t="s">
        <v>71</v>
      </c>
      <c r="I1427" s="24" t="s">
        <v>9</v>
      </c>
      <c r="J1427" s="24" t="s">
        <v>24</v>
      </c>
      <c r="K1427" s="24"/>
      <c r="L1427" s="24" t="s">
        <v>37</v>
      </c>
    </row>
    <row r="1428">
      <c r="A1428" s="24">
        <f t="shared" si="1"/>
        <v>1426</v>
      </c>
      <c r="B1428" s="24" t="s">
        <v>611</v>
      </c>
      <c r="C1428" s="95">
        <v>43014.0</v>
      </c>
      <c r="D1428" s="24" t="str">
        <f t="shared" si="82"/>
        <v>Oct-2017</v>
      </c>
      <c r="E1428" s="24" t="s">
        <v>20</v>
      </c>
      <c r="F1428" s="24" t="s">
        <v>612</v>
      </c>
      <c r="G1428" s="23" t="s">
        <v>620</v>
      </c>
      <c r="H1428" s="24" t="s">
        <v>44</v>
      </c>
      <c r="I1428" s="24" t="s">
        <v>9</v>
      </c>
      <c r="J1428" s="24" t="s">
        <v>30</v>
      </c>
      <c r="K1428" s="24" t="s">
        <v>30</v>
      </c>
      <c r="L1428" s="24" t="s">
        <v>69</v>
      </c>
    </row>
    <row r="1429">
      <c r="A1429" s="24">
        <f t="shared" si="1"/>
        <v>1427</v>
      </c>
      <c r="B1429" s="24" t="s">
        <v>611</v>
      </c>
      <c r="C1429" s="95">
        <v>43014.0</v>
      </c>
      <c r="D1429" s="24" t="str">
        <f t="shared" si="82"/>
        <v>Oct-2017</v>
      </c>
      <c r="E1429" s="24" t="s">
        <v>25</v>
      </c>
      <c r="F1429" s="24" t="s">
        <v>612</v>
      </c>
      <c r="G1429" s="23" t="s">
        <v>620</v>
      </c>
      <c r="H1429" s="24" t="s">
        <v>44</v>
      </c>
      <c r="I1429" s="24" t="s">
        <v>9</v>
      </c>
      <c r="J1429" s="24" t="s">
        <v>30</v>
      </c>
      <c r="K1429" s="24"/>
      <c r="L1429" s="24" t="s">
        <v>99</v>
      </c>
    </row>
    <row r="1430">
      <c r="A1430" s="24">
        <f t="shared" si="1"/>
        <v>1428</v>
      </c>
      <c r="B1430" s="24" t="s">
        <v>611</v>
      </c>
      <c r="C1430" s="95">
        <v>43014.0</v>
      </c>
      <c r="D1430" s="24" t="str">
        <f t="shared" si="82"/>
        <v>Oct-2017</v>
      </c>
      <c r="E1430" s="24" t="s">
        <v>20</v>
      </c>
      <c r="F1430" s="24" t="s">
        <v>612</v>
      </c>
      <c r="G1430" s="23" t="s">
        <v>621</v>
      </c>
      <c r="H1430" s="24" t="s">
        <v>44</v>
      </c>
      <c r="I1430" s="24" t="s">
        <v>9</v>
      </c>
      <c r="J1430" s="24" t="s">
        <v>24</v>
      </c>
      <c r="K1430" s="24" t="s">
        <v>30</v>
      </c>
      <c r="L1430" s="24" t="s">
        <v>98</v>
      </c>
    </row>
    <row r="1431">
      <c r="A1431" s="24">
        <f t="shared" si="1"/>
        <v>1429</v>
      </c>
      <c r="B1431" s="24" t="s">
        <v>611</v>
      </c>
      <c r="C1431" s="95">
        <v>43014.0</v>
      </c>
      <c r="D1431" s="24" t="str">
        <f t="shared" si="82"/>
        <v>Oct-2017</v>
      </c>
      <c r="E1431" s="24" t="s">
        <v>25</v>
      </c>
      <c r="F1431" s="24" t="s">
        <v>612</v>
      </c>
      <c r="G1431" s="23" t="s">
        <v>621</v>
      </c>
      <c r="H1431" s="24" t="s">
        <v>44</v>
      </c>
      <c r="I1431" s="24" t="s">
        <v>9</v>
      </c>
      <c r="J1431" s="24" t="s">
        <v>30</v>
      </c>
      <c r="K1431" s="24"/>
      <c r="L1431" s="24" t="s">
        <v>106</v>
      </c>
    </row>
    <row r="1432">
      <c r="A1432" s="24">
        <f t="shared" si="1"/>
        <v>1430</v>
      </c>
      <c r="B1432" s="24" t="s">
        <v>611</v>
      </c>
      <c r="C1432" s="95">
        <v>43014.0</v>
      </c>
      <c r="D1432" s="24" t="str">
        <f t="shared" si="82"/>
        <v>Oct-2017</v>
      </c>
      <c r="E1432" s="24" t="s">
        <v>32</v>
      </c>
      <c r="F1432" s="24" t="s">
        <v>612</v>
      </c>
      <c r="G1432" s="23" t="s">
        <v>621</v>
      </c>
      <c r="H1432" s="24" t="s">
        <v>44</v>
      </c>
      <c r="I1432" s="24" t="s">
        <v>9</v>
      </c>
      <c r="J1432" s="24" t="s">
        <v>30</v>
      </c>
      <c r="K1432" s="24"/>
      <c r="L1432" s="24" t="s">
        <v>69</v>
      </c>
    </row>
    <row r="1433">
      <c r="A1433" s="24">
        <f t="shared" si="1"/>
        <v>1431</v>
      </c>
      <c r="B1433" s="24" t="s">
        <v>611</v>
      </c>
      <c r="C1433" s="95">
        <v>43015.0</v>
      </c>
      <c r="D1433" s="24" t="str">
        <f t="shared" si="82"/>
        <v>Oct-2017</v>
      </c>
      <c r="E1433" s="24" t="s">
        <v>20</v>
      </c>
      <c r="F1433" s="24" t="s">
        <v>622</v>
      </c>
      <c r="G1433" s="23" t="s">
        <v>623</v>
      </c>
      <c r="H1433" s="24" t="s">
        <v>71</v>
      </c>
      <c r="I1433" s="24" t="s">
        <v>9</v>
      </c>
      <c r="J1433" s="24" t="s">
        <v>24</v>
      </c>
      <c r="K1433" s="24" t="s">
        <v>24</v>
      </c>
      <c r="L1433" s="24" t="s">
        <v>99</v>
      </c>
    </row>
    <row r="1434">
      <c r="A1434" s="24">
        <f t="shared" si="1"/>
        <v>1432</v>
      </c>
      <c r="B1434" s="24" t="s">
        <v>611</v>
      </c>
      <c r="C1434" s="95">
        <v>43015.0</v>
      </c>
      <c r="D1434" s="24" t="str">
        <f t="shared" si="82"/>
        <v>Oct-2017</v>
      </c>
      <c r="E1434" s="24" t="s">
        <v>25</v>
      </c>
      <c r="F1434" s="24" t="s">
        <v>622</v>
      </c>
      <c r="G1434" s="23" t="s">
        <v>623</v>
      </c>
      <c r="H1434" s="24" t="s">
        <v>71</v>
      </c>
      <c r="I1434" s="24" t="s">
        <v>9</v>
      </c>
      <c r="J1434" s="24" t="s">
        <v>24</v>
      </c>
      <c r="K1434" s="24"/>
      <c r="L1434" s="24" t="s">
        <v>106</v>
      </c>
    </row>
    <row r="1435">
      <c r="A1435" s="24">
        <f t="shared" si="1"/>
        <v>1433</v>
      </c>
      <c r="B1435" s="24" t="s">
        <v>625</v>
      </c>
      <c r="C1435" s="275">
        <v>43021.0</v>
      </c>
      <c r="D1435" s="24" t="str">
        <f t="shared" si="82"/>
        <v>Oct-2017</v>
      </c>
      <c r="E1435" s="24" t="s">
        <v>20</v>
      </c>
      <c r="F1435" s="24" t="s">
        <v>35</v>
      </c>
      <c r="G1435" s="23" t="s">
        <v>626</v>
      </c>
      <c r="H1435" s="24" t="s">
        <v>27</v>
      </c>
      <c r="I1435" s="24" t="s">
        <v>9</v>
      </c>
      <c r="J1435" s="24" t="s">
        <v>30</v>
      </c>
      <c r="K1435" s="24" t="s">
        <v>30</v>
      </c>
      <c r="L1435" s="24" t="s">
        <v>98</v>
      </c>
    </row>
    <row r="1436">
      <c r="A1436" s="24">
        <f t="shared" si="1"/>
        <v>1434</v>
      </c>
      <c r="B1436" s="24" t="s">
        <v>625</v>
      </c>
      <c r="C1436" s="275">
        <v>43021.0</v>
      </c>
      <c r="D1436" s="24" t="str">
        <f t="shared" si="82"/>
        <v>Oct-2017</v>
      </c>
      <c r="E1436" s="24" t="s">
        <v>25</v>
      </c>
      <c r="F1436" s="24" t="s">
        <v>35</v>
      </c>
      <c r="G1436" s="23" t="s">
        <v>626</v>
      </c>
      <c r="H1436" s="24" t="s">
        <v>27</v>
      </c>
      <c r="I1436" s="24" t="s">
        <v>9</v>
      </c>
      <c r="J1436" s="24" t="s">
        <v>30</v>
      </c>
      <c r="K1436" s="24"/>
      <c r="L1436" s="24" t="s">
        <v>98</v>
      </c>
    </row>
    <row r="1437">
      <c r="A1437" s="24">
        <f t="shared" si="1"/>
        <v>1435</v>
      </c>
      <c r="B1437" s="24" t="s">
        <v>625</v>
      </c>
      <c r="C1437" s="275">
        <v>43021.0</v>
      </c>
      <c r="D1437" s="24" t="str">
        <f t="shared" si="82"/>
        <v>Oct-2017</v>
      </c>
      <c r="E1437" s="24" t="s">
        <v>20</v>
      </c>
      <c r="F1437" s="24" t="s">
        <v>35</v>
      </c>
      <c r="G1437" s="23" t="s">
        <v>93</v>
      </c>
      <c r="H1437" s="24" t="s">
        <v>23</v>
      </c>
      <c r="I1437" s="24" t="s">
        <v>9</v>
      </c>
      <c r="J1437" s="24" t="s">
        <v>30</v>
      </c>
      <c r="K1437" s="24" t="s">
        <v>30</v>
      </c>
      <c r="L1437" s="24" t="s">
        <v>99</v>
      </c>
    </row>
    <row r="1438">
      <c r="A1438" s="24">
        <f t="shared" si="1"/>
        <v>1436</v>
      </c>
      <c r="B1438" s="24" t="s">
        <v>625</v>
      </c>
      <c r="C1438" s="275">
        <v>43021.0</v>
      </c>
      <c r="D1438" s="24" t="str">
        <f t="shared" si="82"/>
        <v>Oct-2017</v>
      </c>
      <c r="E1438" s="24" t="s">
        <v>25</v>
      </c>
      <c r="F1438" s="24" t="s">
        <v>35</v>
      </c>
      <c r="G1438" s="23" t="s">
        <v>93</v>
      </c>
      <c r="H1438" s="24" t="s">
        <v>23</v>
      </c>
      <c r="I1438" s="24" t="s">
        <v>9</v>
      </c>
      <c r="J1438" s="24" t="s">
        <v>24</v>
      </c>
      <c r="K1438" s="24"/>
      <c r="L1438" s="24" t="s">
        <v>37</v>
      </c>
    </row>
    <row r="1439">
      <c r="A1439" s="24">
        <f t="shared" si="1"/>
        <v>1437</v>
      </c>
      <c r="B1439" s="24" t="s">
        <v>625</v>
      </c>
      <c r="C1439" s="275">
        <v>43021.0</v>
      </c>
      <c r="D1439" s="24" t="str">
        <f t="shared" si="82"/>
        <v>Oct-2017</v>
      </c>
      <c r="E1439" s="24" t="s">
        <v>32</v>
      </c>
      <c r="F1439" s="24" t="s">
        <v>35</v>
      </c>
      <c r="G1439" s="23" t="s">
        <v>93</v>
      </c>
      <c r="H1439" s="24" t="s">
        <v>23</v>
      </c>
      <c r="I1439" s="24" t="s">
        <v>9</v>
      </c>
      <c r="J1439" s="24" t="s">
        <v>30</v>
      </c>
      <c r="K1439" s="24"/>
      <c r="L1439" s="24" t="s">
        <v>69</v>
      </c>
    </row>
    <row r="1440">
      <c r="A1440" s="24">
        <f t="shared" si="1"/>
        <v>1438</v>
      </c>
      <c r="B1440" s="24" t="s">
        <v>625</v>
      </c>
      <c r="C1440" s="275">
        <v>43021.0</v>
      </c>
      <c r="D1440" s="24" t="str">
        <f t="shared" si="82"/>
        <v>Oct-2017</v>
      </c>
      <c r="E1440" s="24" t="s">
        <v>20</v>
      </c>
      <c r="F1440" s="24" t="s">
        <v>35</v>
      </c>
      <c r="G1440" s="23" t="s">
        <v>239</v>
      </c>
      <c r="H1440" s="24" t="s">
        <v>27</v>
      </c>
      <c r="I1440" s="24" t="s">
        <v>9</v>
      </c>
      <c r="J1440" s="24" t="s">
        <v>24</v>
      </c>
      <c r="K1440" s="24" t="s">
        <v>24</v>
      </c>
      <c r="L1440" s="24" t="s">
        <v>69</v>
      </c>
    </row>
    <row r="1441">
      <c r="A1441" s="24">
        <f t="shared" si="1"/>
        <v>1439</v>
      </c>
      <c r="B1441" s="24" t="s">
        <v>625</v>
      </c>
      <c r="C1441" s="275">
        <v>43021.0</v>
      </c>
      <c r="D1441" s="24" t="str">
        <f t="shared" ref="D1441:D1444" si="83">TEXT(C1435:C1441, "mmm") &amp; "-" &amp; TEXT(C1435:C1441, "yyyy") </f>
        <v>Oct-2017</v>
      </c>
      <c r="E1441" s="24" t="s">
        <v>25</v>
      </c>
      <c r="F1441" s="24" t="s">
        <v>35</v>
      </c>
      <c r="G1441" s="23" t="s">
        <v>239</v>
      </c>
      <c r="H1441" s="24" t="s">
        <v>27</v>
      </c>
      <c r="I1441" s="24" t="s">
        <v>9</v>
      </c>
      <c r="J1441" s="24" t="s">
        <v>24</v>
      </c>
      <c r="K1441" s="24"/>
      <c r="L1441" s="24" t="s">
        <v>98</v>
      </c>
    </row>
    <row r="1442">
      <c r="A1442" s="24">
        <f t="shared" si="1"/>
        <v>1440</v>
      </c>
      <c r="B1442" s="24" t="s">
        <v>625</v>
      </c>
      <c r="C1442" s="275">
        <v>43021.0</v>
      </c>
      <c r="D1442" s="24" t="str">
        <f t="shared" si="83"/>
        <v>Oct-2017</v>
      </c>
      <c r="E1442" s="24" t="s">
        <v>20</v>
      </c>
      <c r="F1442" s="24" t="s">
        <v>35</v>
      </c>
      <c r="G1442" s="23" t="s">
        <v>238</v>
      </c>
      <c r="H1442" s="24" t="s">
        <v>216</v>
      </c>
      <c r="I1442" s="24" t="s">
        <v>9</v>
      </c>
      <c r="J1442" s="24" t="s">
        <v>30</v>
      </c>
      <c r="K1442" s="24" t="s">
        <v>30</v>
      </c>
      <c r="L1442" s="24" t="s">
        <v>37</v>
      </c>
    </row>
    <row r="1443">
      <c r="A1443" s="24">
        <f t="shared" si="1"/>
        <v>1441</v>
      </c>
      <c r="B1443" s="24" t="s">
        <v>625</v>
      </c>
      <c r="C1443" s="275">
        <v>43021.0</v>
      </c>
      <c r="D1443" s="24" t="str">
        <f t="shared" si="83"/>
        <v>Oct-2017</v>
      </c>
      <c r="E1443" s="24" t="s">
        <v>25</v>
      </c>
      <c r="F1443" s="24" t="s">
        <v>35</v>
      </c>
      <c r="G1443" s="23" t="s">
        <v>238</v>
      </c>
      <c r="H1443" s="24" t="s">
        <v>216</v>
      </c>
      <c r="I1443" s="24" t="s">
        <v>9</v>
      </c>
      <c r="J1443" s="24" t="s">
        <v>30</v>
      </c>
      <c r="K1443" s="24"/>
      <c r="L1443" s="24" t="s">
        <v>99</v>
      </c>
    </row>
    <row r="1444">
      <c r="A1444" s="24">
        <f t="shared" si="1"/>
        <v>1442</v>
      </c>
      <c r="B1444" s="24" t="s">
        <v>625</v>
      </c>
      <c r="C1444" s="275">
        <v>43021.0</v>
      </c>
      <c r="D1444" s="24" t="str">
        <f t="shared" si="83"/>
        <v>Oct-2017</v>
      </c>
      <c r="E1444" s="24" t="s">
        <v>20</v>
      </c>
      <c r="F1444" s="24" t="s">
        <v>35</v>
      </c>
      <c r="G1444" s="23" t="s">
        <v>497</v>
      </c>
      <c r="H1444" s="24" t="s">
        <v>9</v>
      </c>
      <c r="I1444" s="24" t="s">
        <v>9</v>
      </c>
      <c r="J1444" s="24" t="s">
        <v>24</v>
      </c>
      <c r="K1444" s="24" t="s">
        <v>24</v>
      </c>
      <c r="L1444" s="24" t="s">
        <v>69</v>
      </c>
    </row>
    <row r="1445">
      <c r="A1445" s="24">
        <f t="shared" si="1"/>
        <v>1443</v>
      </c>
      <c r="B1445" s="24" t="s">
        <v>625</v>
      </c>
      <c r="C1445" s="275">
        <v>43021.0</v>
      </c>
      <c r="D1445" s="24" t="str">
        <f>TEXT(C1437:C1445, "mmm") &amp; "-" &amp; TEXT(C1437:C1445, "yyyy") </f>
        <v>Oct-2017</v>
      </c>
      <c r="E1445" s="24" t="s">
        <v>25</v>
      </c>
      <c r="F1445" s="24" t="s">
        <v>35</v>
      </c>
      <c r="G1445" s="23" t="s">
        <v>497</v>
      </c>
      <c r="H1445" s="24" t="s">
        <v>9</v>
      </c>
      <c r="I1445" s="24" t="s">
        <v>9</v>
      </c>
      <c r="J1445" s="24" t="s">
        <v>24</v>
      </c>
      <c r="K1445" s="24"/>
      <c r="L1445" s="24" t="s">
        <v>106</v>
      </c>
    </row>
    <row r="1446">
      <c r="A1446" s="24">
        <f t="shared" si="1"/>
        <v>1444</v>
      </c>
      <c r="B1446" s="24" t="s">
        <v>628</v>
      </c>
      <c r="C1446" s="275">
        <v>43025.0</v>
      </c>
      <c r="D1446" s="24" t="str">
        <f t="shared" ref="D1446:D1448" si="84">TEXT(C1441:C1446, "mmm") &amp; "-" &amp; TEXT(C1441:C1446, "yyyy") </f>
        <v>Oct-2017</v>
      </c>
      <c r="E1446" s="24" t="s">
        <v>20</v>
      </c>
      <c r="F1446" s="24" t="s">
        <v>35</v>
      </c>
      <c r="G1446" s="23" t="s">
        <v>592</v>
      </c>
      <c r="H1446" s="24" t="s">
        <v>27</v>
      </c>
      <c r="I1446" s="24" t="s">
        <v>9</v>
      </c>
      <c r="J1446" s="24" t="s">
        <v>30</v>
      </c>
      <c r="K1446" s="24" t="s">
        <v>30</v>
      </c>
      <c r="L1446" s="24" t="s">
        <v>98</v>
      </c>
    </row>
    <row r="1447">
      <c r="A1447" s="24">
        <f t="shared" si="1"/>
        <v>1445</v>
      </c>
      <c r="B1447" s="24" t="s">
        <v>628</v>
      </c>
      <c r="C1447" s="275">
        <v>43025.0</v>
      </c>
      <c r="D1447" s="24" t="str">
        <f t="shared" si="84"/>
        <v>Oct-2017</v>
      </c>
      <c r="E1447" s="24" t="s">
        <v>25</v>
      </c>
      <c r="F1447" s="24" t="s">
        <v>35</v>
      </c>
      <c r="G1447" s="23" t="s">
        <v>592</v>
      </c>
      <c r="H1447" s="24" t="s">
        <v>27</v>
      </c>
      <c r="I1447" s="24" t="s">
        <v>9</v>
      </c>
      <c r="J1447" s="24" t="s">
        <v>24</v>
      </c>
      <c r="K1447" s="24"/>
      <c r="L1447" s="24" t="s">
        <v>106</v>
      </c>
    </row>
    <row r="1448">
      <c r="A1448" s="24">
        <f t="shared" si="1"/>
        <v>1446</v>
      </c>
      <c r="B1448" s="24" t="s">
        <v>628</v>
      </c>
      <c r="C1448" s="275">
        <v>43025.0</v>
      </c>
      <c r="D1448" s="24" t="str">
        <f t="shared" si="84"/>
        <v>Oct-2017</v>
      </c>
      <c r="E1448" s="24" t="s">
        <v>32</v>
      </c>
      <c r="F1448" s="24" t="s">
        <v>35</v>
      </c>
      <c r="G1448" s="23" t="s">
        <v>592</v>
      </c>
      <c r="H1448" s="24" t="s">
        <v>27</v>
      </c>
      <c r="I1448" s="24" t="s">
        <v>9</v>
      </c>
      <c r="J1448" s="24" t="s">
        <v>30</v>
      </c>
      <c r="K1448" s="24"/>
      <c r="L1448" s="24" t="s">
        <v>37</v>
      </c>
    </row>
    <row r="1449">
      <c r="A1449" s="24">
        <f t="shared" si="1"/>
        <v>1447</v>
      </c>
      <c r="B1449" s="24" t="s">
        <v>628</v>
      </c>
      <c r="C1449" s="275">
        <v>43025.0</v>
      </c>
      <c r="D1449" s="24" t="str">
        <f t="shared" ref="D1449:D1450" si="85">TEXT(C1443:C1449, "mmm") &amp; "-" &amp; TEXT(C1443:C1449, "yyyy") </f>
        <v>Oct-2017</v>
      </c>
      <c r="E1449" s="24" t="s">
        <v>20</v>
      </c>
      <c r="F1449" s="24" t="s">
        <v>35</v>
      </c>
      <c r="G1449" s="23" t="s">
        <v>194</v>
      </c>
      <c r="H1449" s="24" t="s">
        <v>23</v>
      </c>
      <c r="I1449" s="24" t="s">
        <v>9</v>
      </c>
      <c r="J1449" s="24" t="s">
        <v>24</v>
      </c>
      <c r="K1449" s="24" t="s">
        <v>24</v>
      </c>
      <c r="L1449" s="24" t="s">
        <v>99</v>
      </c>
    </row>
    <row r="1450">
      <c r="A1450" s="24">
        <f t="shared" si="1"/>
        <v>1448</v>
      </c>
      <c r="B1450" s="24" t="s">
        <v>628</v>
      </c>
      <c r="C1450" s="275">
        <v>43025.0</v>
      </c>
      <c r="D1450" s="24" t="str">
        <f t="shared" si="85"/>
        <v>Oct-2017</v>
      </c>
      <c r="E1450" s="24" t="s">
        <v>25</v>
      </c>
      <c r="F1450" s="24" t="s">
        <v>35</v>
      </c>
      <c r="G1450" s="23" t="s">
        <v>194</v>
      </c>
      <c r="H1450" s="24" t="s">
        <v>23</v>
      </c>
      <c r="I1450" s="24" t="s">
        <v>9</v>
      </c>
      <c r="J1450" s="24" t="s">
        <v>24</v>
      </c>
      <c r="K1450" s="24"/>
      <c r="L1450" s="24" t="s">
        <v>106</v>
      </c>
    </row>
    <row r="1451">
      <c r="A1451" s="24">
        <f t="shared" si="1"/>
        <v>1449</v>
      </c>
      <c r="B1451" s="24" t="s">
        <v>628</v>
      </c>
      <c r="C1451" s="275">
        <v>43025.0</v>
      </c>
      <c r="D1451" s="24" t="str">
        <f>TEXT(C1446:C1451, "mmm") &amp; "-" &amp; TEXT(C1446:C1451, "yyyy") </f>
        <v>Oct-2017</v>
      </c>
      <c r="E1451" s="24" t="s">
        <v>20</v>
      </c>
      <c r="F1451" s="24" t="s">
        <v>35</v>
      </c>
      <c r="G1451" s="23" t="s">
        <v>157</v>
      </c>
      <c r="H1451" s="24" t="s">
        <v>23</v>
      </c>
      <c r="I1451" s="24" t="s">
        <v>9</v>
      </c>
      <c r="J1451" s="24" t="s">
        <v>30</v>
      </c>
      <c r="K1451" s="24" t="s">
        <v>30</v>
      </c>
      <c r="L1451" s="24" t="s">
        <v>69</v>
      </c>
    </row>
    <row r="1452">
      <c r="A1452" s="24">
        <f t="shared" si="1"/>
        <v>1450</v>
      </c>
      <c r="B1452" s="24" t="s">
        <v>628</v>
      </c>
      <c r="C1452" s="275">
        <v>43025.0</v>
      </c>
      <c r="D1452" s="24" t="str">
        <f t="shared" ref="D1452:D1453" si="86">TEXT(C1446:C1452, "mmm") &amp; "-" &amp; TEXT(C1446:C1452, "yyyy") </f>
        <v>Oct-2017</v>
      </c>
      <c r="E1452" s="24" t="s">
        <v>25</v>
      </c>
      <c r="F1452" s="24" t="s">
        <v>35</v>
      </c>
      <c r="G1452" s="23" t="s">
        <v>157</v>
      </c>
      <c r="H1452" s="24" t="s">
        <v>23</v>
      </c>
      <c r="I1452" s="24" t="s">
        <v>9</v>
      </c>
      <c r="J1452" s="24" t="s">
        <v>30</v>
      </c>
      <c r="K1452" s="24"/>
      <c r="L1452" s="24" t="s">
        <v>69</v>
      </c>
    </row>
    <row r="1453">
      <c r="A1453" s="24">
        <f t="shared" si="1"/>
        <v>1451</v>
      </c>
      <c r="B1453" s="24" t="s">
        <v>628</v>
      </c>
      <c r="C1453" s="275">
        <v>43025.0</v>
      </c>
      <c r="D1453" s="24" t="str">
        <f t="shared" si="86"/>
        <v>Oct-2017</v>
      </c>
      <c r="E1453" s="24" t="s">
        <v>20</v>
      </c>
      <c r="F1453" s="24" t="s">
        <v>35</v>
      </c>
      <c r="G1453" s="23" t="s">
        <v>148</v>
      </c>
      <c r="H1453" s="24" t="s">
        <v>9</v>
      </c>
      <c r="I1453" s="24" t="s">
        <v>9</v>
      </c>
      <c r="J1453" s="24" t="s">
        <v>30</v>
      </c>
      <c r="K1453" s="24" t="s">
        <v>24</v>
      </c>
      <c r="L1453" s="24" t="s">
        <v>98</v>
      </c>
    </row>
    <row r="1454">
      <c r="A1454" s="24">
        <f t="shared" si="1"/>
        <v>1452</v>
      </c>
      <c r="B1454" s="24" t="s">
        <v>628</v>
      </c>
      <c r="C1454" s="275">
        <v>43025.0</v>
      </c>
      <c r="D1454" s="24" t="str">
        <f>TEXT(C1449:C1454, "mmm") &amp; "-" &amp; TEXT(C1449:C1454, "yyyy") </f>
        <v>Oct-2017</v>
      </c>
      <c r="E1454" s="24" t="s">
        <v>25</v>
      </c>
      <c r="F1454" s="24" t="s">
        <v>35</v>
      </c>
      <c r="G1454" s="23" t="s">
        <v>148</v>
      </c>
      <c r="H1454" s="24" t="s">
        <v>9</v>
      </c>
      <c r="I1454" s="24" t="s">
        <v>9</v>
      </c>
      <c r="J1454" s="24" t="s">
        <v>24</v>
      </c>
      <c r="K1454" s="24"/>
      <c r="L1454" s="24" t="s">
        <v>98</v>
      </c>
    </row>
    <row r="1455">
      <c r="A1455" s="24">
        <f t="shared" si="1"/>
        <v>1453</v>
      </c>
      <c r="B1455" s="24" t="s">
        <v>628</v>
      </c>
      <c r="C1455" s="275">
        <v>43025.0</v>
      </c>
      <c r="D1455" s="24" t="str">
        <f>TEXT(C1449:C1455, "mmm") &amp; "-" &amp; TEXT(C1449:C1455, "yyyy") </f>
        <v>Oct-2017</v>
      </c>
      <c r="E1455" s="24" t="s">
        <v>32</v>
      </c>
      <c r="F1455" s="24" t="s">
        <v>35</v>
      </c>
      <c r="G1455" s="23" t="s">
        <v>148</v>
      </c>
      <c r="H1455" s="24" t="s">
        <v>9</v>
      </c>
      <c r="I1455" s="24" t="s">
        <v>9</v>
      </c>
      <c r="J1455" s="24" t="s">
        <v>24</v>
      </c>
      <c r="K1455" s="24"/>
      <c r="L1455" s="24" t="s">
        <v>106</v>
      </c>
    </row>
    <row r="1456">
      <c r="A1456" s="24">
        <f t="shared" si="1"/>
        <v>1454</v>
      </c>
      <c r="B1456" s="24" t="s">
        <v>632</v>
      </c>
      <c r="C1456" s="275">
        <v>43039.0</v>
      </c>
      <c r="D1456" s="24" t="str">
        <f t="shared" ref="D1456:D1458" si="87">TEXT(C1451:C1456, "mmm") &amp; "-" &amp; TEXT(C1451:C1456, "yyyy") </f>
        <v>Oct-2017</v>
      </c>
      <c r="E1456" s="24" t="s">
        <v>20</v>
      </c>
      <c r="F1456" s="24" t="s">
        <v>35</v>
      </c>
      <c r="G1456" s="23" t="s">
        <v>633</v>
      </c>
      <c r="H1456" s="24" t="s">
        <v>27</v>
      </c>
      <c r="I1456" s="24" t="s">
        <v>9</v>
      </c>
      <c r="J1456" s="24" t="s">
        <v>24</v>
      </c>
      <c r="K1456" s="24" t="s">
        <v>24</v>
      </c>
      <c r="L1456" s="24" t="s">
        <v>69</v>
      </c>
    </row>
    <row r="1457">
      <c r="A1457" s="24">
        <f t="shared" si="1"/>
        <v>1455</v>
      </c>
      <c r="B1457" s="24" t="s">
        <v>632</v>
      </c>
      <c r="C1457" s="275">
        <v>43039.0</v>
      </c>
      <c r="D1457" s="24" t="str">
        <f t="shared" si="87"/>
        <v>Oct-2017</v>
      </c>
      <c r="E1457" s="24" t="s">
        <v>25</v>
      </c>
      <c r="F1457" s="24" t="s">
        <v>35</v>
      </c>
      <c r="G1457" s="23" t="s">
        <v>633</v>
      </c>
      <c r="H1457" s="24" t="s">
        <v>27</v>
      </c>
      <c r="I1457" s="24" t="s">
        <v>9</v>
      </c>
      <c r="J1457" s="24" t="s">
        <v>30</v>
      </c>
      <c r="K1457" s="24"/>
      <c r="L1457" s="24" t="s">
        <v>106</v>
      </c>
    </row>
    <row r="1458">
      <c r="A1458" s="24">
        <f t="shared" si="1"/>
        <v>1456</v>
      </c>
      <c r="B1458" s="24" t="s">
        <v>632</v>
      </c>
      <c r="C1458" s="275">
        <v>43039.0</v>
      </c>
      <c r="D1458" s="24" t="str">
        <f t="shared" si="87"/>
        <v>Oct-2017</v>
      </c>
      <c r="E1458" s="24" t="s">
        <v>32</v>
      </c>
      <c r="F1458" s="24" t="s">
        <v>35</v>
      </c>
      <c r="G1458" s="23" t="s">
        <v>633</v>
      </c>
      <c r="H1458" s="24" t="s">
        <v>27</v>
      </c>
      <c r="I1458" s="24" t="s">
        <v>9</v>
      </c>
      <c r="J1458" s="24" t="s">
        <v>24</v>
      </c>
      <c r="K1458" s="24"/>
      <c r="L1458" s="24" t="s">
        <v>99</v>
      </c>
    </row>
    <row r="1459">
      <c r="A1459" s="24">
        <f t="shared" si="1"/>
        <v>1457</v>
      </c>
      <c r="B1459" s="24" t="s">
        <v>632</v>
      </c>
      <c r="C1459" s="275">
        <v>43039.0</v>
      </c>
      <c r="D1459" s="24" t="str">
        <f t="shared" ref="D1459:D1460" si="88">TEXT(C1453:C1459, "mmm") &amp; "-" &amp; TEXT(C1453:C1459, "yyyy") </f>
        <v>Oct-2017</v>
      </c>
      <c r="E1459" s="24" t="s">
        <v>20</v>
      </c>
      <c r="F1459" s="24" t="s">
        <v>35</v>
      </c>
      <c r="G1459" s="23" t="s">
        <v>634</v>
      </c>
      <c r="H1459" s="24" t="s">
        <v>27</v>
      </c>
      <c r="I1459" s="24" t="s">
        <v>9</v>
      </c>
      <c r="J1459" s="24" t="s">
        <v>30</v>
      </c>
      <c r="K1459" s="24" t="s">
        <v>30</v>
      </c>
      <c r="L1459" s="24" t="s">
        <v>98</v>
      </c>
    </row>
    <row r="1460">
      <c r="A1460" s="24">
        <f t="shared" si="1"/>
        <v>1458</v>
      </c>
      <c r="B1460" s="24" t="s">
        <v>632</v>
      </c>
      <c r="C1460" s="275">
        <v>43039.0</v>
      </c>
      <c r="D1460" s="24" t="str">
        <f t="shared" si="88"/>
        <v>Oct-2017</v>
      </c>
      <c r="E1460" s="24" t="s">
        <v>25</v>
      </c>
      <c r="F1460" s="24" t="s">
        <v>35</v>
      </c>
      <c r="G1460" s="23" t="s">
        <v>634</v>
      </c>
      <c r="H1460" s="24" t="s">
        <v>97</v>
      </c>
      <c r="I1460" s="24" t="s">
        <v>9</v>
      </c>
      <c r="J1460" s="24" t="s">
        <v>30</v>
      </c>
      <c r="K1460" s="24"/>
      <c r="L1460" s="24" t="s">
        <v>106</v>
      </c>
    </row>
    <row r="1461">
      <c r="A1461" s="24">
        <f t="shared" si="1"/>
        <v>1459</v>
      </c>
      <c r="B1461" s="24" t="s">
        <v>632</v>
      </c>
      <c r="C1461" s="275">
        <v>43039.0</v>
      </c>
      <c r="D1461" s="24" t="str">
        <f>TEXT(C1456:C1461, "mmm") &amp; "-" &amp; TEXT(C1456:C1461, "yyyy") </f>
        <v>Oct-2017</v>
      </c>
      <c r="E1461" s="24" t="s">
        <v>20</v>
      </c>
      <c r="F1461" s="24" t="s">
        <v>35</v>
      </c>
      <c r="G1461" s="23" t="s">
        <v>127</v>
      </c>
      <c r="H1461" s="24" t="s">
        <v>44</v>
      </c>
      <c r="I1461" s="24" t="s">
        <v>9</v>
      </c>
      <c r="J1461" s="24" t="s">
        <v>30</v>
      </c>
      <c r="K1461" s="24" t="s">
        <v>24</v>
      </c>
      <c r="L1461" s="24" t="s">
        <v>98</v>
      </c>
    </row>
    <row r="1462">
      <c r="A1462" s="24">
        <f t="shared" si="1"/>
        <v>1460</v>
      </c>
      <c r="B1462" s="24" t="s">
        <v>632</v>
      </c>
      <c r="C1462" s="275">
        <v>43039.0</v>
      </c>
      <c r="D1462" s="24" t="str">
        <f>TEXT(C1456:C1462, "mmm") &amp; "-" &amp; TEXT(C1456:C1462, "yyyy") </f>
        <v>Oct-2017</v>
      </c>
      <c r="E1462" s="24" t="s">
        <v>25</v>
      </c>
      <c r="F1462" s="24" t="s">
        <v>35</v>
      </c>
      <c r="G1462" s="23" t="s">
        <v>127</v>
      </c>
      <c r="H1462" s="24" t="s">
        <v>44</v>
      </c>
      <c r="I1462" s="24" t="s">
        <v>9</v>
      </c>
      <c r="J1462" s="24" t="s">
        <v>24</v>
      </c>
      <c r="K1462" s="24"/>
      <c r="L1462" s="24" t="s">
        <v>98</v>
      </c>
    </row>
    <row r="1463">
      <c r="A1463" s="24">
        <f t="shared" si="1"/>
        <v>1461</v>
      </c>
      <c r="B1463" s="24" t="s">
        <v>632</v>
      </c>
      <c r="C1463" s="275">
        <v>43039.0</v>
      </c>
      <c r="D1463" s="24" t="str">
        <f>TEXT(C1459:C1463, "mmm") &amp; "-" &amp; TEXT(C1459:C1463, "yyyy") </f>
        <v>Oct-2017</v>
      </c>
      <c r="E1463" s="24" t="s">
        <v>32</v>
      </c>
      <c r="F1463" s="24" t="s">
        <v>35</v>
      </c>
      <c r="G1463" s="23" t="s">
        <v>127</v>
      </c>
      <c r="H1463" s="24" t="s">
        <v>44</v>
      </c>
      <c r="I1463" s="24" t="s">
        <v>9</v>
      </c>
      <c r="J1463" s="24" t="s">
        <v>24</v>
      </c>
      <c r="K1463" s="24"/>
      <c r="L1463" s="24" t="s">
        <v>106</v>
      </c>
    </row>
    <row r="1464">
      <c r="A1464" s="24">
        <f t="shared" si="1"/>
        <v>1462</v>
      </c>
      <c r="B1464" s="24" t="s">
        <v>636</v>
      </c>
      <c r="C1464" s="275">
        <v>43042.0</v>
      </c>
      <c r="D1464" s="24" t="str">
        <f t="shared" ref="D1464:D1466" si="89">TEXT(C1459:C1464, "mmm") &amp; "-" &amp; TEXT(C1459:C1464, "yyyy") </f>
        <v>Nov-2017</v>
      </c>
      <c r="E1464" s="24" t="s">
        <v>20</v>
      </c>
      <c r="F1464" s="24" t="s">
        <v>35</v>
      </c>
      <c r="G1464" s="23" t="s">
        <v>637</v>
      </c>
      <c r="H1464" s="24" t="s">
        <v>86</v>
      </c>
      <c r="I1464" s="24" t="s">
        <v>9</v>
      </c>
      <c r="J1464" s="24" t="s">
        <v>30</v>
      </c>
      <c r="K1464" s="24" t="s">
        <v>30</v>
      </c>
      <c r="L1464" s="24" t="s">
        <v>29</v>
      </c>
    </row>
    <row r="1465">
      <c r="A1465" s="24">
        <f t="shared" si="1"/>
        <v>1463</v>
      </c>
      <c r="B1465" s="24" t="s">
        <v>636</v>
      </c>
      <c r="C1465" s="275">
        <v>43042.0</v>
      </c>
      <c r="D1465" s="24" t="str">
        <f t="shared" si="89"/>
        <v>Nov-2017</v>
      </c>
      <c r="E1465" s="24" t="s">
        <v>25</v>
      </c>
      <c r="F1465" s="24" t="s">
        <v>35</v>
      </c>
      <c r="G1465" s="23" t="s">
        <v>637</v>
      </c>
      <c r="H1465" s="24" t="s">
        <v>86</v>
      </c>
      <c r="I1465" s="24" t="s">
        <v>9</v>
      </c>
      <c r="J1465" s="24" t="s">
        <v>30</v>
      </c>
      <c r="K1465" s="24"/>
      <c r="L1465" s="24" t="s">
        <v>106</v>
      </c>
    </row>
    <row r="1466">
      <c r="A1466" s="24">
        <f t="shared" si="1"/>
        <v>1464</v>
      </c>
      <c r="B1466" s="24" t="s">
        <v>636</v>
      </c>
      <c r="C1466" s="275">
        <v>43042.0</v>
      </c>
      <c r="D1466" s="24" t="str">
        <f t="shared" si="89"/>
        <v>Nov-2017</v>
      </c>
      <c r="E1466" s="24" t="s">
        <v>20</v>
      </c>
      <c r="F1466" s="24" t="s">
        <v>35</v>
      </c>
      <c r="G1466" s="23" t="s">
        <v>148</v>
      </c>
      <c r="H1466" s="24" t="s">
        <v>27</v>
      </c>
      <c r="I1466" s="24" t="s">
        <v>9</v>
      </c>
      <c r="J1466" s="24" t="s">
        <v>24</v>
      </c>
      <c r="K1466" s="24" t="s">
        <v>24</v>
      </c>
      <c r="L1466" s="24" t="s">
        <v>37</v>
      </c>
    </row>
    <row r="1467">
      <c r="A1467" s="24">
        <f t="shared" si="1"/>
        <v>1465</v>
      </c>
      <c r="B1467" s="24" t="s">
        <v>636</v>
      </c>
      <c r="C1467" s="275">
        <v>43042.0</v>
      </c>
      <c r="D1467" s="24" t="str">
        <f t="shared" ref="D1467:D1468" si="90">TEXT(C1461:C1467, "mmm") &amp; "-" &amp; TEXT(C1461:C1467, "yyyy") </f>
        <v>Nov-2017</v>
      </c>
      <c r="E1467" s="24" t="s">
        <v>25</v>
      </c>
      <c r="F1467" s="24" t="s">
        <v>35</v>
      </c>
      <c r="G1467" s="23" t="s">
        <v>148</v>
      </c>
      <c r="H1467" s="24" t="s">
        <v>27</v>
      </c>
      <c r="I1467" s="24" t="s">
        <v>9</v>
      </c>
      <c r="J1467" s="24" t="s">
        <v>30</v>
      </c>
      <c r="K1467" s="24"/>
      <c r="L1467" s="24" t="s">
        <v>106</v>
      </c>
    </row>
    <row r="1468">
      <c r="A1468" s="24">
        <f t="shared" si="1"/>
        <v>1466</v>
      </c>
      <c r="B1468" s="24" t="s">
        <v>636</v>
      </c>
      <c r="C1468" s="275">
        <v>43042.0</v>
      </c>
      <c r="D1468" s="24" t="str">
        <f t="shared" si="90"/>
        <v>Nov-2017</v>
      </c>
      <c r="E1468" s="24" t="s">
        <v>32</v>
      </c>
      <c r="F1468" s="24" t="s">
        <v>35</v>
      </c>
      <c r="G1468" s="23" t="s">
        <v>148</v>
      </c>
      <c r="H1468" s="24" t="s">
        <v>27</v>
      </c>
      <c r="I1468" s="24" t="s">
        <v>9</v>
      </c>
      <c r="J1468" s="24" t="s">
        <v>24</v>
      </c>
      <c r="K1468" s="24"/>
      <c r="L1468" s="24" t="s">
        <v>106</v>
      </c>
    </row>
    <row r="1469">
      <c r="A1469" s="24">
        <f t="shared" si="1"/>
        <v>1467</v>
      </c>
      <c r="B1469" s="24" t="s">
        <v>636</v>
      </c>
      <c r="C1469" s="275">
        <v>43042.0</v>
      </c>
      <c r="D1469" s="24" t="str">
        <f>TEXT(C1464:C1469, "mmm") &amp; "-" &amp; TEXT(C1464:C1469, "yyyy") </f>
        <v>Nov-2017</v>
      </c>
      <c r="E1469" s="24" t="s">
        <v>20</v>
      </c>
      <c r="F1469" s="24" t="s">
        <v>35</v>
      </c>
      <c r="G1469" s="23" t="s">
        <v>607</v>
      </c>
      <c r="H1469" s="24" t="s">
        <v>44</v>
      </c>
      <c r="I1469" s="24" t="s">
        <v>9</v>
      </c>
      <c r="J1469" s="24" t="s">
        <v>30</v>
      </c>
      <c r="K1469" s="24" t="s">
        <v>24</v>
      </c>
      <c r="L1469" s="24" t="s">
        <v>98</v>
      </c>
    </row>
    <row r="1470">
      <c r="A1470" s="24">
        <f t="shared" si="1"/>
        <v>1468</v>
      </c>
      <c r="B1470" s="24" t="s">
        <v>636</v>
      </c>
      <c r="C1470" s="275">
        <v>43042.0</v>
      </c>
      <c r="D1470" s="24" t="str">
        <f>TEXT(C1464:C1470, "mmm") &amp; "-" &amp; TEXT(C1464:C1470, "yyyy") </f>
        <v>Nov-2017</v>
      </c>
      <c r="E1470" s="24" t="s">
        <v>25</v>
      </c>
      <c r="F1470" s="24" t="s">
        <v>35</v>
      </c>
      <c r="G1470" s="23" t="s">
        <v>607</v>
      </c>
      <c r="H1470" s="24" t="s">
        <v>44</v>
      </c>
      <c r="I1470" s="24" t="s">
        <v>9</v>
      </c>
      <c r="J1470" s="24" t="s">
        <v>24</v>
      </c>
      <c r="K1470" s="24"/>
      <c r="L1470" s="24" t="s">
        <v>69</v>
      </c>
    </row>
    <row r="1471">
      <c r="A1471" s="24">
        <f t="shared" si="1"/>
        <v>1469</v>
      </c>
      <c r="B1471" s="24" t="s">
        <v>636</v>
      </c>
      <c r="C1471" s="275">
        <v>43042.0</v>
      </c>
      <c r="D1471" s="24" t="str">
        <f>TEXT(C1467:C1471, "mmm") &amp; "-" &amp; TEXT(C1467:C1471, "yyyy") </f>
        <v>Nov-2017</v>
      </c>
      <c r="E1471" s="24" t="s">
        <v>32</v>
      </c>
      <c r="F1471" s="24" t="s">
        <v>35</v>
      </c>
      <c r="G1471" s="23" t="s">
        <v>607</v>
      </c>
      <c r="H1471" s="24" t="s">
        <v>44</v>
      </c>
      <c r="I1471" s="24" t="s">
        <v>9</v>
      </c>
      <c r="J1471" s="24" t="s">
        <v>24</v>
      </c>
      <c r="K1471" s="24"/>
      <c r="L1471" s="24" t="s">
        <v>106</v>
      </c>
    </row>
    <row r="1472">
      <c r="A1472" s="24">
        <f t="shared" si="1"/>
        <v>1470</v>
      </c>
      <c r="B1472" s="24" t="s">
        <v>640</v>
      </c>
      <c r="C1472" s="275">
        <v>43043.0</v>
      </c>
      <c r="D1472" s="24" t="str">
        <f t="shared" ref="D1472:D1474" si="91">TEXT(C1467:C1472, "mmm") &amp; "-" &amp; TEXT(C1467:C1472, "yyyy") </f>
        <v>Nov-2017</v>
      </c>
      <c r="E1472" s="24" t="s">
        <v>20</v>
      </c>
      <c r="F1472" s="24" t="s">
        <v>35</v>
      </c>
      <c r="G1472" s="23" t="s">
        <v>641</v>
      </c>
      <c r="H1472" s="24" t="s">
        <v>23</v>
      </c>
      <c r="I1472" s="24" t="s">
        <v>9</v>
      </c>
      <c r="J1472" s="24" t="s">
        <v>30</v>
      </c>
      <c r="K1472" s="24" t="s">
        <v>30</v>
      </c>
      <c r="L1472" s="24" t="s">
        <v>29</v>
      </c>
    </row>
    <row r="1473">
      <c r="A1473" s="24">
        <f t="shared" si="1"/>
        <v>1471</v>
      </c>
      <c r="B1473" s="24" t="s">
        <v>640</v>
      </c>
      <c r="C1473" s="275">
        <v>43043.0</v>
      </c>
      <c r="D1473" s="24" t="str">
        <f t="shared" si="91"/>
        <v>Nov-2017</v>
      </c>
      <c r="E1473" s="24" t="s">
        <v>25</v>
      </c>
      <c r="F1473" s="24" t="s">
        <v>35</v>
      </c>
      <c r="G1473" s="23" t="s">
        <v>641</v>
      </c>
      <c r="H1473" s="24" t="s">
        <v>23</v>
      </c>
      <c r="I1473" s="24" t="s">
        <v>9</v>
      </c>
      <c r="J1473" s="24" t="s">
        <v>30</v>
      </c>
      <c r="K1473" s="24"/>
      <c r="L1473" s="24" t="s">
        <v>29</v>
      </c>
    </row>
    <row r="1474">
      <c r="A1474" s="24">
        <f t="shared" si="1"/>
        <v>1472</v>
      </c>
      <c r="B1474" s="24" t="s">
        <v>640</v>
      </c>
      <c r="C1474" s="275">
        <v>43043.0</v>
      </c>
      <c r="D1474" s="24" t="str">
        <f t="shared" si="91"/>
        <v>Nov-2017</v>
      </c>
      <c r="E1474" s="24" t="s">
        <v>20</v>
      </c>
      <c r="F1474" s="24" t="s">
        <v>35</v>
      </c>
      <c r="G1474" s="23" t="s">
        <v>296</v>
      </c>
      <c r="H1474" s="24" t="s">
        <v>9</v>
      </c>
      <c r="I1474" s="24" t="s">
        <v>9</v>
      </c>
      <c r="J1474" s="24" t="s">
        <v>24</v>
      </c>
      <c r="K1474" s="24" t="s">
        <v>24</v>
      </c>
      <c r="L1474" s="24" t="s">
        <v>69</v>
      </c>
    </row>
    <row r="1475">
      <c r="A1475" s="24">
        <f t="shared" si="1"/>
        <v>1473</v>
      </c>
      <c r="B1475" s="24" t="s">
        <v>640</v>
      </c>
      <c r="C1475" s="275">
        <v>43043.0</v>
      </c>
      <c r="D1475" s="24" t="str">
        <f t="shared" ref="D1475:D1476" si="92">TEXT(C1469:C1475, "mmm") &amp; "-" &amp; TEXT(C1469:C1475, "yyyy") </f>
        <v>Nov-2017</v>
      </c>
      <c r="E1475" s="24" t="s">
        <v>25</v>
      </c>
      <c r="F1475" s="24" t="s">
        <v>35</v>
      </c>
      <c r="G1475" s="23" t="s">
        <v>296</v>
      </c>
      <c r="H1475" s="24" t="s">
        <v>9</v>
      </c>
      <c r="I1475" s="24" t="s">
        <v>9</v>
      </c>
      <c r="J1475" s="24" t="s">
        <v>30</v>
      </c>
      <c r="K1475" s="24"/>
      <c r="L1475" s="24" t="s">
        <v>106</v>
      </c>
    </row>
    <row r="1476">
      <c r="A1476" s="24">
        <f t="shared" si="1"/>
        <v>1474</v>
      </c>
      <c r="B1476" s="24" t="s">
        <v>640</v>
      </c>
      <c r="C1476" s="275">
        <v>43043.0</v>
      </c>
      <c r="D1476" s="24" t="str">
        <f t="shared" si="92"/>
        <v>Nov-2017</v>
      </c>
      <c r="E1476" s="24" t="s">
        <v>32</v>
      </c>
      <c r="F1476" s="24" t="s">
        <v>35</v>
      </c>
      <c r="G1476" s="23" t="s">
        <v>296</v>
      </c>
      <c r="H1476" s="24" t="s">
        <v>9</v>
      </c>
      <c r="I1476" s="24" t="s">
        <v>9</v>
      </c>
      <c r="J1476" s="24" t="s">
        <v>24</v>
      </c>
      <c r="K1476" s="24"/>
      <c r="L1476" s="24" t="s">
        <v>99</v>
      </c>
    </row>
    <row r="1477">
      <c r="A1477" s="24">
        <f t="shared" si="1"/>
        <v>1475</v>
      </c>
      <c r="B1477" s="24" t="s">
        <v>640</v>
      </c>
      <c r="C1477" s="275">
        <v>43043.0</v>
      </c>
      <c r="D1477" s="24" t="str">
        <f>TEXT(C1472:C1477, "mmm") &amp; "-" &amp; TEXT(C1472:C1477, "yyyy") </f>
        <v>Nov-2017</v>
      </c>
      <c r="E1477" s="24" t="s">
        <v>20</v>
      </c>
      <c r="F1477" s="24" t="s">
        <v>35</v>
      </c>
      <c r="G1477" s="23" t="s">
        <v>643</v>
      </c>
      <c r="H1477" s="24" t="s">
        <v>102</v>
      </c>
      <c r="I1477" s="24" t="s">
        <v>9</v>
      </c>
      <c r="J1477" s="24" t="s">
        <v>24</v>
      </c>
      <c r="K1477" s="24" t="s">
        <v>24</v>
      </c>
      <c r="L1477" s="24" t="s">
        <v>69</v>
      </c>
    </row>
    <row r="1478">
      <c r="A1478" s="24">
        <f t="shared" si="1"/>
        <v>1476</v>
      </c>
      <c r="B1478" s="24" t="s">
        <v>640</v>
      </c>
      <c r="C1478" s="275">
        <v>43043.0</v>
      </c>
      <c r="D1478" s="24" t="str">
        <f>TEXT(C1475:C1478, "mmm") &amp; "-" &amp; TEXT(C1475:C1478, "yyyy") </f>
        <v>Nov-2017</v>
      </c>
      <c r="E1478" s="24" t="s">
        <v>25</v>
      </c>
      <c r="F1478" s="24" t="s">
        <v>35</v>
      </c>
      <c r="G1478" s="23" t="s">
        <v>643</v>
      </c>
      <c r="H1478" s="24" t="s">
        <v>102</v>
      </c>
      <c r="I1478" s="24" t="s">
        <v>9</v>
      </c>
      <c r="J1478" s="24" t="s">
        <v>24</v>
      </c>
      <c r="K1478" s="24"/>
      <c r="L1478" s="24" t="s">
        <v>69</v>
      </c>
    </row>
    <row r="1479">
      <c r="A1479" s="24">
        <f t="shared" si="1"/>
        <v>1477</v>
      </c>
      <c r="B1479" s="24" t="s">
        <v>644</v>
      </c>
      <c r="C1479" s="275">
        <v>43049.0</v>
      </c>
      <c r="D1479" s="24" t="str">
        <f t="shared" ref="D1479:D1485" si="93">TEXT(C1473:C1479, "mmm") &amp; "-" &amp; TEXT(C1473:C1479, "yyyy") </f>
        <v>Nov-2017</v>
      </c>
      <c r="E1479" s="24" t="s">
        <v>20</v>
      </c>
      <c r="F1479" s="24" t="s">
        <v>35</v>
      </c>
      <c r="G1479" s="23" t="s">
        <v>626</v>
      </c>
      <c r="H1479" s="24" t="s">
        <v>27</v>
      </c>
      <c r="I1479" s="24" t="s">
        <v>9</v>
      </c>
      <c r="J1479" s="24" t="s">
        <v>30</v>
      </c>
      <c r="K1479" s="24" t="s">
        <v>30</v>
      </c>
      <c r="L1479" s="24" t="s">
        <v>98</v>
      </c>
    </row>
    <row r="1480">
      <c r="A1480" s="24">
        <f t="shared" si="1"/>
        <v>1478</v>
      </c>
      <c r="B1480" s="24" t="s">
        <v>644</v>
      </c>
      <c r="C1480" s="275">
        <v>43049.0</v>
      </c>
      <c r="D1480" s="24" t="str">
        <f t="shared" si="93"/>
        <v>Nov-2017</v>
      </c>
      <c r="E1480" s="24" t="s">
        <v>25</v>
      </c>
      <c r="F1480" s="24" t="s">
        <v>35</v>
      </c>
      <c r="G1480" s="23" t="s">
        <v>626</v>
      </c>
      <c r="H1480" s="24" t="s">
        <v>27</v>
      </c>
      <c r="I1480" s="24" t="s">
        <v>9</v>
      </c>
      <c r="J1480" s="24" t="s">
        <v>30</v>
      </c>
      <c r="K1480" s="24"/>
      <c r="L1480" s="24" t="s">
        <v>69</v>
      </c>
    </row>
    <row r="1481">
      <c r="A1481" s="24">
        <f t="shared" si="1"/>
        <v>1479</v>
      </c>
      <c r="B1481" s="24" t="s">
        <v>644</v>
      </c>
      <c r="C1481" s="275">
        <v>43049.0</v>
      </c>
      <c r="D1481" s="24" t="str">
        <f t="shared" si="93"/>
        <v>Nov-2017</v>
      </c>
      <c r="E1481" s="24" t="s">
        <v>20</v>
      </c>
      <c r="F1481" s="24" t="s">
        <v>35</v>
      </c>
      <c r="G1481" s="23" t="s">
        <v>112</v>
      </c>
      <c r="H1481" s="24" t="s">
        <v>86</v>
      </c>
      <c r="I1481" s="24" t="s">
        <v>9</v>
      </c>
      <c r="J1481" s="24" t="s">
        <v>24</v>
      </c>
      <c r="K1481" s="24" t="s">
        <v>24</v>
      </c>
      <c r="L1481" s="24" t="s">
        <v>69</v>
      </c>
    </row>
    <row r="1482">
      <c r="A1482" s="24">
        <f t="shared" si="1"/>
        <v>1480</v>
      </c>
      <c r="B1482" s="24" t="s">
        <v>644</v>
      </c>
      <c r="C1482" s="275">
        <v>43049.0</v>
      </c>
      <c r="D1482" s="24" t="str">
        <f t="shared" si="93"/>
        <v>Nov-2017</v>
      </c>
      <c r="E1482" s="24" t="s">
        <v>25</v>
      </c>
      <c r="F1482" s="24" t="s">
        <v>35</v>
      </c>
      <c r="G1482" s="23" t="s">
        <v>112</v>
      </c>
      <c r="H1482" s="24" t="s">
        <v>86</v>
      </c>
      <c r="I1482" s="24" t="s">
        <v>9</v>
      </c>
      <c r="J1482" s="24" t="s">
        <v>24</v>
      </c>
      <c r="K1482" s="24"/>
      <c r="L1482" s="24" t="s">
        <v>99</v>
      </c>
    </row>
    <row r="1483">
      <c r="A1483" s="24">
        <f t="shared" si="1"/>
        <v>1481</v>
      </c>
      <c r="B1483" s="24" t="s">
        <v>644</v>
      </c>
      <c r="C1483" s="275">
        <v>43049.0</v>
      </c>
      <c r="D1483" s="24" t="str">
        <f t="shared" si="93"/>
        <v>Nov-2017</v>
      </c>
      <c r="E1483" s="24" t="s">
        <v>20</v>
      </c>
      <c r="F1483" s="24" t="s">
        <v>35</v>
      </c>
      <c r="G1483" s="23" t="s">
        <v>431</v>
      </c>
      <c r="H1483" s="24" t="s">
        <v>23</v>
      </c>
      <c r="I1483" s="24" t="s">
        <v>9</v>
      </c>
      <c r="J1483" s="24" t="s">
        <v>24</v>
      </c>
      <c r="K1483" s="24" t="s">
        <v>30</v>
      </c>
      <c r="L1483" s="24" t="s">
        <v>37</v>
      </c>
    </row>
    <row r="1484">
      <c r="A1484" s="24">
        <f t="shared" si="1"/>
        <v>1482</v>
      </c>
      <c r="B1484" s="24" t="s">
        <v>644</v>
      </c>
      <c r="C1484" s="275">
        <v>43049.0</v>
      </c>
      <c r="D1484" s="24" t="str">
        <f t="shared" si="93"/>
        <v>Nov-2017</v>
      </c>
      <c r="E1484" s="24" t="s">
        <v>25</v>
      </c>
      <c r="F1484" s="24" t="s">
        <v>35</v>
      </c>
      <c r="G1484" s="23" t="s">
        <v>431</v>
      </c>
      <c r="H1484" s="24" t="s">
        <v>23</v>
      </c>
      <c r="I1484" s="24" t="s">
        <v>9</v>
      </c>
      <c r="J1484" s="24" t="s">
        <v>30</v>
      </c>
      <c r="K1484" s="24"/>
      <c r="L1484" s="24" t="s">
        <v>106</v>
      </c>
    </row>
    <row r="1485">
      <c r="A1485" s="24">
        <f t="shared" si="1"/>
        <v>1483</v>
      </c>
      <c r="B1485" s="24" t="s">
        <v>644</v>
      </c>
      <c r="C1485" s="275">
        <v>43049.0</v>
      </c>
      <c r="D1485" s="24" t="str">
        <f t="shared" si="93"/>
        <v>Nov-2017</v>
      </c>
      <c r="E1485" s="24" t="s">
        <v>32</v>
      </c>
      <c r="F1485" s="24" t="s">
        <v>35</v>
      </c>
      <c r="G1485" s="23" t="s">
        <v>431</v>
      </c>
      <c r="H1485" s="24" t="s">
        <v>23</v>
      </c>
      <c r="I1485" s="24" t="s">
        <v>9</v>
      </c>
      <c r="J1485" s="24" t="s">
        <v>30</v>
      </c>
      <c r="K1485" s="24"/>
      <c r="L1485" s="24" t="s">
        <v>99</v>
      </c>
    </row>
    <row r="1486">
      <c r="A1486" s="24">
        <f t="shared" si="1"/>
        <v>1484</v>
      </c>
      <c r="B1486" s="24" t="s">
        <v>644</v>
      </c>
      <c r="C1486" s="275">
        <v>43049.0</v>
      </c>
      <c r="D1486" s="24" t="str">
        <f t="shared" ref="D1486:D1487" si="94">TEXT(C1479:C1486, "mmm") &amp; "-" &amp; TEXT(C1479:C1486, "yyyy") </f>
        <v>Nov-2017</v>
      </c>
      <c r="E1486" s="24" t="s">
        <v>20</v>
      </c>
      <c r="F1486" s="24" t="s">
        <v>35</v>
      </c>
      <c r="G1486" s="23" t="s">
        <v>88</v>
      </c>
      <c r="H1486" s="24" t="s">
        <v>86</v>
      </c>
      <c r="I1486" s="24" t="s">
        <v>9</v>
      </c>
      <c r="J1486" s="24" t="s">
        <v>24</v>
      </c>
      <c r="K1486" s="24" t="s">
        <v>24</v>
      </c>
      <c r="L1486" s="24" t="s">
        <v>29</v>
      </c>
    </row>
    <row r="1487">
      <c r="A1487" s="24">
        <f t="shared" si="1"/>
        <v>1485</v>
      </c>
      <c r="B1487" s="24" t="s">
        <v>644</v>
      </c>
      <c r="C1487" s="275">
        <v>43049.0</v>
      </c>
      <c r="D1487" s="24" t="str">
        <f t="shared" si="94"/>
        <v>Nov-2017</v>
      </c>
      <c r="E1487" s="24" t="s">
        <v>25</v>
      </c>
      <c r="F1487" s="24" t="s">
        <v>35</v>
      </c>
      <c r="G1487" s="23" t="s">
        <v>88</v>
      </c>
      <c r="H1487" s="24" t="s">
        <v>86</v>
      </c>
      <c r="I1487" s="24" t="s">
        <v>9</v>
      </c>
      <c r="J1487" s="24" t="s">
        <v>24</v>
      </c>
      <c r="K1487" s="24"/>
      <c r="L1487" s="24" t="s">
        <v>29</v>
      </c>
    </row>
    <row r="1488">
      <c r="A1488" s="24">
        <f t="shared" si="1"/>
        <v>1486</v>
      </c>
      <c r="B1488" s="24" t="s">
        <v>647</v>
      </c>
      <c r="C1488" s="95">
        <v>43050.0</v>
      </c>
      <c r="D1488" s="24" t="str">
        <f t="shared" ref="D1488:D1501" si="95">TEXT(C1482:C1488, "mmm") &amp; "-" &amp; TEXT(C1482:C1488, "yyyy") </f>
        <v>Nov-2017</v>
      </c>
      <c r="E1488" s="24" t="s">
        <v>20</v>
      </c>
      <c r="F1488" s="24" t="s">
        <v>35</v>
      </c>
      <c r="G1488" s="23" t="s">
        <v>425</v>
      </c>
      <c r="H1488" s="24" t="s">
        <v>9</v>
      </c>
      <c r="I1488" s="24" t="s">
        <v>9</v>
      </c>
      <c r="J1488" s="24" t="s">
        <v>24</v>
      </c>
      <c r="K1488" s="24" t="s">
        <v>30</v>
      </c>
      <c r="L1488" s="24" t="s">
        <v>98</v>
      </c>
    </row>
    <row r="1489">
      <c r="A1489" s="24">
        <f t="shared" si="1"/>
        <v>1487</v>
      </c>
      <c r="B1489" s="24" t="s">
        <v>647</v>
      </c>
      <c r="C1489" s="95">
        <v>43050.0</v>
      </c>
      <c r="D1489" s="24" t="str">
        <f t="shared" si="95"/>
        <v>Nov-2017</v>
      </c>
      <c r="E1489" s="24" t="s">
        <v>25</v>
      </c>
      <c r="F1489" s="24" t="s">
        <v>35</v>
      </c>
      <c r="G1489" s="23" t="s">
        <v>425</v>
      </c>
      <c r="H1489" s="24" t="s">
        <v>9</v>
      </c>
      <c r="I1489" s="24" t="s">
        <v>9</v>
      </c>
      <c r="J1489" s="24" t="s">
        <v>30</v>
      </c>
      <c r="K1489" s="24"/>
      <c r="L1489" s="24" t="s">
        <v>106</v>
      </c>
    </row>
    <row r="1490">
      <c r="A1490" s="24">
        <f t="shared" si="1"/>
        <v>1488</v>
      </c>
      <c r="B1490" s="24" t="s">
        <v>647</v>
      </c>
      <c r="C1490" s="95">
        <v>43050.0</v>
      </c>
      <c r="D1490" s="24" t="str">
        <f t="shared" si="95"/>
        <v>Nov-2017</v>
      </c>
      <c r="E1490" s="24" t="s">
        <v>32</v>
      </c>
      <c r="F1490" s="24" t="s">
        <v>35</v>
      </c>
      <c r="G1490" s="23" t="s">
        <v>425</v>
      </c>
      <c r="H1490" s="24" t="s">
        <v>27</v>
      </c>
      <c r="I1490" s="24" t="s">
        <v>9</v>
      </c>
      <c r="J1490" s="24" t="s">
        <v>30</v>
      </c>
      <c r="K1490" s="24"/>
      <c r="L1490" s="24" t="s">
        <v>29</v>
      </c>
    </row>
    <row r="1491">
      <c r="A1491" s="24">
        <f t="shared" si="1"/>
        <v>1489</v>
      </c>
      <c r="B1491" s="24" t="s">
        <v>647</v>
      </c>
      <c r="C1491" s="95">
        <v>43050.0</v>
      </c>
      <c r="D1491" s="24" t="str">
        <f t="shared" si="95"/>
        <v>Nov-2017</v>
      </c>
      <c r="E1491" s="24" t="s">
        <v>20</v>
      </c>
      <c r="F1491" s="24" t="s">
        <v>35</v>
      </c>
      <c r="G1491" s="23" t="s">
        <v>649</v>
      </c>
      <c r="H1491" s="24" t="s">
        <v>9</v>
      </c>
      <c r="I1491" s="24" t="s">
        <v>9</v>
      </c>
      <c r="J1491" s="24" t="s">
        <v>24</v>
      </c>
      <c r="K1491" s="24" t="s">
        <v>24</v>
      </c>
      <c r="L1491" s="24" t="s">
        <v>98</v>
      </c>
    </row>
    <row r="1492">
      <c r="A1492" s="24">
        <f t="shared" si="1"/>
        <v>1490</v>
      </c>
      <c r="B1492" s="24" t="s">
        <v>647</v>
      </c>
      <c r="C1492" s="95">
        <v>43050.0</v>
      </c>
      <c r="D1492" s="24" t="str">
        <f t="shared" si="95"/>
        <v>Nov-2017</v>
      </c>
      <c r="E1492" s="24" t="s">
        <v>25</v>
      </c>
      <c r="F1492" s="24" t="s">
        <v>35</v>
      </c>
      <c r="G1492" s="23" t="s">
        <v>649</v>
      </c>
      <c r="H1492" s="24" t="s">
        <v>9</v>
      </c>
      <c r="I1492" s="24" t="s">
        <v>9</v>
      </c>
      <c r="J1492" s="24" t="s">
        <v>24</v>
      </c>
      <c r="K1492" s="24"/>
      <c r="L1492" s="24" t="s">
        <v>106</v>
      </c>
    </row>
    <row r="1493">
      <c r="A1493" s="24">
        <f t="shared" si="1"/>
        <v>1491</v>
      </c>
      <c r="B1493" s="24" t="s">
        <v>647</v>
      </c>
      <c r="C1493" s="95">
        <v>43050.0</v>
      </c>
      <c r="D1493" s="24" t="str">
        <f t="shared" si="95"/>
        <v>Nov-2017</v>
      </c>
      <c r="E1493" s="24" t="s">
        <v>20</v>
      </c>
      <c r="F1493" s="24" t="s">
        <v>35</v>
      </c>
      <c r="G1493" s="23" t="s">
        <v>652</v>
      </c>
      <c r="H1493" s="24" t="s">
        <v>23</v>
      </c>
      <c r="I1493" s="24" t="s">
        <v>9</v>
      </c>
      <c r="J1493" s="24" t="s">
        <v>24</v>
      </c>
      <c r="K1493" s="24" t="s">
        <v>24</v>
      </c>
      <c r="L1493" s="24" t="s">
        <v>37</v>
      </c>
    </row>
    <row r="1494">
      <c r="A1494" s="24">
        <f t="shared" si="1"/>
        <v>1492</v>
      </c>
      <c r="B1494" s="24" t="s">
        <v>647</v>
      </c>
      <c r="C1494" s="95">
        <v>43050.0</v>
      </c>
      <c r="D1494" s="24" t="str">
        <f t="shared" si="95"/>
        <v>Nov-2017</v>
      </c>
      <c r="E1494" s="24" t="s">
        <v>25</v>
      </c>
      <c r="F1494" s="24" t="s">
        <v>35</v>
      </c>
      <c r="G1494" s="23" t="s">
        <v>652</v>
      </c>
      <c r="H1494" s="24" t="s">
        <v>23</v>
      </c>
      <c r="I1494" s="24" t="s">
        <v>9</v>
      </c>
      <c r="J1494" s="24" t="s">
        <v>24</v>
      </c>
      <c r="K1494" s="24"/>
      <c r="L1494" s="24" t="s">
        <v>106</v>
      </c>
    </row>
    <row r="1495">
      <c r="A1495" s="24">
        <f t="shared" si="1"/>
        <v>1493</v>
      </c>
      <c r="B1495" s="24" t="s">
        <v>654</v>
      </c>
      <c r="C1495" s="275">
        <v>43054.0</v>
      </c>
      <c r="D1495" s="24" t="str">
        <f t="shared" si="95"/>
        <v>Nov-2017</v>
      </c>
      <c r="E1495" s="24" t="s">
        <v>20</v>
      </c>
      <c r="F1495" s="24" t="s">
        <v>35</v>
      </c>
      <c r="G1495" s="23" t="s">
        <v>655</v>
      </c>
      <c r="H1495" s="24" t="s">
        <v>86</v>
      </c>
      <c r="I1495" s="24" t="s">
        <v>9</v>
      </c>
      <c r="J1495" s="24" t="s">
        <v>30</v>
      </c>
      <c r="K1495" s="24" t="s">
        <v>30</v>
      </c>
      <c r="L1495" s="24" t="s">
        <v>29</v>
      </c>
    </row>
    <row r="1496">
      <c r="A1496" s="24">
        <f t="shared" si="1"/>
        <v>1494</v>
      </c>
      <c r="B1496" s="24" t="s">
        <v>654</v>
      </c>
      <c r="C1496" s="275">
        <v>43054.0</v>
      </c>
      <c r="D1496" s="24" t="str">
        <f t="shared" si="95"/>
        <v>Nov-2017</v>
      </c>
      <c r="E1496" s="24" t="s">
        <v>25</v>
      </c>
      <c r="F1496" s="24" t="s">
        <v>35</v>
      </c>
      <c r="G1496" s="23" t="s">
        <v>655</v>
      </c>
      <c r="H1496" s="24" t="s">
        <v>86</v>
      </c>
      <c r="I1496" s="24" t="s">
        <v>9</v>
      </c>
      <c r="J1496" s="24" t="s">
        <v>30</v>
      </c>
      <c r="K1496" s="24"/>
      <c r="L1496" s="24" t="s">
        <v>106</v>
      </c>
    </row>
    <row r="1497">
      <c r="A1497" s="24">
        <f t="shared" si="1"/>
        <v>1495</v>
      </c>
      <c r="B1497" s="24" t="s">
        <v>654</v>
      </c>
      <c r="C1497" s="275">
        <v>43054.0</v>
      </c>
      <c r="D1497" s="24" t="str">
        <f t="shared" si="95"/>
        <v>Nov-2017</v>
      </c>
      <c r="E1497" s="24" t="s">
        <v>20</v>
      </c>
      <c r="F1497" s="24" t="s">
        <v>35</v>
      </c>
      <c r="G1497" s="23" t="s">
        <v>112</v>
      </c>
      <c r="H1497" s="24" t="s">
        <v>86</v>
      </c>
      <c r="I1497" s="24" t="s">
        <v>9</v>
      </c>
      <c r="J1497" s="24" t="s">
        <v>24</v>
      </c>
      <c r="K1497" s="24" t="s">
        <v>24</v>
      </c>
      <c r="L1497" s="24" t="s">
        <v>69</v>
      </c>
    </row>
    <row r="1498">
      <c r="A1498" s="24">
        <f t="shared" si="1"/>
        <v>1496</v>
      </c>
      <c r="B1498" s="24" t="s">
        <v>654</v>
      </c>
      <c r="C1498" s="275">
        <v>43054.0</v>
      </c>
      <c r="D1498" s="24" t="str">
        <f t="shared" si="95"/>
        <v>Nov-2017</v>
      </c>
      <c r="E1498" s="24" t="s">
        <v>25</v>
      </c>
      <c r="F1498" s="24" t="s">
        <v>35</v>
      </c>
      <c r="G1498" s="23" t="s">
        <v>112</v>
      </c>
      <c r="H1498" s="24" t="s">
        <v>86</v>
      </c>
      <c r="I1498" s="24" t="s">
        <v>9</v>
      </c>
      <c r="J1498" s="24" t="s">
        <v>24</v>
      </c>
      <c r="K1498" s="24"/>
      <c r="L1498" s="24" t="s">
        <v>99</v>
      </c>
    </row>
    <row r="1499">
      <c r="A1499" s="24">
        <f t="shared" si="1"/>
        <v>1497</v>
      </c>
      <c r="B1499" s="24" t="s">
        <v>654</v>
      </c>
      <c r="C1499" s="275">
        <v>43054.0</v>
      </c>
      <c r="D1499" s="24" t="str">
        <f t="shared" si="95"/>
        <v>Nov-2017</v>
      </c>
      <c r="E1499" s="24" t="s">
        <v>20</v>
      </c>
      <c r="F1499" s="24" t="s">
        <v>35</v>
      </c>
      <c r="G1499" s="23" t="s">
        <v>658</v>
      </c>
      <c r="H1499" s="24" t="s">
        <v>44</v>
      </c>
      <c r="I1499" s="24" t="s">
        <v>9</v>
      </c>
      <c r="J1499" s="24" t="s">
        <v>30</v>
      </c>
      <c r="K1499" s="24" t="s">
        <v>30</v>
      </c>
      <c r="L1499" s="24" t="s">
        <v>98</v>
      </c>
    </row>
    <row r="1500">
      <c r="A1500" s="24">
        <f t="shared" si="1"/>
        <v>1498</v>
      </c>
      <c r="B1500" s="24" t="s">
        <v>654</v>
      </c>
      <c r="C1500" s="275">
        <v>43054.0</v>
      </c>
      <c r="D1500" s="24" t="str">
        <f t="shared" si="95"/>
        <v>Nov-2017</v>
      </c>
      <c r="E1500" s="24" t="s">
        <v>25</v>
      </c>
      <c r="F1500" s="24" t="s">
        <v>35</v>
      </c>
      <c r="G1500" s="23" t="s">
        <v>658</v>
      </c>
      <c r="H1500" s="24" t="s">
        <v>44</v>
      </c>
      <c r="I1500" s="24" t="s">
        <v>9</v>
      </c>
      <c r="J1500" s="24" t="s">
        <v>30</v>
      </c>
      <c r="K1500" s="24"/>
      <c r="L1500" s="24" t="s">
        <v>69</v>
      </c>
    </row>
    <row r="1501">
      <c r="A1501" s="24">
        <f t="shared" si="1"/>
        <v>1499</v>
      </c>
      <c r="B1501" s="24" t="s">
        <v>654</v>
      </c>
      <c r="C1501" s="275">
        <v>43054.0</v>
      </c>
      <c r="D1501" s="24" t="str">
        <f t="shared" si="95"/>
        <v>Nov-2017</v>
      </c>
      <c r="E1501" s="24" t="s">
        <v>20</v>
      </c>
      <c r="F1501" s="24" t="s">
        <v>35</v>
      </c>
      <c r="G1501" s="23" t="s">
        <v>88</v>
      </c>
      <c r="H1501" s="24" t="s">
        <v>86</v>
      </c>
      <c r="I1501" s="24" t="s">
        <v>9</v>
      </c>
      <c r="J1501" s="24" t="s">
        <v>24</v>
      </c>
      <c r="K1501" s="24" t="s">
        <v>24</v>
      </c>
      <c r="L1501" s="24" t="s">
        <v>29</v>
      </c>
    </row>
    <row r="1502">
      <c r="A1502" s="24">
        <f t="shared" si="1"/>
        <v>1500</v>
      </c>
      <c r="B1502" s="24" t="s">
        <v>654</v>
      </c>
      <c r="C1502" s="275">
        <v>43054.0</v>
      </c>
      <c r="D1502" s="24" t="str">
        <f t="shared" ref="D1502:D1512" si="96">TEXT(C1495:C1502, "mmm") &amp; "-" &amp; TEXT(C1495:C1502, "yyyy") </f>
        <v>Nov-2017</v>
      </c>
      <c r="E1502" s="24" t="s">
        <v>25</v>
      </c>
      <c r="F1502" s="24" t="s">
        <v>35</v>
      </c>
      <c r="G1502" s="23" t="s">
        <v>88</v>
      </c>
      <c r="H1502" s="24" t="s">
        <v>86</v>
      </c>
      <c r="I1502" s="24" t="s">
        <v>9</v>
      </c>
      <c r="J1502" s="24" t="s">
        <v>24</v>
      </c>
      <c r="K1502" s="24"/>
      <c r="L1502" s="24" t="s">
        <v>69</v>
      </c>
    </row>
    <row r="1503">
      <c r="A1503" s="24">
        <f t="shared" si="1"/>
        <v>1501</v>
      </c>
      <c r="B1503" s="24" t="s">
        <v>654</v>
      </c>
      <c r="C1503" s="275">
        <v>43054.0</v>
      </c>
      <c r="D1503" s="24" t="str">
        <f t="shared" si="96"/>
        <v>Nov-2017</v>
      </c>
      <c r="E1503" s="24" t="s">
        <v>20</v>
      </c>
      <c r="F1503" s="24" t="s">
        <v>278</v>
      </c>
      <c r="G1503" s="23" t="s">
        <v>633</v>
      </c>
      <c r="H1503" s="24" t="s">
        <v>27</v>
      </c>
      <c r="I1503" s="24" t="s">
        <v>9</v>
      </c>
      <c r="J1503" s="24" t="s">
        <v>24</v>
      </c>
      <c r="K1503" s="24" t="s">
        <v>30</v>
      </c>
      <c r="L1503" s="24" t="s">
        <v>69</v>
      </c>
    </row>
    <row r="1504">
      <c r="A1504" s="24">
        <f t="shared" si="1"/>
        <v>1502</v>
      </c>
      <c r="B1504" s="24" t="s">
        <v>654</v>
      </c>
      <c r="C1504" s="275">
        <v>43054.0</v>
      </c>
      <c r="D1504" s="24" t="str">
        <f t="shared" si="96"/>
        <v>Nov-2017</v>
      </c>
      <c r="E1504" s="24" t="s">
        <v>25</v>
      </c>
      <c r="F1504" s="24" t="s">
        <v>278</v>
      </c>
      <c r="G1504" s="23" t="s">
        <v>633</v>
      </c>
      <c r="H1504" s="24" t="s">
        <v>27</v>
      </c>
      <c r="I1504" s="24" t="s">
        <v>9</v>
      </c>
      <c r="J1504" s="24" t="s">
        <v>30</v>
      </c>
      <c r="K1504" s="24"/>
      <c r="L1504" s="24" t="s">
        <v>106</v>
      </c>
    </row>
    <row r="1505">
      <c r="A1505" s="24">
        <f t="shared" si="1"/>
        <v>1503</v>
      </c>
      <c r="B1505" s="24" t="s">
        <v>654</v>
      </c>
      <c r="C1505" s="275">
        <v>43054.0</v>
      </c>
      <c r="D1505" s="24" t="str">
        <f t="shared" si="96"/>
        <v>Nov-2017</v>
      </c>
      <c r="E1505" s="24" t="s">
        <v>32</v>
      </c>
      <c r="F1505" s="24" t="s">
        <v>278</v>
      </c>
      <c r="G1505" s="23" t="s">
        <v>633</v>
      </c>
      <c r="H1505" s="24" t="s">
        <v>27</v>
      </c>
      <c r="I1505" s="24" t="s">
        <v>9</v>
      </c>
      <c r="J1505" s="24" t="s">
        <v>30</v>
      </c>
      <c r="K1505" s="24"/>
      <c r="L1505" s="24" t="s">
        <v>37</v>
      </c>
    </row>
    <row r="1506">
      <c r="A1506" s="24">
        <f t="shared" si="1"/>
        <v>1504</v>
      </c>
      <c r="B1506" s="24" t="s">
        <v>654</v>
      </c>
      <c r="C1506" s="275">
        <v>43054.0</v>
      </c>
      <c r="D1506" s="24" t="str">
        <f t="shared" si="96"/>
        <v>Nov-2017</v>
      </c>
      <c r="E1506" s="24" t="s">
        <v>20</v>
      </c>
      <c r="F1506" s="24" t="s">
        <v>278</v>
      </c>
      <c r="G1506" s="23" t="s">
        <v>93</v>
      </c>
      <c r="H1506" s="24" t="s">
        <v>23</v>
      </c>
      <c r="I1506" s="24" t="s">
        <v>9</v>
      </c>
      <c r="J1506" s="24" t="s">
        <v>30</v>
      </c>
      <c r="K1506" s="24" t="s">
        <v>30</v>
      </c>
      <c r="L1506" s="24" t="s">
        <v>99</v>
      </c>
    </row>
    <row r="1507">
      <c r="A1507" s="24">
        <f t="shared" si="1"/>
        <v>1505</v>
      </c>
      <c r="B1507" s="24" t="s">
        <v>654</v>
      </c>
      <c r="C1507" s="275">
        <v>43054.0</v>
      </c>
      <c r="D1507" s="24" t="str">
        <f t="shared" si="96"/>
        <v>Nov-2017</v>
      </c>
      <c r="E1507" s="24" t="s">
        <v>25</v>
      </c>
      <c r="F1507" s="24" t="s">
        <v>278</v>
      </c>
      <c r="G1507" s="23" t="s">
        <v>93</v>
      </c>
      <c r="H1507" s="24" t="s">
        <v>23</v>
      </c>
      <c r="I1507" s="24" t="s">
        <v>9</v>
      </c>
      <c r="J1507" s="24" t="s">
        <v>24</v>
      </c>
      <c r="K1507" s="24"/>
      <c r="L1507" s="24" t="s">
        <v>37</v>
      </c>
    </row>
    <row r="1508">
      <c r="A1508" s="24">
        <f t="shared" si="1"/>
        <v>1506</v>
      </c>
      <c r="B1508" s="24" t="s">
        <v>654</v>
      </c>
      <c r="C1508" s="275">
        <v>43054.0</v>
      </c>
      <c r="D1508" s="24" t="str">
        <f t="shared" si="96"/>
        <v>Nov-2017</v>
      </c>
      <c r="E1508" s="24" t="s">
        <v>32</v>
      </c>
      <c r="F1508" s="24" t="s">
        <v>278</v>
      </c>
      <c r="G1508" s="23" t="s">
        <v>93</v>
      </c>
      <c r="H1508" s="24" t="s">
        <v>23</v>
      </c>
      <c r="I1508" s="24" t="s">
        <v>9</v>
      </c>
      <c r="J1508" s="24" t="s">
        <v>30</v>
      </c>
      <c r="K1508" s="24"/>
      <c r="L1508" s="24" t="s">
        <v>106</v>
      </c>
    </row>
    <row r="1509">
      <c r="A1509" s="24">
        <f t="shared" si="1"/>
        <v>1507</v>
      </c>
      <c r="B1509" s="24" t="s">
        <v>654</v>
      </c>
      <c r="C1509" s="275">
        <v>43054.0</v>
      </c>
      <c r="D1509" s="24" t="str">
        <f t="shared" si="96"/>
        <v>Nov-2017</v>
      </c>
      <c r="E1509" s="24" t="s">
        <v>146</v>
      </c>
      <c r="F1509" s="24" t="s">
        <v>278</v>
      </c>
      <c r="G1509" s="23" t="s">
        <v>361</v>
      </c>
      <c r="H1509" s="24" t="s">
        <v>44</v>
      </c>
      <c r="I1509" s="24" t="s">
        <v>9</v>
      </c>
      <c r="J1509" s="24" t="s">
        <v>24</v>
      </c>
      <c r="K1509" s="24" t="s">
        <v>30</v>
      </c>
      <c r="L1509" s="24" t="s">
        <v>69</v>
      </c>
    </row>
    <row r="1510">
      <c r="A1510" s="24">
        <f t="shared" si="1"/>
        <v>1508</v>
      </c>
      <c r="B1510" s="24" t="s">
        <v>654</v>
      </c>
      <c r="C1510" s="275">
        <v>43054.0</v>
      </c>
      <c r="D1510" s="24" t="str">
        <f t="shared" si="96"/>
        <v>Nov-2017</v>
      </c>
      <c r="E1510" s="24" t="s">
        <v>149</v>
      </c>
      <c r="F1510" s="24" t="s">
        <v>278</v>
      </c>
      <c r="G1510" s="23" t="s">
        <v>361</v>
      </c>
      <c r="H1510" s="24" t="s">
        <v>44</v>
      </c>
      <c r="I1510" s="24" t="s">
        <v>9</v>
      </c>
      <c r="J1510" s="24" t="s">
        <v>30</v>
      </c>
      <c r="K1510" s="24"/>
      <c r="L1510" s="24" t="s">
        <v>106</v>
      </c>
    </row>
    <row r="1511">
      <c r="A1511" s="24">
        <f t="shared" si="1"/>
        <v>1509</v>
      </c>
      <c r="B1511" s="24" t="s">
        <v>654</v>
      </c>
      <c r="C1511" s="275">
        <v>43054.0</v>
      </c>
      <c r="D1511" s="24" t="str">
        <f t="shared" si="96"/>
        <v>Nov-2017</v>
      </c>
      <c r="E1511" s="24" t="s">
        <v>222</v>
      </c>
      <c r="F1511" s="24" t="s">
        <v>278</v>
      </c>
      <c r="G1511" s="23" t="s">
        <v>361</v>
      </c>
      <c r="H1511" s="24" t="s">
        <v>44</v>
      </c>
      <c r="I1511" s="24" t="s">
        <v>9</v>
      </c>
      <c r="J1511" s="24" t="s">
        <v>24</v>
      </c>
      <c r="K1511" s="24"/>
      <c r="L1511" s="24" t="s">
        <v>29</v>
      </c>
    </row>
    <row r="1512">
      <c r="A1512" s="24">
        <f t="shared" si="1"/>
        <v>1510</v>
      </c>
      <c r="B1512" s="24" t="s">
        <v>654</v>
      </c>
      <c r="C1512" s="275">
        <v>43054.0</v>
      </c>
      <c r="D1512" s="24" t="str">
        <f t="shared" si="96"/>
        <v>Nov-2017</v>
      </c>
      <c r="E1512" s="24" t="s">
        <v>467</v>
      </c>
      <c r="F1512" s="24" t="s">
        <v>278</v>
      </c>
      <c r="G1512" s="23" t="s">
        <v>361</v>
      </c>
      <c r="H1512" s="24" t="s">
        <v>44</v>
      </c>
      <c r="I1512" s="24" t="s">
        <v>9</v>
      </c>
      <c r="J1512" s="24" t="s">
        <v>30</v>
      </c>
      <c r="K1512" s="24"/>
      <c r="L1512" s="24" t="s">
        <v>37</v>
      </c>
    </row>
    <row r="1513">
      <c r="A1513" s="24">
        <f t="shared" si="1"/>
        <v>1511</v>
      </c>
      <c r="B1513" s="24" t="s">
        <v>654</v>
      </c>
      <c r="C1513" s="275">
        <v>43054.0</v>
      </c>
      <c r="D1513" s="24" t="str">
        <f t="shared" ref="D1513:D1518" si="97">TEXT(C1505:C1513, "mmm") &amp; "-" &amp; TEXT(C1505:C1513, "yyyy") </f>
        <v>Nov-2017</v>
      </c>
      <c r="E1513" s="24" t="s">
        <v>480</v>
      </c>
      <c r="F1513" s="24" t="s">
        <v>278</v>
      </c>
      <c r="G1513" s="23" t="s">
        <v>361</v>
      </c>
      <c r="H1513" s="24" t="s">
        <v>44</v>
      </c>
      <c r="I1513" s="24" t="s">
        <v>9</v>
      </c>
      <c r="J1513" s="24" t="s">
        <v>30</v>
      </c>
      <c r="K1513" s="24"/>
      <c r="L1513" s="24" t="s">
        <v>99</v>
      </c>
    </row>
    <row r="1514">
      <c r="A1514" s="24">
        <f t="shared" si="1"/>
        <v>1512</v>
      </c>
      <c r="B1514" s="24" t="s">
        <v>654</v>
      </c>
      <c r="C1514" s="275">
        <v>43054.0</v>
      </c>
      <c r="D1514" s="24" t="str">
        <f t="shared" si="97"/>
        <v>Nov-2017</v>
      </c>
      <c r="E1514" s="24" t="s">
        <v>20</v>
      </c>
      <c r="F1514" s="24" t="s">
        <v>278</v>
      </c>
      <c r="G1514" s="23" t="s">
        <v>361</v>
      </c>
      <c r="H1514" s="24" t="s">
        <v>44</v>
      </c>
      <c r="I1514" s="24" t="s">
        <v>9</v>
      </c>
      <c r="J1514" s="24" t="s">
        <v>30</v>
      </c>
      <c r="K1514" s="24" t="s">
        <v>24</v>
      </c>
      <c r="L1514" s="24" t="s">
        <v>69</v>
      </c>
    </row>
    <row r="1515">
      <c r="A1515" s="24">
        <f t="shared" si="1"/>
        <v>1513</v>
      </c>
      <c r="B1515" s="24" t="s">
        <v>654</v>
      </c>
      <c r="C1515" s="275">
        <v>43054.0</v>
      </c>
      <c r="D1515" s="24" t="str">
        <f t="shared" si="97"/>
        <v>Nov-2017</v>
      </c>
      <c r="E1515" s="24" t="s">
        <v>25</v>
      </c>
      <c r="F1515" s="24" t="s">
        <v>278</v>
      </c>
      <c r="G1515" s="23" t="s">
        <v>361</v>
      </c>
      <c r="H1515" s="24" t="s">
        <v>44</v>
      </c>
      <c r="I1515" s="24" t="s">
        <v>9</v>
      </c>
      <c r="J1515" s="24" t="s">
        <v>24</v>
      </c>
      <c r="K1515" s="24"/>
      <c r="L1515" s="24" t="s">
        <v>69</v>
      </c>
    </row>
    <row r="1516">
      <c r="A1516" s="24">
        <f t="shared" si="1"/>
        <v>1514</v>
      </c>
      <c r="B1516" s="24" t="s">
        <v>654</v>
      </c>
      <c r="C1516" s="275">
        <v>43054.0</v>
      </c>
      <c r="D1516" s="24" t="str">
        <f t="shared" si="97"/>
        <v>Nov-2017</v>
      </c>
      <c r="E1516" s="24" t="s">
        <v>32</v>
      </c>
      <c r="F1516" s="24" t="s">
        <v>278</v>
      </c>
      <c r="G1516" s="23" t="s">
        <v>361</v>
      </c>
      <c r="H1516" s="24" t="s">
        <v>44</v>
      </c>
      <c r="I1516" s="24" t="s">
        <v>9</v>
      </c>
      <c r="J1516" s="24" t="s">
        <v>24</v>
      </c>
      <c r="K1516" s="24"/>
      <c r="L1516" s="24" t="s">
        <v>106</v>
      </c>
    </row>
    <row r="1517">
      <c r="A1517" s="24">
        <f t="shared" si="1"/>
        <v>1515</v>
      </c>
      <c r="B1517" s="24" t="s">
        <v>654</v>
      </c>
      <c r="C1517" s="275">
        <v>43054.0</v>
      </c>
      <c r="D1517" s="24" t="str">
        <f t="shared" si="97"/>
        <v>Nov-2017</v>
      </c>
      <c r="E1517" s="24" t="s">
        <v>20</v>
      </c>
      <c r="F1517" s="24" t="s">
        <v>278</v>
      </c>
      <c r="G1517" s="23" t="s">
        <v>361</v>
      </c>
      <c r="H1517" s="24" t="s">
        <v>44</v>
      </c>
      <c r="I1517" s="24" t="s">
        <v>9</v>
      </c>
      <c r="J1517" s="24" t="s">
        <v>30</v>
      </c>
      <c r="K1517" s="24" t="s">
        <v>30</v>
      </c>
      <c r="L1517" s="24" t="s">
        <v>69</v>
      </c>
    </row>
    <row r="1518">
      <c r="A1518" s="24">
        <f t="shared" si="1"/>
        <v>1516</v>
      </c>
      <c r="B1518" s="24" t="s">
        <v>654</v>
      </c>
      <c r="C1518" s="275">
        <v>43054.0</v>
      </c>
      <c r="D1518" s="24" t="str">
        <f t="shared" si="97"/>
        <v>Nov-2017</v>
      </c>
      <c r="E1518" s="24" t="s">
        <v>25</v>
      </c>
      <c r="F1518" s="24" t="s">
        <v>278</v>
      </c>
      <c r="G1518" s="23" t="s">
        <v>361</v>
      </c>
      <c r="H1518" s="24" t="s">
        <v>44</v>
      </c>
      <c r="I1518" s="24" t="s">
        <v>9</v>
      </c>
      <c r="J1518" s="24" t="s">
        <v>30</v>
      </c>
      <c r="K1518" s="24"/>
      <c r="L1518" s="24" t="s">
        <v>69</v>
      </c>
    </row>
    <row r="1519">
      <c r="A1519" s="24">
        <f t="shared" si="1"/>
        <v>1517</v>
      </c>
      <c r="B1519" s="24" t="s">
        <v>660</v>
      </c>
      <c r="C1519" s="275">
        <v>43055.0</v>
      </c>
      <c r="D1519" s="24" t="str">
        <f t="shared" ref="D1519:D1526" si="98">TEXT(C1512:C1519, "mmm") &amp; "-" &amp; TEXT(C1512:C1519, "yyyy") </f>
        <v>Nov-2017</v>
      </c>
      <c r="E1519" s="24" t="s">
        <v>20</v>
      </c>
      <c r="F1519" s="24" t="s">
        <v>35</v>
      </c>
      <c r="G1519" s="23" t="s">
        <v>661</v>
      </c>
      <c r="H1519" s="24" t="s">
        <v>216</v>
      </c>
      <c r="I1519" s="24" t="s">
        <v>9</v>
      </c>
      <c r="J1519" s="24" t="s">
        <v>30</v>
      </c>
      <c r="K1519" s="24" t="s">
        <v>30</v>
      </c>
      <c r="L1519" s="24" t="s">
        <v>69</v>
      </c>
    </row>
    <row r="1520">
      <c r="A1520" s="24">
        <f t="shared" si="1"/>
        <v>1518</v>
      </c>
      <c r="B1520" s="24" t="s">
        <v>660</v>
      </c>
      <c r="C1520" s="275">
        <v>43055.0</v>
      </c>
      <c r="D1520" s="24" t="str">
        <f t="shared" si="98"/>
        <v>Nov-2017</v>
      </c>
      <c r="E1520" s="24" t="s">
        <v>25</v>
      </c>
      <c r="F1520" s="24" t="s">
        <v>35</v>
      </c>
      <c r="G1520" s="23" t="s">
        <v>661</v>
      </c>
      <c r="H1520" s="24" t="s">
        <v>216</v>
      </c>
      <c r="I1520" s="24" t="s">
        <v>9</v>
      </c>
      <c r="J1520" s="24" t="s">
        <v>30</v>
      </c>
      <c r="K1520" s="24"/>
      <c r="L1520" s="24" t="s">
        <v>99</v>
      </c>
    </row>
    <row r="1521">
      <c r="A1521" s="24">
        <f t="shared" si="1"/>
        <v>1519</v>
      </c>
      <c r="B1521" s="24" t="s">
        <v>660</v>
      </c>
      <c r="C1521" s="275">
        <v>43055.0</v>
      </c>
      <c r="D1521" s="24" t="str">
        <f t="shared" si="98"/>
        <v>Nov-2017</v>
      </c>
      <c r="E1521" s="24" t="s">
        <v>20</v>
      </c>
      <c r="F1521" s="24" t="s">
        <v>35</v>
      </c>
      <c r="G1521" s="23" t="s">
        <v>663</v>
      </c>
      <c r="H1521" s="24" t="s">
        <v>27</v>
      </c>
      <c r="I1521" s="24" t="s">
        <v>9</v>
      </c>
      <c r="J1521" s="24" t="s">
        <v>30</v>
      </c>
      <c r="K1521" s="24" t="s">
        <v>24</v>
      </c>
      <c r="L1521" s="24" t="s">
        <v>69</v>
      </c>
    </row>
    <row r="1522">
      <c r="A1522" s="24">
        <f t="shared" si="1"/>
        <v>1520</v>
      </c>
      <c r="B1522" s="24" t="s">
        <v>660</v>
      </c>
      <c r="C1522" s="275">
        <v>43055.0</v>
      </c>
      <c r="D1522" s="24" t="str">
        <f t="shared" si="98"/>
        <v>Nov-2017</v>
      </c>
      <c r="E1522" s="24" t="s">
        <v>25</v>
      </c>
      <c r="F1522" s="24" t="s">
        <v>35</v>
      </c>
      <c r="G1522" s="23" t="s">
        <v>663</v>
      </c>
      <c r="H1522" s="24" t="s">
        <v>27</v>
      </c>
      <c r="I1522" s="24" t="s">
        <v>9</v>
      </c>
      <c r="J1522" s="24" t="s">
        <v>24</v>
      </c>
      <c r="K1522" s="24"/>
      <c r="L1522" s="24" t="s">
        <v>98</v>
      </c>
    </row>
    <row r="1523">
      <c r="A1523" s="24">
        <f t="shared" si="1"/>
        <v>1521</v>
      </c>
      <c r="B1523" s="24" t="s">
        <v>660</v>
      </c>
      <c r="C1523" s="275">
        <v>43055.0</v>
      </c>
      <c r="D1523" s="24" t="str">
        <f t="shared" si="98"/>
        <v>Nov-2017</v>
      </c>
      <c r="E1523" s="24" t="s">
        <v>32</v>
      </c>
      <c r="F1523" s="24" t="s">
        <v>35</v>
      </c>
      <c r="G1523" s="23" t="s">
        <v>663</v>
      </c>
      <c r="H1523" s="24" t="s">
        <v>27</v>
      </c>
      <c r="I1523" s="24" t="s">
        <v>9</v>
      </c>
      <c r="J1523" s="24" t="s">
        <v>24</v>
      </c>
      <c r="K1523" s="24"/>
      <c r="L1523" s="24" t="s">
        <v>98</v>
      </c>
    </row>
    <row r="1524">
      <c r="A1524" s="24">
        <f t="shared" si="1"/>
        <v>1522</v>
      </c>
      <c r="B1524" s="24" t="s">
        <v>660</v>
      </c>
      <c r="C1524" s="275">
        <v>43055.0</v>
      </c>
      <c r="D1524" s="24" t="str">
        <f t="shared" si="98"/>
        <v>Nov-2017</v>
      </c>
      <c r="E1524" s="24" t="s">
        <v>20</v>
      </c>
      <c r="F1524" s="24" t="s">
        <v>35</v>
      </c>
      <c r="G1524" s="23" t="s">
        <v>241</v>
      </c>
      <c r="H1524" s="24" t="s">
        <v>97</v>
      </c>
      <c r="I1524" s="24" t="s">
        <v>9</v>
      </c>
      <c r="J1524" s="24" t="s">
        <v>30</v>
      </c>
      <c r="K1524" s="24" t="s">
        <v>30</v>
      </c>
      <c r="L1524" s="24" t="s">
        <v>69</v>
      </c>
    </row>
    <row r="1525">
      <c r="A1525" s="24">
        <f t="shared" si="1"/>
        <v>1523</v>
      </c>
      <c r="B1525" s="24" t="s">
        <v>660</v>
      </c>
      <c r="C1525" s="275">
        <v>43055.0</v>
      </c>
      <c r="D1525" s="24" t="str">
        <f t="shared" si="98"/>
        <v>Nov-2017</v>
      </c>
      <c r="E1525" s="24" t="s">
        <v>25</v>
      </c>
      <c r="F1525" s="24" t="s">
        <v>35</v>
      </c>
      <c r="G1525" s="23" t="s">
        <v>241</v>
      </c>
      <c r="H1525" s="24" t="s">
        <v>97</v>
      </c>
      <c r="I1525" s="24" t="s">
        <v>9</v>
      </c>
      <c r="J1525" s="24" t="s">
        <v>30</v>
      </c>
      <c r="K1525" s="24"/>
      <c r="L1525" s="24" t="s">
        <v>37</v>
      </c>
    </row>
    <row r="1526">
      <c r="A1526" s="24">
        <f t="shared" si="1"/>
        <v>1524</v>
      </c>
      <c r="B1526" s="24" t="s">
        <v>660</v>
      </c>
      <c r="C1526" s="275">
        <v>43055.0</v>
      </c>
      <c r="D1526" s="24" t="str">
        <f t="shared" si="98"/>
        <v>Nov-2017</v>
      </c>
      <c r="E1526" s="24" t="s">
        <v>146</v>
      </c>
      <c r="F1526" s="24" t="s">
        <v>35</v>
      </c>
      <c r="G1526" s="23" t="s">
        <v>665</v>
      </c>
      <c r="H1526" s="24" t="s">
        <v>86</v>
      </c>
      <c r="I1526" s="24" t="s">
        <v>9</v>
      </c>
      <c r="J1526" s="24" t="s">
        <v>30</v>
      </c>
      <c r="K1526" s="24" t="s">
        <v>30</v>
      </c>
      <c r="L1526" s="24" t="s">
        <v>29</v>
      </c>
    </row>
    <row r="1527">
      <c r="A1527" s="24">
        <f t="shared" si="1"/>
        <v>1525</v>
      </c>
      <c r="B1527" s="24" t="s">
        <v>660</v>
      </c>
      <c r="C1527" s="275">
        <v>43055.0</v>
      </c>
      <c r="D1527" s="24" t="str">
        <f t="shared" ref="D1527:D1533" si="99">TEXT(C1519:C1527, "mmm") &amp; "-" &amp; TEXT(C1519:C1527, "yyyy") </f>
        <v>Nov-2017</v>
      </c>
      <c r="E1527" s="24" t="s">
        <v>149</v>
      </c>
      <c r="F1527" s="24" t="s">
        <v>35</v>
      </c>
      <c r="G1527" s="23" t="s">
        <v>665</v>
      </c>
      <c r="H1527" s="24" t="s">
        <v>86</v>
      </c>
      <c r="I1527" s="24" t="s">
        <v>9</v>
      </c>
      <c r="J1527" s="24" t="s">
        <v>24</v>
      </c>
      <c r="K1527" s="24"/>
      <c r="L1527" s="24" t="s">
        <v>37</v>
      </c>
    </row>
    <row r="1528">
      <c r="A1528" s="24">
        <f t="shared" si="1"/>
        <v>1526</v>
      </c>
      <c r="B1528" s="24" t="s">
        <v>660</v>
      </c>
      <c r="C1528" s="275">
        <v>43055.0</v>
      </c>
      <c r="D1528" s="24" t="str">
        <f t="shared" si="99"/>
        <v>Nov-2017</v>
      </c>
      <c r="E1528" s="24" t="s">
        <v>222</v>
      </c>
      <c r="F1528" s="24" t="s">
        <v>35</v>
      </c>
      <c r="G1528" s="23" t="s">
        <v>665</v>
      </c>
      <c r="H1528" s="24" t="s">
        <v>86</v>
      </c>
      <c r="I1528" s="24" t="s">
        <v>9</v>
      </c>
      <c r="J1528" s="24" t="s">
        <v>30</v>
      </c>
      <c r="K1528" s="24"/>
      <c r="L1528" s="24" t="s">
        <v>69</v>
      </c>
    </row>
    <row r="1529">
      <c r="A1529" s="24">
        <f t="shared" si="1"/>
        <v>1527</v>
      </c>
      <c r="B1529" s="24" t="s">
        <v>660</v>
      </c>
      <c r="C1529" s="275">
        <v>43055.0</v>
      </c>
      <c r="D1529" s="24" t="str">
        <f t="shared" si="99"/>
        <v>Nov-2017</v>
      </c>
      <c r="E1529" s="24" t="s">
        <v>467</v>
      </c>
      <c r="F1529" s="24" t="s">
        <v>35</v>
      </c>
      <c r="G1529" s="23" t="s">
        <v>665</v>
      </c>
      <c r="H1529" s="24" t="s">
        <v>86</v>
      </c>
      <c r="I1529" s="24" t="s">
        <v>9</v>
      </c>
      <c r="J1529" s="24" t="s">
        <v>30</v>
      </c>
      <c r="K1529" s="24"/>
      <c r="L1529" s="24" t="s">
        <v>98</v>
      </c>
    </row>
    <row r="1530">
      <c r="A1530" s="24">
        <f t="shared" si="1"/>
        <v>1528</v>
      </c>
      <c r="B1530" s="24" t="s">
        <v>660</v>
      </c>
      <c r="C1530" s="275">
        <v>43055.0</v>
      </c>
      <c r="D1530" s="24" t="str">
        <f t="shared" si="99"/>
        <v>Nov-2017</v>
      </c>
      <c r="E1530" s="24" t="s">
        <v>146</v>
      </c>
      <c r="F1530" s="24" t="s">
        <v>35</v>
      </c>
      <c r="G1530" s="23" t="s">
        <v>245</v>
      </c>
      <c r="H1530" s="24" t="s">
        <v>27</v>
      </c>
      <c r="I1530" s="24" t="s">
        <v>9</v>
      </c>
      <c r="J1530" s="24" t="s">
        <v>24</v>
      </c>
      <c r="K1530" s="24" t="s">
        <v>24</v>
      </c>
      <c r="L1530" s="24" t="s">
        <v>37</v>
      </c>
    </row>
    <row r="1531">
      <c r="A1531" s="24">
        <f t="shared" si="1"/>
        <v>1529</v>
      </c>
      <c r="B1531" s="24" t="s">
        <v>660</v>
      </c>
      <c r="C1531" s="275">
        <v>43055.0</v>
      </c>
      <c r="D1531" s="24" t="str">
        <f t="shared" si="99"/>
        <v>Nov-2017</v>
      </c>
      <c r="E1531" s="24" t="s">
        <v>149</v>
      </c>
      <c r="F1531" s="24" t="s">
        <v>35</v>
      </c>
      <c r="G1531" s="23" t="s">
        <v>245</v>
      </c>
      <c r="H1531" s="24" t="s">
        <v>27</v>
      </c>
      <c r="I1531" s="24" t="s">
        <v>9</v>
      </c>
      <c r="J1531" s="24" t="s">
        <v>24</v>
      </c>
      <c r="K1531" s="24"/>
      <c r="L1531" s="24" t="s">
        <v>98</v>
      </c>
    </row>
    <row r="1532">
      <c r="A1532" s="24">
        <f t="shared" si="1"/>
        <v>1530</v>
      </c>
      <c r="B1532" s="24" t="s">
        <v>660</v>
      </c>
      <c r="C1532" s="275">
        <v>43055.0</v>
      </c>
      <c r="D1532" s="24" t="str">
        <f t="shared" si="99"/>
        <v>Nov-2017</v>
      </c>
      <c r="E1532" s="24" t="s">
        <v>222</v>
      </c>
      <c r="F1532" s="24" t="s">
        <v>35</v>
      </c>
      <c r="G1532" s="23" t="s">
        <v>245</v>
      </c>
      <c r="H1532" s="24" t="s">
        <v>27</v>
      </c>
      <c r="I1532" s="24" t="s">
        <v>9</v>
      </c>
      <c r="J1532" s="24" t="s">
        <v>30</v>
      </c>
      <c r="K1532" s="24"/>
      <c r="L1532" s="24" t="s">
        <v>29</v>
      </c>
    </row>
    <row r="1533">
      <c r="A1533" s="24">
        <f t="shared" si="1"/>
        <v>1531</v>
      </c>
      <c r="B1533" s="24" t="s">
        <v>660</v>
      </c>
      <c r="C1533" s="275">
        <v>43055.0</v>
      </c>
      <c r="D1533" s="24" t="str">
        <f t="shared" si="99"/>
        <v>Nov-2017</v>
      </c>
      <c r="E1533" s="24" t="s">
        <v>467</v>
      </c>
      <c r="F1533" s="24" t="s">
        <v>35</v>
      </c>
      <c r="G1533" s="23" t="s">
        <v>245</v>
      </c>
      <c r="H1533" s="24" t="s">
        <v>27</v>
      </c>
      <c r="I1533" s="24" t="s">
        <v>9</v>
      </c>
      <c r="J1533" s="24" t="s">
        <v>24</v>
      </c>
      <c r="K1533" s="24"/>
      <c r="L1533" s="24" t="s">
        <v>99</v>
      </c>
    </row>
    <row r="1534">
      <c r="A1534" s="24">
        <f t="shared" si="1"/>
        <v>1532</v>
      </c>
      <c r="B1534" s="24" t="s">
        <v>666</v>
      </c>
      <c r="C1534" s="275">
        <v>43057.0</v>
      </c>
      <c r="D1534" s="24" t="str">
        <f t="shared" ref="D1534:D1541" si="100">TEXT(C1527:C1534, "mmm") &amp; "-" &amp; TEXT(C1527:C1534, "yyyy") </f>
        <v>Nov-2017</v>
      </c>
      <c r="E1534" s="24" t="s">
        <v>20</v>
      </c>
      <c r="F1534" s="24" t="s">
        <v>35</v>
      </c>
      <c r="G1534" s="23" t="s">
        <v>667</v>
      </c>
      <c r="H1534" s="24" t="s">
        <v>9</v>
      </c>
      <c r="I1534" s="24" t="s">
        <v>9</v>
      </c>
      <c r="J1534" s="24" t="s">
        <v>24</v>
      </c>
      <c r="K1534" s="24" t="s">
        <v>24</v>
      </c>
      <c r="L1534" s="24" t="s">
        <v>98</v>
      </c>
    </row>
    <row r="1535">
      <c r="A1535" s="24">
        <f t="shared" si="1"/>
        <v>1533</v>
      </c>
      <c r="B1535" s="24" t="s">
        <v>666</v>
      </c>
      <c r="C1535" s="275">
        <v>43057.0</v>
      </c>
      <c r="D1535" s="24" t="str">
        <f t="shared" si="100"/>
        <v>Nov-2017</v>
      </c>
      <c r="E1535" s="24" t="s">
        <v>25</v>
      </c>
      <c r="F1535" s="24" t="s">
        <v>35</v>
      </c>
      <c r="G1535" s="23" t="s">
        <v>667</v>
      </c>
      <c r="H1535" s="24" t="s">
        <v>9</v>
      </c>
      <c r="I1535" s="24" t="s">
        <v>9</v>
      </c>
      <c r="J1535" s="24" t="s">
        <v>24</v>
      </c>
      <c r="K1535" s="24"/>
      <c r="L1535" s="24" t="s">
        <v>69</v>
      </c>
    </row>
    <row r="1536">
      <c r="A1536" s="24">
        <f t="shared" si="1"/>
        <v>1534</v>
      </c>
      <c r="B1536" s="24" t="s">
        <v>666</v>
      </c>
      <c r="C1536" s="275">
        <v>43057.0</v>
      </c>
      <c r="D1536" s="24" t="str">
        <f t="shared" si="100"/>
        <v>Nov-2017</v>
      </c>
      <c r="E1536" s="24" t="s">
        <v>20</v>
      </c>
      <c r="F1536" s="24" t="s">
        <v>35</v>
      </c>
      <c r="G1536" s="23" t="s">
        <v>670</v>
      </c>
      <c r="H1536" s="24" t="s">
        <v>97</v>
      </c>
      <c r="I1536" s="24" t="s">
        <v>9</v>
      </c>
      <c r="J1536" s="24" t="s">
        <v>24</v>
      </c>
      <c r="K1536" s="24" t="s">
        <v>24</v>
      </c>
      <c r="L1536" s="24" t="s">
        <v>98</v>
      </c>
    </row>
    <row r="1537">
      <c r="A1537" s="24">
        <f t="shared" si="1"/>
        <v>1535</v>
      </c>
      <c r="B1537" s="24" t="s">
        <v>666</v>
      </c>
      <c r="C1537" s="275">
        <v>43057.0</v>
      </c>
      <c r="D1537" s="24" t="str">
        <f t="shared" si="100"/>
        <v>Nov-2017</v>
      </c>
      <c r="E1537" s="24" t="s">
        <v>25</v>
      </c>
      <c r="F1537" s="24" t="s">
        <v>35</v>
      </c>
      <c r="G1537" s="23" t="s">
        <v>670</v>
      </c>
      <c r="H1537" s="24" t="s">
        <v>97</v>
      </c>
      <c r="I1537" s="24" t="s">
        <v>9</v>
      </c>
      <c r="J1537" s="24" t="s">
        <v>24</v>
      </c>
      <c r="K1537" s="24"/>
      <c r="L1537" s="24" t="s">
        <v>106</v>
      </c>
    </row>
    <row r="1538">
      <c r="A1538" s="24">
        <f t="shared" si="1"/>
        <v>1536</v>
      </c>
      <c r="B1538" s="24" t="s">
        <v>666</v>
      </c>
      <c r="C1538" s="275">
        <v>43057.0</v>
      </c>
      <c r="D1538" s="24" t="str">
        <f t="shared" si="100"/>
        <v>Nov-2017</v>
      </c>
      <c r="E1538" s="24" t="s">
        <v>20</v>
      </c>
      <c r="F1538" s="24" t="s">
        <v>35</v>
      </c>
      <c r="G1538" s="23" t="s">
        <v>673</v>
      </c>
      <c r="H1538" s="24" t="s">
        <v>27</v>
      </c>
      <c r="I1538" s="24" t="s">
        <v>9</v>
      </c>
      <c r="J1538" s="24" t="s">
        <v>30</v>
      </c>
      <c r="K1538" s="24" t="s">
        <v>30</v>
      </c>
      <c r="L1538" s="24" t="s">
        <v>98</v>
      </c>
    </row>
    <row r="1539">
      <c r="A1539" s="24">
        <f t="shared" si="1"/>
        <v>1537</v>
      </c>
      <c r="B1539" s="24" t="s">
        <v>666</v>
      </c>
      <c r="C1539" s="275">
        <v>43057.0</v>
      </c>
      <c r="D1539" s="24" t="str">
        <f t="shared" si="100"/>
        <v>Nov-2017</v>
      </c>
      <c r="E1539" s="24" t="s">
        <v>25</v>
      </c>
      <c r="F1539" s="24" t="s">
        <v>35</v>
      </c>
      <c r="G1539" s="23" t="s">
        <v>673</v>
      </c>
      <c r="H1539" s="24" t="s">
        <v>27</v>
      </c>
      <c r="I1539" s="24" t="s">
        <v>9</v>
      </c>
      <c r="J1539" s="24" t="s">
        <v>30</v>
      </c>
      <c r="K1539" s="24"/>
      <c r="L1539" s="24" t="s">
        <v>69</v>
      </c>
    </row>
    <row r="1540">
      <c r="A1540" s="24">
        <f t="shared" si="1"/>
        <v>1538</v>
      </c>
      <c r="B1540" s="24" t="s">
        <v>666</v>
      </c>
      <c r="C1540" s="275">
        <v>43057.0</v>
      </c>
      <c r="D1540" s="24" t="str">
        <f t="shared" si="100"/>
        <v>Nov-2017</v>
      </c>
      <c r="E1540" s="24" t="s">
        <v>20</v>
      </c>
      <c r="F1540" s="24" t="s">
        <v>35</v>
      </c>
      <c r="G1540" s="23" t="s">
        <v>675</v>
      </c>
      <c r="H1540" s="24" t="s">
        <v>9</v>
      </c>
      <c r="I1540" s="24" t="s">
        <v>9</v>
      </c>
      <c r="J1540" s="24" t="s">
        <v>30</v>
      </c>
      <c r="K1540" s="24" t="s">
        <v>30</v>
      </c>
      <c r="L1540" s="24" t="s">
        <v>37</v>
      </c>
    </row>
    <row r="1541">
      <c r="A1541" s="24">
        <f t="shared" si="1"/>
        <v>1539</v>
      </c>
      <c r="B1541" s="24" t="s">
        <v>666</v>
      </c>
      <c r="C1541" s="275">
        <v>43057.0</v>
      </c>
      <c r="D1541" s="24" t="str">
        <f t="shared" si="100"/>
        <v>Nov-2017</v>
      </c>
      <c r="E1541" s="24" t="s">
        <v>25</v>
      </c>
      <c r="F1541" s="24" t="s">
        <v>35</v>
      </c>
      <c r="G1541" s="23" t="s">
        <v>675</v>
      </c>
      <c r="H1541" s="24" t="s">
        <v>9</v>
      </c>
      <c r="I1541" s="24" t="s">
        <v>9</v>
      </c>
      <c r="J1541" s="24" t="s">
        <v>30</v>
      </c>
      <c r="K1541" s="24"/>
      <c r="L1541" s="24" t="s">
        <v>99</v>
      </c>
    </row>
    <row r="1542">
      <c r="A1542" s="24">
        <f t="shared" si="1"/>
        <v>1540</v>
      </c>
      <c r="B1542" s="24" t="s">
        <v>666</v>
      </c>
      <c r="C1542" s="275">
        <v>43057.0</v>
      </c>
      <c r="D1542" s="24" t="str">
        <f t="shared" ref="D1542:D1560" si="101">TEXT(C1534:C1542, "mmm") &amp; "-" &amp; TEXT(C1534:C1542, "yyyy") </f>
        <v>Nov-2017</v>
      </c>
      <c r="E1542" s="24" t="s">
        <v>20</v>
      </c>
      <c r="F1542" s="24" t="s">
        <v>677</v>
      </c>
      <c r="G1542" s="23" t="s">
        <v>487</v>
      </c>
      <c r="H1542" s="24" t="s">
        <v>44</v>
      </c>
      <c r="I1542" s="24" t="s">
        <v>9</v>
      </c>
      <c r="J1542" s="24" t="s">
        <v>30</v>
      </c>
      <c r="K1542" s="24" t="s">
        <v>24</v>
      </c>
      <c r="L1542" s="24" t="s">
        <v>98</v>
      </c>
    </row>
    <row r="1543">
      <c r="A1543" s="24">
        <f t="shared" si="1"/>
        <v>1541</v>
      </c>
      <c r="B1543" s="24" t="s">
        <v>666</v>
      </c>
      <c r="C1543" s="275">
        <v>43057.0</v>
      </c>
      <c r="D1543" s="24" t="str">
        <f t="shared" si="101"/>
        <v>Nov-2017</v>
      </c>
      <c r="E1543" s="24" t="s">
        <v>25</v>
      </c>
      <c r="F1543" s="24" t="s">
        <v>677</v>
      </c>
      <c r="G1543" s="23" t="s">
        <v>487</v>
      </c>
      <c r="H1543" s="24" t="s">
        <v>44</v>
      </c>
      <c r="I1543" s="24" t="s">
        <v>9</v>
      </c>
      <c r="J1543" s="24" t="s">
        <v>24</v>
      </c>
      <c r="K1543" s="24"/>
      <c r="L1543" s="24" t="s">
        <v>99</v>
      </c>
    </row>
    <row r="1544">
      <c r="A1544" s="24">
        <f t="shared" si="1"/>
        <v>1542</v>
      </c>
      <c r="B1544" s="24" t="s">
        <v>666</v>
      </c>
      <c r="C1544" s="275">
        <v>43057.0</v>
      </c>
      <c r="D1544" s="24" t="str">
        <f t="shared" si="101"/>
        <v>Nov-2017</v>
      </c>
      <c r="E1544" s="24" t="s">
        <v>32</v>
      </c>
      <c r="F1544" s="24" t="s">
        <v>677</v>
      </c>
      <c r="G1544" s="23" t="s">
        <v>487</v>
      </c>
      <c r="H1544" s="24" t="s">
        <v>44</v>
      </c>
      <c r="I1544" s="24" t="s">
        <v>9</v>
      </c>
      <c r="J1544" s="24" t="s">
        <v>24</v>
      </c>
      <c r="K1544" s="24"/>
      <c r="L1544" s="24" t="s">
        <v>106</v>
      </c>
    </row>
    <row r="1545">
      <c r="A1545" s="24">
        <f t="shared" si="1"/>
        <v>1543</v>
      </c>
      <c r="B1545" s="24" t="s">
        <v>666</v>
      </c>
      <c r="C1545" s="275">
        <v>43057.0</v>
      </c>
      <c r="D1545" s="24" t="str">
        <f t="shared" si="101"/>
        <v>Nov-2017</v>
      </c>
      <c r="E1545" s="24" t="s">
        <v>20</v>
      </c>
      <c r="F1545" s="24" t="s">
        <v>677</v>
      </c>
      <c r="G1545" s="23" t="s">
        <v>302</v>
      </c>
      <c r="H1545" s="24" t="s">
        <v>27</v>
      </c>
      <c r="I1545" s="24" t="s">
        <v>9</v>
      </c>
      <c r="J1545" s="24" t="s">
        <v>30</v>
      </c>
      <c r="K1545" s="24" t="s">
        <v>30</v>
      </c>
      <c r="L1545" s="24" t="s">
        <v>37</v>
      </c>
    </row>
    <row r="1546">
      <c r="A1546" s="24">
        <f t="shared" si="1"/>
        <v>1544</v>
      </c>
      <c r="B1546" s="24" t="s">
        <v>666</v>
      </c>
      <c r="C1546" s="275">
        <v>43057.0</v>
      </c>
      <c r="D1546" s="24" t="str">
        <f t="shared" si="101"/>
        <v>Nov-2017</v>
      </c>
      <c r="E1546" s="24" t="s">
        <v>25</v>
      </c>
      <c r="F1546" s="24" t="s">
        <v>677</v>
      </c>
      <c r="G1546" s="23" t="s">
        <v>302</v>
      </c>
      <c r="H1546" s="24" t="s">
        <v>27</v>
      </c>
      <c r="I1546" s="24" t="s">
        <v>9</v>
      </c>
      <c r="J1546" s="24" t="s">
        <v>30</v>
      </c>
      <c r="K1546" s="24"/>
      <c r="L1546" s="24" t="s">
        <v>99</v>
      </c>
    </row>
    <row r="1547">
      <c r="A1547" s="24">
        <f t="shared" si="1"/>
        <v>1545</v>
      </c>
      <c r="B1547" s="24" t="s">
        <v>666</v>
      </c>
      <c r="C1547" s="275">
        <v>43057.0</v>
      </c>
      <c r="D1547" s="24" t="str">
        <f t="shared" si="101"/>
        <v>Nov-2017</v>
      </c>
      <c r="E1547" s="24" t="s">
        <v>20</v>
      </c>
      <c r="F1547" s="24" t="s">
        <v>677</v>
      </c>
      <c r="G1547" s="23" t="s">
        <v>678</v>
      </c>
      <c r="H1547" s="24" t="s">
        <v>86</v>
      </c>
      <c r="I1547" s="24" t="s">
        <v>9</v>
      </c>
      <c r="J1547" s="24" t="s">
        <v>30</v>
      </c>
      <c r="K1547" s="24" t="s">
        <v>30</v>
      </c>
      <c r="L1547" s="24" t="s">
        <v>69</v>
      </c>
    </row>
    <row r="1548">
      <c r="A1548" s="24">
        <f t="shared" si="1"/>
        <v>1546</v>
      </c>
      <c r="B1548" s="24" t="s">
        <v>666</v>
      </c>
      <c r="C1548" s="275">
        <v>43057.0</v>
      </c>
      <c r="D1548" s="24" t="str">
        <f t="shared" si="101"/>
        <v>Nov-2017</v>
      </c>
      <c r="E1548" s="24" t="s">
        <v>25</v>
      </c>
      <c r="F1548" s="24" t="s">
        <v>677</v>
      </c>
      <c r="G1548" s="23" t="s">
        <v>678</v>
      </c>
      <c r="H1548" s="24" t="s">
        <v>86</v>
      </c>
      <c r="I1548" s="24" t="s">
        <v>9</v>
      </c>
      <c r="J1548" s="24" t="s">
        <v>30</v>
      </c>
      <c r="K1548" s="24"/>
      <c r="L1548" s="24" t="s">
        <v>98</v>
      </c>
    </row>
    <row r="1549">
      <c r="A1549" s="24">
        <f t="shared" si="1"/>
        <v>1547</v>
      </c>
      <c r="B1549" s="24" t="s">
        <v>666</v>
      </c>
      <c r="C1549" s="275">
        <v>43057.0</v>
      </c>
      <c r="D1549" s="24" t="str">
        <f t="shared" si="101"/>
        <v>Nov-2017</v>
      </c>
      <c r="E1549" s="24" t="s">
        <v>20</v>
      </c>
      <c r="F1549" s="24" t="s">
        <v>677</v>
      </c>
      <c r="G1549" s="23" t="s">
        <v>167</v>
      </c>
      <c r="H1549" s="24" t="s">
        <v>27</v>
      </c>
      <c r="I1549" s="24" t="s">
        <v>9</v>
      </c>
      <c r="J1549" s="24" t="s">
        <v>30</v>
      </c>
      <c r="K1549" s="24" t="s">
        <v>30</v>
      </c>
      <c r="L1549" s="24" t="s">
        <v>69</v>
      </c>
    </row>
    <row r="1550">
      <c r="A1550" s="24">
        <f t="shared" si="1"/>
        <v>1548</v>
      </c>
      <c r="B1550" s="24" t="s">
        <v>666</v>
      </c>
      <c r="C1550" s="275">
        <v>43057.0</v>
      </c>
      <c r="D1550" s="24" t="str">
        <f t="shared" si="101"/>
        <v>Nov-2017</v>
      </c>
      <c r="E1550" s="24" t="s">
        <v>25</v>
      </c>
      <c r="F1550" s="24" t="s">
        <v>677</v>
      </c>
      <c r="G1550" s="23" t="s">
        <v>167</v>
      </c>
      <c r="H1550" s="24" t="s">
        <v>27</v>
      </c>
      <c r="I1550" s="24" t="s">
        <v>9</v>
      </c>
      <c r="J1550" s="24" t="s">
        <v>30</v>
      </c>
      <c r="K1550" s="24"/>
      <c r="L1550" s="24" t="s">
        <v>106</v>
      </c>
    </row>
    <row r="1551">
      <c r="A1551" s="24">
        <f t="shared" si="1"/>
        <v>1549</v>
      </c>
      <c r="B1551" s="24" t="s">
        <v>666</v>
      </c>
      <c r="C1551" s="275">
        <v>43057.0</v>
      </c>
      <c r="D1551" s="24" t="str">
        <f t="shared" si="101"/>
        <v>Nov-2017</v>
      </c>
      <c r="E1551" s="24" t="s">
        <v>20</v>
      </c>
      <c r="F1551" s="24" t="s">
        <v>677</v>
      </c>
      <c r="G1551" s="23" t="s">
        <v>267</v>
      </c>
      <c r="H1551" s="24" t="s">
        <v>9</v>
      </c>
      <c r="I1551" s="24" t="s">
        <v>9</v>
      </c>
      <c r="J1551" s="24" t="s">
        <v>30</v>
      </c>
      <c r="K1551" s="24" t="s">
        <v>30</v>
      </c>
      <c r="L1551" s="24" t="s">
        <v>37</v>
      </c>
    </row>
    <row r="1552">
      <c r="A1552" s="24">
        <f t="shared" si="1"/>
        <v>1550</v>
      </c>
      <c r="B1552" s="24" t="s">
        <v>666</v>
      </c>
      <c r="C1552" s="275">
        <v>43057.0</v>
      </c>
      <c r="D1552" s="24" t="str">
        <f t="shared" si="101"/>
        <v>Nov-2017</v>
      </c>
      <c r="E1552" s="24" t="s">
        <v>25</v>
      </c>
      <c r="F1552" s="24" t="s">
        <v>677</v>
      </c>
      <c r="G1552" s="23" t="s">
        <v>267</v>
      </c>
      <c r="H1552" s="24" t="s">
        <v>27</v>
      </c>
      <c r="I1552" s="24" t="s">
        <v>9</v>
      </c>
      <c r="J1552" s="24" t="s">
        <v>30</v>
      </c>
      <c r="K1552" s="24"/>
      <c r="L1552" s="24" t="s">
        <v>99</v>
      </c>
    </row>
    <row r="1553">
      <c r="A1553" s="24">
        <f t="shared" si="1"/>
        <v>1551</v>
      </c>
      <c r="B1553" s="24" t="s">
        <v>666</v>
      </c>
      <c r="C1553" s="275">
        <v>43057.0</v>
      </c>
      <c r="D1553" s="24" t="str">
        <f t="shared" si="101"/>
        <v>Nov-2017</v>
      </c>
      <c r="E1553" s="24" t="s">
        <v>20</v>
      </c>
      <c r="F1553" s="24" t="s">
        <v>677</v>
      </c>
      <c r="G1553" s="23" t="s">
        <v>238</v>
      </c>
      <c r="H1553" s="24" t="s">
        <v>216</v>
      </c>
      <c r="I1553" s="24" t="s">
        <v>9</v>
      </c>
      <c r="J1553" s="24" t="s">
        <v>24</v>
      </c>
      <c r="K1553" s="24" t="s">
        <v>30</v>
      </c>
      <c r="L1553" s="24" t="s">
        <v>37</v>
      </c>
    </row>
    <row r="1554">
      <c r="A1554" s="24">
        <f t="shared" si="1"/>
        <v>1552</v>
      </c>
      <c r="B1554" s="24" t="s">
        <v>666</v>
      </c>
      <c r="C1554" s="275">
        <v>43057.0</v>
      </c>
      <c r="D1554" s="24" t="str">
        <f t="shared" si="101"/>
        <v>Nov-2017</v>
      </c>
      <c r="E1554" s="24" t="s">
        <v>25</v>
      </c>
      <c r="F1554" s="24" t="s">
        <v>677</v>
      </c>
      <c r="G1554" s="23" t="s">
        <v>238</v>
      </c>
      <c r="H1554" s="24" t="s">
        <v>216</v>
      </c>
      <c r="I1554" s="24" t="s">
        <v>9</v>
      </c>
      <c r="J1554" s="24" t="s">
        <v>30</v>
      </c>
      <c r="K1554" s="24"/>
      <c r="L1554" s="24" t="s">
        <v>98</v>
      </c>
    </row>
    <row r="1555">
      <c r="A1555" s="24">
        <f t="shared" si="1"/>
        <v>1553</v>
      </c>
      <c r="B1555" s="24" t="s">
        <v>666</v>
      </c>
      <c r="C1555" s="275">
        <v>43057.0</v>
      </c>
      <c r="D1555" s="24" t="str">
        <f t="shared" si="101"/>
        <v>Nov-2017</v>
      </c>
      <c r="E1555" s="24" t="s">
        <v>32</v>
      </c>
      <c r="F1555" s="24" t="s">
        <v>677</v>
      </c>
      <c r="G1555" s="23" t="s">
        <v>238</v>
      </c>
      <c r="H1555" s="24" t="s">
        <v>216</v>
      </c>
      <c r="I1555" s="24" t="s">
        <v>9</v>
      </c>
      <c r="J1555" s="24" t="s">
        <v>30</v>
      </c>
      <c r="K1555" s="24"/>
      <c r="L1555" s="24" t="s">
        <v>106</v>
      </c>
    </row>
    <row r="1556">
      <c r="A1556" s="24">
        <f t="shared" si="1"/>
        <v>1554</v>
      </c>
      <c r="B1556" s="24" t="s">
        <v>666</v>
      </c>
      <c r="C1556" s="275">
        <v>43057.0</v>
      </c>
      <c r="D1556" s="24" t="str">
        <f t="shared" si="101"/>
        <v>Nov-2017</v>
      </c>
      <c r="E1556" s="24" t="s">
        <v>20</v>
      </c>
      <c r="F1556" s="24" t="s">
        <v>677</v>
      </c>
      <c r="G1556" s="23" t="s">
        <v>679</v>
      </c>
      <c r="H1556" s="24" t="s">
        <v>86</v>
      </c>
      <c r="I1556" s="24" t="s">
        <v>9</v>
      </c>
      <c r="J1556" s="24" t="s">
        <v>30</v>
      </c>
      <c r="K1556" s="24" t="s">
        <v>30</v>
      </c>
      <c r="L1556" s="24" t="s">
        <v>99</v>
      </c>
    </row>
    <row r="1557">
      <c r="A1557" s="24">
        <f t="shared" si="1"/>
        <v>1555</v>
      </c>
      <c r="B1557" s="24" t="s">
        <v>666</v>
      </c>
      <c r="C1557" s="275">
        <v>43057.0</v>
      </c>
      <c r="D1557" s="24" t="str">
        <f t="shared" si="101"/>
        <v>Nov-2017</v>
      </c>
      <c r="E1557" s="24" t="s">
        <v>25</v>
      </c>
      <c r="F1557" s="24" t="s">
        <v>677</v>
      </c>
      <c r="G1557" s="23" t="s">
        <v>679</v>
      </c>
      <c r="H1557" s="24" t="s">
        <v>86</v>
      </c>
      <c r="I1557" s="24" t="s">
        <v>9</v>
      </c>
      <c r="J1557" s="24" t="s">
        <v>30</v>
      </c>
      <c r="K1557" s="24"/>
      <c r="L1557" s="24" t="s">
        <v>98</v>
      </c>
    </row>
    <row r="1558">
      <c r="A1558" s="24">
        <f t="shared" si="1"/>
        <v>1556</v>
      </c>
      <c r="B1558" s="24" t="s">
        <v>666</v>
      </c>
      <c r="C1558" s="275">
        <v>43057.0</v>
      </c>
      <c r="D1558" s="24" t="str">
        <f t="shared" si="101"/>
        <v>Nov-2017</v>
      </c>
      <c r="E1558" s="24" t="s">
        <v>20</v>
      </c>
      <c r="F1558" s="24" t="s">
        <v>677</v>
      </c>
      <c r="G1558" s="23" t="s">
        <v>680</v>
      </c>
      <c r="H1558" s="24" t="s">
        <v>71</v>
      </c>
      <c r="I1558" s="24" t="s">
        <v>9</v>
      </c>
      <c r="J1558" s="24" t="s">
        <v>24</v>
      </c>
      <c r="K1558" s="24" t="s">
        <v>24</v>
      </c>
      <c r="L1558" s="24" t="s">
        <v>99</v>
      </c>
    </row>
    <row r="1559">
      <c r="A1559" s="24">
        <f t="shared" si="1"/>
        <v>1557</v>
      </c>
      <c r="B1559" s="24" t="s">
        <v>666</v>
      </c>
      <c r="C1559" s="275">
        <v>43057.0</v>
      </c>
      <c r="D1559" s="24" t="str">
        <f t="shared" si="101"/>
        <v>Nov-2017</v>
      </c>
      <c r="E1559" s="24" t="s">
        <v>25</v>
      </c>
      <c r="F1559" s="24" t="s">
        <v>677</v>
      </c>
      <c r="G1559" s="23" t="s">
        <v>680</v>
      </c>
      <c r="H1559" s="24" t="s">
        <v>71</v>
      </c>
      <c r="I1559" s="24" t="s">
        <v>9</v>
      </c>
      <c r="J1559" s="24" t="s">
        <v>30</v>
      </c>
      <c r="K1559" s="24"/>
      <c r="L1559" s="24" t="s">
        <v>69</v>
      </c>
    </row>
    <row r="1560">
      <c r="A1560" s="24">
        <f t="shared" si="1"/>
        <v>1558</v>
      </c>
      <c r="B1560" s="24" t="s">
        <v>666</v>
      </c>
      <c r="C1560" s="275">
        <v>43057.0</v>
      </c>
      <c r="D1560" s="24" t="str">
        <f t="shared" si="101"/>
        <v>Nov-2017</v>
      </c>
      <c r="E1560" s="24" t="s">
        <v>32</v>
      </c>
      <c r="F1560" s="24" t="s">
        <v>677</v>
      </c>
      <c r="G1560" s="23" t="s">
        <v>680</v>
      </c>
      <c r="H1560" s="24" t="s">
        <v>71</v>
      </c>
      <c r="I1560" s="24" t="s">
        <v>9</v>
      </c>
      <c r="J1560" s="24" t="s">
        <v>24</v>
      </c>
      <c r="K1560" s="24"/>
      <c r="L1560" s="24" t="s">
        <v>37</v>
      </c>
    </row>
    <row r="1561">
      <c r="A1561" s="24">
        <f t="shared" si="1"/>
        <v>1559</v>
      </c>
      <c r="B1561" s="24" t="s">
        <v>681</v>
      </c>
      <c r="C1561" s="275">
        <v>43064.0</v>
      </c>
      <c r="D1561" s="24" t="str">
        <f t="shared" ref="D1561:D1568" si="102">TEXT(C1554:C1561, "mmm") &amp; "-" &amp; TEXT(C1554:C1561, "yyyy") </f>
        <v>Nov-2017</v>
      </c>
      <c r="E1561" s="24" t="s">
        <v>20</v>
      </c>
      <c r="F1561" s="24" t="s">
        <v>682</v>
      </c>
      <c r="G1561" s="23" t="s">
        <v>167</v>
      </c>
      <c r="H1561" s="24" t="s">
        <v>27</v>
      </c>
      <c r="I1561" s="24" t="s">
        <v>9</v>
      </c>
      <c r="J1561" s="24" t="s">
        <v>30</v>
      </c>
      <c r="K1561" s="24" t="s">
        <v>30</v>
      </c>
      <c r="L1561" s="24" t="s">
        <v>69</v>
      </c>
    </row>
    <row r="1562">
      <c r="A1562" s="24">
        <f t="shared" si="1"/>
        <v>1560</v>
      </c>
      <c r="B1562" s="24" t="s">
        <v>681</v>
      </c>
      <c r="C1562" s="275">
        <v>43064.0</v>
      </c>
      <c r="D1562" s="24" t="str">
        <f t="shared" si="102"/>
        <v>Nov-2017</v>
      </c>
      <c r="E1562" s="24" t="s">
        <v>25</v>
      </c>
      <c r="F1562" s="24" t="s">
        <v>682</v>
      </c>
      <c r="G1562" s="23" t="s">
        <v>167</v>
      </c>
      <c r="H1562" s="24" t="s">
        <v>27</v>
      </c>
      <c r="I1562" s="24" t="s">
        <v>9</v>
      </c>
      <c r="J1562" s="24" t="s">
        <v>30</v>
      </c>
      <c r="K1562" s="24"/>
      <c r="L1562" s="24" t="s">
        <v>106</v>
      </c>
    </row>
    <row r="1563">
      <c r="A1563" s="24">
        <f t="shared" si="1"/>
        <v>1561</v>
      </c>
      <c r="B1563" s="24" t="s">
        <v>681</v>
      </c>
      <c r="C1563" s="275">
        <v>43064.0</v>
      </c>
      <c r="D1563" s="24" t="str">
        <f t="shared" si="102"/>
        <v>Nov-2017</v>
      </c>
      <c r="E1563" s="24" t="s">
        <v>20</v>
      </c>
      <c r="F1563" s="24" t="s">
        <v>682</v>
      </c>
      <c r="G1563" s="23" t="s">
        <v>684</v>
      </c>
      <c r="H1563" s="24" t="s">
        <v>9</v>
      </c>
      <c r="I1563" s="24" t="s">
        <v>9</v>
      </c>
      <c r="J1563" s="24" t="s">
        <v>30</v>
      </c>
      <c r="K1563" s="24" t="s">
        <v>30</v>
      </c>
      <c r="L1563" s="24" t="s">
        <v>98</v>
      </c>
    </row>
    <row r="1564">
      <c r="A1564" s="24">
        <f t="shared" si="1"/>
        <v>1562</v>
      </c>
      <c r="B1564" s="24" t="s">
        <v>681</v>
      </c>
      <c r="C1564" s="275">
        <v>43064.0</v>
      </c>
      <c r="D1564" s="24" t="str">
        <f t="shared" si="102"/>
        <v>Nov-2017</v>
      </c>
      <c r="E1564" s="24" t="s">
        <v>25</v>
      </c>
      <c r="F1564" s="24" t="s">
        <v>682</v>
      </c>
      <c r="G1564" s="23" t="s">
        <v>684</v>
      </c>
      <c r="H1564" s="24" t="s">
        <v>9</v>
      </c>
      <c r="I1564" s="24" t="s">
        <v>9</v>
      </c>
      <c r="J1564" s="24" t="s">
        <v>30</v>
      </c>
      <c r="K1564" s="24"/>
      <c r="L1564" s="24" t="s">
        <v>99</v>
      </c>
    </row>
    <row r="1565">
      <c r="A1565" s="24">
        <f t="shared" si="1"/>
        <v>1563</v>
      </c>
      <c r="B1565" s="24" t="s">
        <v>681</v>
      </c>
      <c r="C1565" s="275">
        <v>43064.0</v>
      </c>
      <c r="D1565" s="24" t="str">
        <f t="shared" si="102"/>
        <v>Nov-2017</v>
      </c>
      <c r="E1565" s="24" t="s">
        <v>20</v>
      </c>
      <c r="F1565" s="24" t="s">
        <v>682</v>
      </c>
      <c r="G1565" s="23" t="s">
        <v>239</v>
      </c>
      <c r="H1565" s="24" t="s">
        <v>27</v>
      </c>
      <c r="I1565" s="24" t="s">
        <v>9</v>
      </c>
      <c r="J1565" s="24" t="s">
        <v>24</v>
      </c>
      <c r="K1565" s="24" t="s">
        <v>24</v>
      </c>
      <c r="L1565" s="24" t="s">
        <v>69</v>
      </c>
    </row>
    <row r="1566">
      <c r="A1566" s="24">
        <f t="shared" si="1"/>
        <v>1564</v>
      </c>
      <c r="B1566" s="24" t="s">
        <v>681</v>
      </c>
      <c r="C1566" s="275">
        <v>43064.0</v>
      </c>
      <c r="D1566" s="24" t="str">
        <f t="shared" si="102"/>
        <v>Nov-2017</v>
      </c>
      <c r="E1566" s="24" t="s">
        <v>25</v>
      </c>
      <c r="F1566" s="24" t="s">
        <v>682</v>
      </c>
      <c r="G1566" s="23" t="s">
        <v>239</v>
      </c>
      <c r="H1566" s="24" t="s">
        <v>27</v>
      </c>
      <c r="I1566" s="24" t="s">
        <v>9</v>
      </c>
      <c r="J1566" s="24" t="s">
        <v>24</v>
      </c>
      <c r="K1566" s="24"/>
      <c r="L1566" s="24" t="s">
        <v>98</v>
      </c>
    </row>
    <row r="1567">
      <c r="A1567" s="24">
        <f t="shared" si="1"/>
        <v>1565</v>
      </c>
      <c r="B1567" s="24" t="s">
        <v>681</v>
      </c>
      <c r="C1567" s="275">
        <v>43064.0</v>
      </c>
      <c r="D1567" s="24" t="str">
        <f t="shared" si="102"/>
        <v>Nov-2017</v>
      </c>
      <c r="E1567" s="24" t="s">
        <v>20</v>
      </c>
      <c r="F1567" s="24" t="s">
        <v>682</v>
      </c>
      <c r="G1567" s="23" t="s">
        <v>219</v>
      </c>
      <c r="H1567" s="24" t="s">
        <v>97</v>
      </c>
      <c r="I1567" s="24" t="s">
        <v>9</v>
      </c>
      <c r="J1567" s="24" t="s">
        <v>30</v>
      </c>
      <c r="K1567" s="24" t="s">
        <v>30</v>
      </c>
      <c r="L1567" s="24" t="s">
        <v>98</v>
      </c>
    </row>
    <row r="1568">
      <c r="A1568" s="24">
        <f t="shared" si="1"/>
        <v>1566</v>
      </c>
      <c r="B1568" s="24" t="s">
        <v>681</v>
      </c>
      <c r="C1568" s="275">
        <v>43064.0</v>
      </c>
      <c r="D1568" s="24" t="str">
        <f t="shared" si="102"/>
        <v>Nov-2017</v>
      </c>
      <c r="E1568" s="24" t="s">
        <v>25</v>
      </c>
      <c r="F1568" s="24" t="s">
        <v>682</v>
      </c>
      <c r="G1568" s="23" t="s">
        <v>219</v>
      </c>
      <c r="H1568" s="24" t="s">
        <v>97</v>
      </c>
      <c r="I1568" s="24" t="s">
        <v>9</v>
      </c>
      <c r="J1568" s="24" t="s">
        <v>30</v>
      </c>
      <c r="K1568" s="24"/>
      <c r="L1568" s="24" t="s">
        <v>37</v>
      </c>
    </row>
    <row r="1569">
      <c r="A1569" s="24">
        <f t="shared" si="1"/>
        <v>1567</v>
      </c>
      <c r="B1569" s="24" t="s">
        <v>681</v>
      </c>
      <c r="C1569" s="275">
        <v>43064.0</v>
      </c>
      <c r="D1569" s="24" t="str">
        <f t="shared" ref="D1569:D1585" si="103">TEXT(C1561:C1569, "mmm") &amp; "-" &amp; TEXT(C1561:C1569, "yyyy") </f>
        <v>Nov-2017</v>
      </c>
      <c r="E1569" s="24" t="s">
        <v>20</v>
      </c>
      <c r="F1569" s="24" t="s">
        <v>687</v>
      </c>
      <c r="G1569" s="23" t="s">
        <v>407</v>
      </c>
      <c r="H1569" s="24" t="s">
        <v>44</v>
      </c>
      <c r="I1569" s="24" t="s">
        <v>9</v>
      </c>
      <c r="J1569" s="24" t="s">
        <v>30</v>
      </c>
      <c r="K1569" s="24" t="s">
        <v>30</v>
      </c>
      <c r="L1569" s="24" t="s">
        <v>69</v>
      </c>
    </row>
    <row r="1570">
      <c r="A1570" s="24">
        <f t="shared" si="1"/>
        <v>1568</v>
      </c>
      <c r="B1570" s="24" t="s">
        <v>681</v>
      </c>
      <c r="C1570" s="275">
        <v>43064.0</v>
      </c>
      <c r="D1570" s="24" t="str">
        <f t="shared" si="103"/>
        <v>Nov-2017</v>
      </c>
      <c r="E1570" s="24" t="s">
        <v>25</v>
      </c>
      <c r="F1570" s="24" t="s">
        <v>687</v>
      </c>
      <c r="G1570" s="23" t="s">
        <v>407</v>
      </c>
      <c r="H1570" s="24" t="s">
        <v>44</v>
      </c>
      <c r="I1570" s="24" t="s">
        <v>9</v>
      </c>
      <c r="J1570" s="24" t="s">
        <v>30</v>
      </c>
      <c r="K1570" s="24"/>
      <c r="L1570" s="24" t="s">
        <v>69</v>
      </c>
    </row>
    <row r="1571">
      <c r="A1571" s="24">
        <f t="shared" si="1"/>
        <v>1569</v>
      </c>
      <c r="B1571" s="24" t="s">
        <v>681</v>
      </c>
      <c r="C1571" s="275">
        <v>43064.0</v>
      </c>
      <c r="D1571" s="24" t="str">
        <f t="shared" si="103"/>
        <v>Nov-2017</v>
      </c>
      <c r="E1571" s="24" t="s">
        <v>20</v>
      </c>
      <c r="F1571" s="24" t="s">
        <v>687</v>
      </c>
      <c r="G1571" s="23" t="s">
        <v>117</v>
      </c>
      <c r="H1571" s="24" t="s">
        <v>44</v>
      </c>
      <c r="I1571" s="24" t="s">
        <v>9</v>
      </c>
      <c r="J1571" s="24" t="s">
        <v>30</v>
      </c>
      <c r="K1571" s="24" t="s">
        <v>30</v>
      </c>
      <c r="L1571" s="24" t="s">
        <v>69</v>
      </c>
    </row>
    <row r="1572">
      <c r="A1572" s="24">
        <f t="shared" si="1"/>
        <v>1570</v>
      </c>
      <c r="B1572" s="24" t="s">
        <v>681</v>
      </c>
      <c r="C1572" s="275">
        <v>43064.0</v>
      </c>
      <c r="D1572" s="24" t="str">
        <f t="shared" si="103"/>
        <v>Nov-2017</v>
      </c>
      <c r="E1572" s="24" t="s">
        <v>25</v>
      </c>
      <c r="F1572" s="24" t="s">
        <v>687</v>
      </c>
      <c r="G1572" s="23" t="s">
        <v>117</v>
      </c>
      <c r="H1572" s="24" t="s">
        <v>44</v>
      </c>
      <c r="I1572" s="24" t="s">
        <v>9</v>
      </c>
      <c r="J1572" s="24" t="s">
        <v>24</v>
      </c>
      <c r="K1572" s="24"/>
      <c r="L1572" s="24" t="s">
        <v>98</v>
      </c>
    </row>
    <row r="1573">
      <c r="A1573" s="24">
        <f t="shared" si="1"/>
        <v>1571</v>
      </c>
      <c r="B1573" s="24" t="s">
        <v>681</v>
      </c>
      <c r="C1573" s="275">
        <v>43064.0</v>
      </c>
      <c r="D1573" s="24" t="str">
        <f t="shared" si="103"/>
        <v>Nov-2017</v>
      </c>
      <c r="E1573" s="24" t="s">
        <v>32</v>
      </c>
      <c r="F1573" s="24" t="s">
        <v>687</v>
      </c>
      <c r="G1573" s="23" t="s">
        <v>117</v>
      </c>
      <c r="H1573" s="24" t="s">
        <v>44</v>
      </c>
      <c r="I1573" s="24" t="s">
        <v>9</v>
      </c>
      <c r="J1573" s="24" t="s">
        <v>30</v>
      </c>
      <c r="K1573" s="24"/>
      <c r="L1573" s="24" t="s">
        <v>106</v>
      </c>
    </row>
    <row r="1574">
      <c r="A1574" s="24">
        <f t="shared" si="1"/>
        <v>1572</v>
      </c>
      <c r="B1574" s="24" t="s">
        <v>681</v>
      </c>
      <c r="C1574" s="275">
        <v>43064.0</v>
      </c>
      <c r="D1574" s="24" t="str">
        <f t="shared" si="103"/>
        <v>Nov-2017</v>
      </c>
      <c r="E1574" s="24" t="s">
        <v>20</v>
      </c>
      <c r="F1574" s="24" t="s">
        <v>687</v>
      </c>
      <c r="G1574" s="23" t="s">
        <v>688</v>
      </c>
      <c r="H1574" s="24" t="s">
        <v>71</v>
      </c>
      <c r="I1574" s="24" t="s">
        <v>9</v>
      </c>
      <c r="J1574" s="24" t="s">
        <v>30</v>
      </c>
      <c r="K1574" s="24" t="s">
        <v>30</v>
      </c>
      <c r="L1574" s="24" t="s">
        <v>98</v>
      </c>
    </row>
    <row r="1575">
      <c r="A1575" s="24">
        <f t="shared" si="1"/>
        <v>1573</v>
      </c>
      <c r="B1575" s="24" t="s">
        <v>681</v>
      </c>
      <c r="C1575" s="275">
        <v>43064.0</v>
      </c>
      <c r="D1575" s="24" t="str">
        <f t="shared" si="103"/>
        <v>Nov-2017</v>
      </c>
      <c r="E1575" s="24" t="s">
        <v>25</v>
      </c>
      <c r="F1575" s="24" t="s">
        <v>687</v>
      </c>
      <c r="G1575" s="23" t="s">
        <v>688</v>
      </c>
      <c r="H1575" s="24" t="s">
        <v>71</v>
      </c>
      <c r="I1575" s="24" t="s">
        <v>9</v>
      </c>
      <c r="J1575" s="24" t="s">
        <v>30</v>
      </c>
      <c r="K1575" s="24"/>
      <c r="L1575" s="24" t="s">
        <v>37</v>
      </c>
    </row>
    <row r="1576">
      <c r="A1576" s="24">
        <f t="shared" si="1"/>
        <v>1574</v>
      </c>
      <c r="B1576" s="24" t="s">
        <v>681</v>
      </c>
      <c r="C1576" s="275">
        <v>43064.0</v>
      </c>
      <c r="D1576" s="24" t="str">
        <f t="shared" si="103"/>
        <v>Nov-2017</v>
      </c>
      <c r="E1576" s="24" t="s">
        <v>20</v>
      </c>
      <c r="F1576" s="24" t="s">
        <v>687</v>
      </c>
      <c r="G1576" s="23" t="s">
        <v>689</v>
      </c>
      <c r="H1576" s="24" t="s">
        <v>23</v>
      </c>
      <c r="I1576" s="24" t="s">
        <v>9</v>
      </c>
      <c r="J1576" s="24" t="s">
        <v>24</v>
      </c>
      <c r="K1576" s="24" t="s">
        <v>24</v>
      </c>
      <c r="L1576" s="24" t="s">
        <v>37</v>
      </c>
    </row>
    <row r="1577">
      <c r="A1577" s="24">
        <f t="shared" si="1"/>
        <v>1575</v>
      </c>
      <c r="B1577" s="24" t="s">
        <v>681</v>
      </c>
      <c r="C1577" s="275">
        <v>43064.0</v>
      </c>
      <c r="D1577" s="24" t="str">
        <f t="shared" si="103"/>
        <v>Nov-2017</v>
      </c>
      <c r="E1577" s="24" t="s">
        <v>25</v>
      </c>
      <c r="F1577" s="24" t="s">
        <v>687</v>
      </c>
      <c r="G1577" s="23" t="s">
        <v>689</v>
      </c>
      <c r="H1577" s="24" t="s">
        <v>23</v>
      </c>
      <c r="I1577" s="24" t="s">
        <v>9</v>
      </c>
      <c r="J1577" s="24" t="s">
        <v>24</v>
      </c>
      <c r="K1577" s="24"/>
      <c r="L1577" s="24" t="s">
        <v>106</v>
      </c>
    </row>
    <row r="1578">
      <c r="A1578" s="24">
        <f t="shared" si="1"/>
        <v>1576</v>
      </c>
      <c r="B1578" s="24" t="s">
        <v>681</v>
      </c>
      <c r="C1578" s="275">
        <v>43064.0</v>
      </c>
      <c r="D1578" s="24" t="str">
        <f t="shared" si="103"/>
        <v>Nov-2017</v>
      </c>
      <c r="E1578" s="24" t="s">
        <v>20</v>
      </c>
      <c r="F1578" s="24" t="s">
        <v>687</v>
      </c>
      <c r="G1578" s="23" t="s">
        <v>47</v>
      </c>
      <c r="H1578" s="24" t="s">
        <v>48</v>
      </c>
      <c r="I1578" s="24" t="s">
        <v>9</v>
      </c>
      <c r="J1578" s="24" t="s">
        <v>24</v>
      </c>
      <c r="K1578" s="24" t="s">
        <v>24</v>
      </c>
      <c r="L1578" s="24" t="s">
        <v>29</v>
      </c>
    </row>
    <row r="1579">
      <c r="A1579" s="24">
        <f t="shared" si="1"/>
        <v>1577</v>
      </c>
      <c r="B1579" s="24" t="s">
        <v>681</v>
      </c>
      <c r="C1579" s="275">
        <v>43064.0</v>
      </c>
      <c r="D1579" s="24" t="str">
        <f t="shared" si="103"/>
        <v>Nov-2017</v>
      </c>
      <c r="E1579" s="24" t="s">
        <v>25</v>
      </c>
      <c r="F1579" s="24" t="s">
        <v>687</v>
      </c>
      <c r="G1579" s="23" t="s">
        <v>47</v>
      </c>
      <c r="H1579" s="24" t="s">
        <v>48</v>
      </c>
      <c r="I1579" s="24" t="s">
        <v>9</v>
      </c>
      <c r="J1579" s="24" t="s">
        <v>30</v>
      </c>
      <c r="K1579" s="24"/>
      <c r="L1579" s="24" t="s">
        <v>69</v>
      </c>
    </row>
    <row r="1580">
      <c r="A1580" s="24">
        <f t="shared" si="1"/>
        <v>1578</v>
      </c>
      <c r="B1580" s="24" t="s">
        <v>681</v>
      </c>
      <c r="C1580" s="275">
        <v>43064.0</v>
      </c>
      <c r="D1580" s="24" t="str">
        <f t="shared" si="103"/>
        <v>Nov-2017</v>
      </c>
      <c r="E1580" s="24" t="s">
        <v>32</v>
      </c>
      <c r="F1580" s="24" t="s">
        <v>687</v>
      </c>
      <c r="G1580" s="23" t="s">
        <v>47</v>
      </c>
      <c r="H1580" s="24" t="s">
        <v>48</v>
      </c>
      <c r="I1580" s="24" t="s">
        <v>9</v>
      </c>
      <c r="J1580" s="24" t="s">
        <v>24</v>
      </c>
      <c r="K1580" s="24"/>
      <c r="L1580" s="24" t="s">
        <v>99</v>
      </c>
    </row>
    <row r="1581">
      <c r="A1581" s="24">
        <f t="shared" si="1"/>
        <v>1579</v>
      </c>
      <c r="B1581" s="24" t="s">
        <v>681</v>
      </c>
      <c r="C1581" s="275">
        <v>43064.0</v>
      </c>
      <c r="D1581" s="24" t="str">
        <f t="shared" si="103"/>
        <v>Nov-2017</v>
      </c>
      <c r="E1581" s="24" t="s">
        <v>20</v>
      </c>
      <c r="F1581" s="24" t="s">
        <v>278</v>
      </c>
      <c r="G1581" s="23" t="s">
        <v>238</v>
      </c>
      <c r="H1581" s="24" t="s">
        <v>216</v>
      </c>
      <c r="I1581" s="24" t="s">
        <v>9</v>
      </c>
      <c r="J1581" s="24" t="s">
        <v>24</v>
      </c>
      <c r="K1581" s="24" t="s">
        <v>24</v>
      </c>
      <c r="L1581" s="24" t="s">
        <v>37</v>
      </c>
    </row>
    <row r="1582">
      <c r="A1582" s="24">
        <f t="shared" si="1"/>
        <v>1580</v>
      </c>
      <c r="B1582" s="24" t="s">
        <v>681</v>
      </c>
      <c r="C1582" s="275">
        <v>43064.0</v>
      </c>
      <c r="D1582" s="24" t="str">
        <f t="shared" si="103"/>
        <v>Nov-2017</v>
      </c>
      <c r="E1582" s="24" t="s">
        <v>25</v>
      </c>
      <c r="F1582" s="24" t="s">
        <v>278</v>
      </c>
      <c r="G1582" s="23" t="s">
        <v>238</v>
      </c>
      <c r="H1582" s="24" t="s">
        <v>216</v>
      </c>
      <c r="I1582" s="24" t="s">
        <v>9</v>
      </c>
      <c r="J1582" s="24" t="s">
        <v>24</v>
      </c>
      <c r="K1582" s="24"/>
      <c r="L1582" s="24" t="s">
        <v>98</v>
      </c>
    </row>
    <row r="1583">
      <c r="A1583" s="24">
        <f t="shared" si="1"/>
        <v>1581</v>
      </c>
      <c r="B1583" s="24" t="s">
        <v>681</v>
      </c>
      <c r="C1583" s="275">
        <v>43064.0</v>
      </c>
      <c r="D1583" s="24" t="str">
        <f t="shared" si="103"/>
        <v>Nov-2017</v>
      </c>
      <c r="E1583" s="24" t="s">
        <v>20</v>
      </c>
      <c r="F1583" s="24" t="s">
        <v>278</v>
      </c>
      <c r="G1583" s="23" t="s">
        <v>592</v>
      </c>
      <c r="H1583" s="24" t="s">
        <v>27</v>
      </c>
      <c r="I1583" s="24" t="s">
        <v>9</v>
      </c>
      <c r="J1583" s="24" t="s">
        <v>24</v>
      </c>
      <c r="K1583" s="24" t="s">
        <v>24</v>
      </c>
      <c r="L1583" s="24" t="s">
        <v>69</v>
      </c>
    </row>
    <row r="1584">
      <c r="A1584" s="24">
        <f t="shared" si="1"/>
        <v>1582</v>
      </c>
      <c r="B1584" s="24" t="s">
        <v>681</v>
      </c>
      <c r="C1584" s="275">
        <v>43064.0</v>
      </c>
      <c r="D1584" s="24" t="str">
        <f t="shared" si="103"/>
        <v>Nov-2017</v>
      </c>
      <c r="E1584" s="24" t="s">
        <v>25</v>
      </c>
      <c r="F1584" s="24" t="s">
        <v>278</v>
      </c>
      <c r="G1584" s="23" t="s">
        <v>592</v>
      </c>
      <c r="H1584" s="24" t="s">
        <v>27</v>
      </c>
      <c r="I1584" s="24" t="s">
        <v>9</v>
      </c>
      <c r="J1584" s="24" t="s">
        <v>30</v>
      </c>
      <c r="K1584" s="24"/>
      <c r="L1584" s="24" t="s">
        <v>106</v>
      </c>
    </row>
    <row r="1585">
      <c r="A1585" s="24">
        <f t="shared" si="1"/>
        <v>1583</v>
      </c>
      <c r="B1585" s="24" t="s">
        <v>681</v>
      </c>
      <c r="C1585" s="275">
        <v>43064.0</v>
      </c>
      <c r="D1585" s="24" t="str">
        <f t="shared" si="103"/>
        <v>Nov-2017</v>
      </c>
      <c r="E1585" s="24" t="s">
        <v>32</v>
      </c>
      <c r="F1585" s="24" t="s">
        <v>278</v>
      </c>
      <c r="G1585" s="23" t="s">
        <v>592</v>
      </c>
      <c r="H1585" s="24" t="s">
        <v>27</v>
      </c>
      <c r="I1585" s="24" t="s">
        <v>9</v>
      </c>
      <c r="J1585" s="24" t="s">
        <v>24</v>
      </c>
      <c r="K1585" s="24"/>
      <c r="L1585" s="24" t="s">
        <v>106</v>
      </c>
    </row>
    <row r="1586">
      <c r="A1586" s="24">
        <f t="shared" si="1"/>
        <v>1584</v>
      </c>
      <c r="B1586" s="24" t="s">
        <v>690</v>
      </c>
      <c r="C1586" s="275">
        <v>43068.0</v>
      </c>
      <c r="D1586" s="24" t="str">
        <f t="shared" ref="D1586:D1593" si="104">TEXT(C1579:C1586, "mmm") &amp; "-" &amp; TEXT(C1579:C1586, "yyyy") </f>
        <v>Nov-2017</v>
      </c>
      <c r="E1586" s="24" t="s">
        <v>20</v>
      </c>
      <c r="F1586" s="24" t="s">
        <v>35</v>
      </c>
      <c r="G1586" s="23" t="s">
        <v>691</v>
      </c>
      <c r="H1586" s="24" t="s">
        <v>23</v>
      </c>
      <c r="I1586" s="24" t="s">
        <v>9</v>
      </c>
      <c r="J1586" s="24" t="s">
        <v>30</v>
      </c>
      <c r="K1586" s="24" t="s">
        <v>30</v>
      </c>
      <c r="L1586" s="24" t="s">
        <v>99</v>
      </c>
    </row>
    <row r="1587">
      <c r="A1587" s="24">
        <f t="shared" si="1"/>
        <v>1585</v>
      </c>
      <c r="B1587" s="24" t="s">
        <v>690</v>
      </c>
      <c r="C1587" s="275">
        <v>43068.0</v>
      </c>
      <c r="D1587" s="24" t="str">
        <f t="shared" si="104"/>
        <v>Nov-2017</v>
      </c>
      <c r="E1587" s="24" t="s">
        <v>25</v>
      </c>
      <c r="F1587" s="24" t="s">
        <v>35</v>
      </c>
      <c r="G1587" s="23" t="s">
        <v>691</v>
      </c>
      <c r="H1587" s="24" t="s">
        <v>48</v>
      </c>
      <c r="I1587" s="24" t="s">
        <v>9</v>
      </c>
      <c r="J1587" s="24" t="s">
        <v>30</v>
      </c>
      <c r="K1587" s="24"/>
      <c r="L1587" s="24" t="s">
        <v>37</v>
      </c>
    </row>
    <row r="1588">
      <c r="A1588" s="24">
        <f t="shared" si="1"/>
        <v>1586</v>
      </c>
      <c r="B1588" s="24" t="s">
        <v>690</v>
      </c>
      <c r="C1588" s="275">
        <v>43068.0</v>
      </c>
      <c r="D1588" s="24" t="str">
        <f t="shared" si="104"/>
        <v>Nov-2017</v>
      </c>
      <c r="E1588" s="24" t="s">
        <v>20</v>
      </c>
      <c r="F1588" s="24" t="s">
        <v>35</v>
      </c>
      <c r="G1588" s="23" t="s">
        <v>442</v>
      </c>
      <c r="H1588" s="24" t="s">
        <v>71</v>
      </c>
      <c r="I1588" s="24" t="s">
        <v>9</v>
      </c>
      <c r="J1588" s="24" t="s">
        <v>24</v>
      </c>
      <c r="K1588" s="24" t="s">
        <v>24</v>
      </c>
      <c r="L1588" s="24" t="s">
        <v>98</v>
      </c>
    </row>
    <row r="1589">
      <c r="A1589" s="24">
        <f t="shared" si="1"/>
        <v>1587</v>
      </c>
      <c r="B1589" s="24" t="s">
        <v>690</v>
      </c>
      <c r="C1589" s="275">
        <v>43068.0</v>
      </c>
      <c r="D1589" s="24" t="str">
        <f t="shared" si="104"/>
        <v>Nov-2017</v>
      </c>
      <c r="E1589" s="24" t="s">
        <v>25</v>
      </c>
      <c r="F1589" s="24" t="s">
        <v>35</v>
      </c>
      <c r="G1589" s="23" t="s">
        <v>442</v>
      </c>
      <c r="H1589" s="24" t="s">
        <v>71</v>
      </c>
      <c r="I1589" s="24" t="s">
        <v>9</v>
      </c>
      <c r="J1589" s="24" t="s">
        <v>24</v>
      </c>
      <c r="K1589" s="24"/>
      <c r="L1589" s="24" t="s">
        <v>106</v>
      </c>
    </row>
    <row r="1590">
      <c r="A1590" s="24">
        <f t="shared" si="1"/>
        <v>1588</v>
      </c>
      <c r="B1590" s="24" t="s">
        <v>690</v>
      </c>
      <c r="C1590" s="275">
        <v>43068.0</v>
      </c>
      <c r="D1590" s="24" t="str">
        <f t="shared" si="104"/>
        <v>Nov-2017</v>
      </c>
      <c r="E1590" s="24" t="s">
        <v>20</v>
      </c>
      <c r="F1590" s="24" t="s">
        <v>35</v>
      </c>
      <c r="G1590" s="23" t="s">
        <v>694</v>
      </c>
      <c r="H1590" s="24" t="s">
        <v>27</v>
      </c>
      <c r="I1590" s="24" t="s">
        <v>9</v>
      </c>
      <c r="J1590" s="24" t="s">
        <v>30</v>
      </c>
      <c r="K1590" s="24" t="s">
        <v>30</v>
      </c>
      <c r="L1590" s="24" t="s">
        <v>98</v>
      </c>
    </row>
    <row r="1591">
      <c r="A1591" s="24">
        <f t="shared" si="1"/>
        <v>1589</v>
      </c>
      <c r="B1591" s="24" t="s">
        <v>690</v>
      </c>
      <c r="C1591" s="275">
        <v>43068.0</v>
      </c>
      <c r="D1591" s="24" t="str">
        <f t="shared" si="104"/>
        <v>Nov-2017</v>
      </c>
      <c r="E1591" s="24" t="s">
        <v>25</v>
      </c>
      <c r="F1591" s="24" t="s">
        <v>35</v>
      </c>
      <c r="G1591" s="23" t="s">
        <v>694</v>
      </c>
      <c r="H1591" s="24" t="s">
        <v>27</v>
      </c>
      <c r="I1591" s="24" t="s">
        <v>9</v>
      </c>
      <c r="J1591" s="24" t="s">
        <v>30</v>
      </c>
      <c r="K1591" s="24"/>
      <c r="L1591" s="24" t="s">
        <v>99</v>
      </c>
    </row>
    <row r="1592">
      <c r="A1592" s="24">
        <f t="shared" si="1"/>
        <v>1590</v>
      </c>
      <c r="B1592" s="24" t="s">
        <v>690</v>
      </c>
      <c r="C1592" s="275">
        <v>43068.0</v>
      </c>
      <c r="D1592" s="24" t="str">
        <f t="shared" si="104"/>
        <v>Nov-2017</v>
      </c>
      <c r="E1592" s="24" t="s">
        <v>146</v>
      </c>
      <c r="F1592" s="24" t="s">
        <v>35</v>
      </c>
      <c r="G1592" s="23" t="s">
        <v>245</v>
      </c>
      <c r="H1592" s="24" t="s">
        <v>27</v>
      </c>
      <c r="I1592" s="24" t="s">
        <v>9</v>
      </c>
      <c r="J1592" s="24" t="s">
        <v>30</v>
      </c>
      <c r="K1592" s="24" t="s">
        <v>30</v>
      </c>
      <c r="L1592" s="24" t="s">
        <v>69</v>
      </c>
    </row>
    <row r="1593">
      <c r="A1593" s="24">
        <f t="shared" si="1"/>
        <v>1591</v>
      </c>
      <c r="B1593" s="24" t="s">
        <v>690</v>
      </c>
      <c r="C1593" s="275">
        <v>43068.0</v>
      </c>
      <c r="D1593" s="24" t="str">
        <f t="shared" si="104"/>
        <v>Nov-2017</v>
      </c>
      <c r="E1593" s="24" t="s">
        <v>149</v>
      </c>
      <c r="F1593" s="24" t="s">
        <v>35</v>
      </c>
      <c r="G1593" s="23" t="s">
        <v>245</v>
      </c>
      <c r="H1593" s="24" t="s">
        <v>27</v>
      </c>
      <c r="I1593" s="24" t="s">
        <v>9</v>
      </c>
      <c r="J1593" s="24" t="s">
        <v>30</v>
      </c>
      <c r="K1593" s="24"/>
      <c r="L1593" s="24" t="s">
        <v>99</v>
      </c>
    </row>
    <row r="1594">
      <c r="A1594" s="24">
        <f t="shared" si="1"/>
        <v>1592</v>
      </c>
      <c r="B1594" s="24" t="s">
        <v>690</v>
      </c>
      <c r="C1594" s="275">
        <v>43068.0</v>
      </c>
      <c r="D1594" s="24" t="str">
        <f t="shared" ref="D1594:D1602" si="105">TEXT(C1586:C1594, "mmm") &amp; "-" &amp; TEXT(C1586:C1594, "yyyy") </f>
        <v>Nov-2017</v>
      </c>
      <c r="E1594" s="24" t="s">
        <v>222</v>
      </c>
      <c r="F1594" s="24" t="s">
        <v>35</v>
      </c>
      <c r="G1594" s="23" t="s">
        <v>245</v>
      </c>
      <c r="H1594" s="24" t="s">
        <v>27</v>
      </c>
      <c r="I1594" s="24" t="s">
        <v>9</v>
      </c>
      <c r="J1594" s="24" t="s">
        <v>30</v>
      </c>
      <c r="K1594" s="24"/>
      <c r="L1594" s="24" t="s">
        <v>99</v>
      </c>
    </row>
    <row r="1595">
      <c r="A1595" s="24">
        <f t="shared" si="1"/>
        <v>1593</v>
      </c>
      <c r="B1595" s="24" t="s">
        <v>690</v>
      </c>
      <c r="C1595" s="275">
        <v>43068.0</v>
      </c>
      <c r="D1595" s="24" t="str">
        <f t="shared" si="105"/>
        <v>Nov-2017</v>
      </c>
      <c r="E1595" s="24" t="s">
        <v>146</v>
      </c>
      <c r="F1595" s="24" t="s">
        <v>35</v>
      </c>
      <c r="G1595" s="23" t="s">
        <v>493</v>
      </c>
      <c r="H1595" s="24" t="s">
        <v>44</v>
      </c>
      <c r="I1595" s="24" t="s">
        <v>9</v>
      </c>
      <c r="J1595" s="24" t="s">
        <v>30</v>
      </c>
      <c r="K1595" s="24" t="s">
        <v>30</v>
      </c>
      <c r="L1595" s="24" t="s">
        <v>98</v>
      </c>
    </row>
    <row r="1596">
      <c r="A1596" s="24">
        <f t="shared" si="1"/>
        <v>1594</v>
      </c>
      <c r="B1596" s="24" t="s">
        <v>690</v>
      </c>
      <c r="C1596" s="275">
        <v>43068.0</v>
      </c>
      <c r="D1596" s="24" t="str">
        <f t="shared" si="105"/>
        <v>Nov-2017</v>
      </c>
      <c r="E1596" s="24" t="s">
        <v>149</v>
      </c>
      <c r="F1596" s="24" t="s">
        <v>35</v>
      </c>
      <c r="G1596" s="23" t="s">
        <v>493</v>
      </c>
      <c r="H1596" s="24" t="s">
        <v>44</v>
      </c>
      <c r="I1596" s="24" t="s">
        <v>9</v>
      </c>
      <c r="J1596" s="24" t="s">
        <v>30</v>
      </c>
      <c r="K1596" s="24"/>
      <c r="L1596" s="24" t="s">
        <v>29</v>
      </c>
    </row>
    <row r="1597">
      <c r="A1597" s="24">
        <f t="shared" si="1"/>
        <v>1595</v>
      </c>
      <c r="B1597" s="24" t="s">
        <v>690</v>
      </c>
      <c r="C1597" s="275">
        <v>43068.0</v>
      </c>
      <c r="D1597" s="24" t="str">
        <f t="shared" si="105"/>
        <v>Nov-2017</v>
      </c>
      <c r="E1597" s="24" t="s">
        <v>222</v>
      </c>
      <c r="F1597" s="24" t="s">
        <v>35</v>
      </c>
      <c r="G1597" s="23" t="s">
        <v>493</v>
      </c>
      <c r="H1597" s="24" t="s">
        <v>44</v>
      </c>
      <c r="I1597" s="24" t="s">
        <v>9</v>
      </c>
      <c r="J1597" s="24" t="s">
        <v>24</v>
      </c>
      <c r="K1597" s="24"/>
      <c r="L1597" s="24" t="s">
        <v>29</v>
      </c>
    </row>
    <row r="1598">
      <c r="A1598" s="24">
        <f t="shared" si="1"/>
        <v>1596</v>
      </c>
      <c r="B1598" s="24" t="s">
        <v>690</v>
      </c>
      <c r="C1598" s="275">
        <v>43068.0</v>
      </c>
      <c r="D1598" s="24" t="str">
        <f t="shared" si="105"/>
        <v>Nov-2017</v>
      </c>
      <c r="E1598" s="24" t="s">
        <v>467</v>
      </c>
      <c r="F1598" s="24" t="s">
        <v>35</v>
      </c>
      <c r="G1598" s="23" t="s">
        <v>493</v>
      </c>
      <c r="H1598" s="24" t="s">
        <v>44</v>
      </c>
      <c r="I1598" s="24" t="s">
        <v>9</v>
      </c>
      <c r="J1598" s="24" t="s">
        <v>30</v>
      </c>
      <c r="K1598" s="24"/>
      <c r="L1598" s="24" t="s">
        <v>106</v>
      </c>
    </row>
    <row r="1599">
      <c r="A1599" s="24">
        <f t="shared" si="1"/>
        <v>1597</v>
      </c>
      <c r="B1599" s="24" t="s">
        <v>690</v>
      </c>
      <c r="C1599" s="275">
        <v>43068.0</v>
      </c>
      <c r="D1599" s="24" t="str">
        <f t="shared" si="105"/>
        <v>Nov-2017</v>
      </c>
      <c r="E1599" s="24" t="s">
        <v>146</v>
      </c>
      <c r="F1599" s="24" t="s">
        <v>35</v>
      </c>
      <c r="G1599" s="23" t="s">
        <v>296</v>
      </c>
      <c r="H1599" s="24" t="s">
        <v>9</v>
      </c>
      <c r="I1599" s="24" t="s">
        <v>9</v>
      </c>
      <c r="J1599" s="24" t="s">
        <v>24</v>
      </c>
      <c r="K1599" s="24" t="s">
        <v>24</v>
      </c>
      <c r="L1599" s="24" t="s">
        <v>37</v>
      </c>
    </row>
    <row r="1600">
      <c r="A1600" s="24">
        <f t="shared" si="1"/>
        <v>1598</v>
      </c>
      <c r="B1600" s="24" t="s">
        <v>690</v>
      </c>
      <c r="C1600" s="275">
        <v>43068.0</v>
      </c>
      <c r="D1600" s="24" t="str">
        <f t="shared" si="105"/>
        <v>Nov-2017</v>
      </c>
      <c r="E1600" s="24" t="s">
        <v>149</v>
      </c>
      <c r="F1600" s="24" t="s">
        <v>35</v>
      </c>
      <c r="G1600" s="23" t="s">
        <v>296</v>
      </c>
      <c r="H1600" s="24" t="s">
        <v>9</v>
      </c>
      <c r="I1600" s="24" t="s">
        <v>9</v>
      </c>
      <c r="J1600" s="24" t="s">
        <v>30</v>
      </c>
      <c r="K1600" s="24"/>
      <c r="L1600" s="24" t="s">
        <v>106</v>
      </c>
    </row>
    <row r="1601">
      <c r="A1601" s="24">
        <f t="shared" si="1"/>
        <v>1599</v>
      </c>
      <c r="B1601" s="24" t="s">
        <v>690</v>
      </c>
      <c r="C1601" s="275">
        <v>43068.0</v>
      </c>
      <c r="D1601" s="24" t="str">
        <f t="shared" si="105"/>
        <v>Nov-2017</v>
      </c>
      <c r="E1601" s="24" t="s">
        <v>222</v>
      </c>
      <c r="F1601" s="24" t="s">
        <v>35</v>
      </c>
      <c r="G1601" s="23" t="s">
        <v>296</v>
      </c>
      <c r="H1601" s="24" t="s">
        <v>9</v>
      </c>
      <c r="I1601" s="24" t="s">
        <v>9</v>
      </c>
      <c r="J1601" s="24" t="s">
        <v>24</v>
      </c>
      <c r="K1601" s="24"/>
      <c r="L1601" s="24" t="s">
        <v>99</v>
      </c>
    </row>
    <row r="1602">
      <c r="A1602" s="24">
        <f t="shared" si="1"/>
        <v>1600</v>
      </c>
      <c r="B1602" s="24" t="s">
        <v>690</v>
      </c>
      <c r="C1602" s="275">
        <v>43068.0</v>
      </c>
      <c r="D1602" s="24" t="str">
        <f t="shared" si="105"/>
        <v>Nov-2017</v>
      </c>
      <c r="E1602" s="24" t="s">
        <v>467</v>
      </c>
      <c r="F1602" s="24" t="s">
        <v>35</v>
      </c>
      <c r="G1602" s="23" t="s">
        <v>296</v>
      </c>
      <c r="H1602" s="24" t="s">
        <v>9</v>
      </c>
      <c r="I1602" s="24" t="s">
        <v>9</v>
      </c>
      <c r="J1602" s="24" t="s">
        <v>24</v>
      </c>
      <c r="K1602" s="24"/>
      <c r="L1602" s="24" t="s">
        <v>69</v>
      </c>
    </row>
    <row r="1603">
      <c r="A1603" s="24">
        <f t="shared" si="1"/>
        <v>1601</v>
      </c>
      <c r="B1603" s="24" t="s">
        <v>697</v>
      </c>
      <c r="C1603" s="275">
        <v>43072.0</v>
      </c>
      <c r="D1603" s="24" t="str">
        <f t="shared" ref="D1603:D1610" si="106">TEXT(C1596:C1603, "mmm") &amp; "-" &amp; TEXT(C1596:C1603, "yyyy") </f>
        <v>Dec-2017</v>
      </c>
      <c r="E1603" s="24" t="s">
        <v>20</v>
      </c>
      <c r="F1603" s="24" t="s">
        <v>35</v>
      </c>
      <c r="G1603" s="23" t="s">
        <v>698</v>
      </c>
      <c r="H1603" s="24" t="s">
        <v>86</v>
      </c>
      <c r="I1603" s="24" t="s">
        <v>9</v>
      </c>
      <c r="J1603" s="24" t="s">
        <v>30</v>
      </c>
      <c r="K1603" s="24" t="s">
        <v>30</v>
      </c>
      <c r="L1603" s="24" t="s">
        <v>99</v>
      </c>
    </row>
    <row r="1604">
      <c r="A1604" s="24">
        <f t="shared" si="1"/>
        <v>1602</v>
      </c>
      <c r="B1604" s="24" t="s">
        <v>697</v>
      </c>
      <c r="C1604" s="275">
        <v>43072.0</v>
      </c>
      <c r="D1604" s="24" t="str">
        <f t="shared" si="106"/>
        <v>Dec-2017</v>
      </c>
      <c r="E1604" s="24" t="s">
        <v>25</v>
      </c>
      <c r="F1604" s="24" t="s">
        <v>35</v>
      </c>
      <c r="G1604" s="23" t="s">
        <v>698</v>
      </c>
      <c r="H1604" s="24" t="s">
        <v>86</v>
      </c>
      <c r="I1604" s="24" t="s">
        <v>9</v>
      </c>
      <c r="J1604" s="24" t="s">
        <v>30</v>
      </c>
      <c r="K1604" s="24"/>
      <c r="L1604" s="24" t="s">
        <v>98</v>
      </c>
    </row>
    <row r="1605">
      <c r="A1605" s="24">
        <f t="shared" si="1"/>
        <v>1603</v>
      </c>
      <c r="B1605" s="24" t="s">
        <v>697</v>
      </c>
      <c r="C1605" s="275">
        <v>43072.0</v>
      </c>
      <c r="D1605" s="24" t="str">
        <f t="shared" si="106"/>
        <v>Dec-2017</v>
      </c>
      <c r="E1605" s="24" t="s">
        <v>20</v>
      </c>
      <c r="F1605" s="24" t="s">
        <v>35</v>
      </c>
      <c r="G1605" s="23" t="s">
        <v>94</v>
      </c>
      <c r="H1605" s="24" t="s">
        <v>44</v>
      </c>
      <c r="I1605" s="24" t="s">
        <v>9</v>
      </c>
      <c r="J1605" s="24" t="s">
        <v>24</v>
      </c>
      <c r="K1605" s="24" t="s">
        <v>24</v>
      </c>
      <c r="L1605" s="24" t="s">
        <v>98</v>
      </c>
    </row>
    <row r="1606">
      <c r="A1606" s="24">
        <f t="shared" si="1"/>
        <v>1604</v>
      </c>
      <c r="B1606" s="24" t="s">
        <v>697</v>
      </c>
      <c r="C1606" s="275">
        <v>43072.0</v>
      </c>
      <c r="D1606" s="24" t="str">
        <f t="shared" si="106"/>
        <v>Dec-2017</v>
      </c>
      <c r="E1606" s="24" t="s">
        <v>25</v>
      </c>
      <c r="F1606" s="24" t="s">
        <v>35</v>
      </c>
      <c r="G1606" s="23" t="s">
        <v>94</v>
      </c>
      <c r="H1606" s="24" t="s">
        <v>44</v>
      </c>
      <c r="I1606" s="24" t="s">
        <v>9</v>
      </c>
      <c r="J1606" s="24" t="s">
        <v>24</v>
      </c>
      <c r="K1606" s="24"/>
      <c r="L1606" s="24" t="s">
        <v>69</v>
      </c>
    </row>
    <row r="1607">
      <c r="A1607" s="24">
        <f t="shared" si="1"/>
        <v>1605</v>
      </c>
      <c r="B1607" s="24" t="s">
        <v>697</v>
      </c>
      <c r="C1607" s="275">
        <v>43072.0</v>
      </c>
      <c r="D1607" s="24" t="str">
        <f t="shared" si="106"/>
        <v>Dec-2017</v>
      </c>
      <c r="E1607" s="24" t="s">
        <v>20</v>
      </c>
      <c r="F1607" s="24" t="s">
        <v>35</v>
      </c>
      <c r="G1607" s="23" t="s">
        <v>276</v>
      </c>
      <c r="H1607" s="24" t="s">
        <v>48</v>
      </c>
      <c r="I1607" s="24" t="s">
        <v>9</v>
      </c>
      <c r="J1607" s="24" t="s">
        <v>30</v>
      </c>
      <c r="K1607" s="24" t="s">
        <v>30</v>
      </c>
      <c r="L1607" s="24" t="s">
        <v>98</v>
      </c>
    </row>
    <row r="1608">
      <c r="A1608" s="24">
        <f t="shared" si="1"/>
        <v>1606</v>
      </c>
      <c r="B1608" s="24" t="s">
        <v>697</v>
      </c>
      <c r="C1608" s="275">
        <v>43072.0</v>
      </c>
      <c r="D1608" s="24" t="str">
        <f t="shared" si="106"/>
        <v>Dec-2017</v>
      </c>
      <c r="E1608" s="24" t="s">
        <v>25</v>
      </c>
      <c r="F1608" s="24" t="s">
        <v>35</v>
      </c>
      <c r="G1608" s="23" t="s">
        <v>276</v>
      </c>
      <c r="H1608" s="24" t="s">
        <v>48</v>
      </c>
      <c r="I1608" s="24" t="s">
        <v>9</v>
      </c>
      <c r="J1608" s="24" t="s">
        <v>30</v>
      </c>
      <c r="K1608" s="24"/>
      <c r="L1608" s="24" t="s">
        <v>99</v>
      </c>
    </row>
    <row r="1609">
      <c r="A1609" s="24">
        <f t="shared" si="1"/>
        <v>1607</v>
      </c>
      <c r="B1609" s="24" t="s">
        <v>697</v>
      </c>
      <c r="C1609" s="275">
        <v>43072.0</v>
      </c>
      <c r="D1609" s="24" t="str">
        <f t="shared" si="106"/>
        <v>Dec-2017</v>
      </c>
      <c r="E1609" s="24" t="s">
        <v>20</v>
      </c>
      <c r="F1609" s="24" t="s">
        <v>35</v>
      </c>
      <c r="G1609" s="23" t="s">
        <v>93</v>
      </c>
      <c r="H1609" s="24" t="s">
        <v>23</v>
      </c>
      <c r="I1609" s="24" t="s">
        <v>9</v>
      </c>
      <c r="J1609" s="24" t="s">
        <v>24</v>
      </c>
      <c r="K1609" s="24" t="s">
        <v>30</v>
      </c>
      <c r="L1609" s="24" t="s">
        <v>69</v>
      </c>
    </row>
    <row r="1610">
      <c r="A1610" s="24">
        <f t="shared" si="1"/>
        <v>1608</v>
      </c>
      <c r="B1610" s="24" t="s">
        <v>697</v>
      </c>
      <c r="C1610" s="275">
        <v>43072.0</v>
      </c>
      <c r="D1610" s="24" t="str">
        <f t="shared" si="106"/>
        <v>Dec-2017</v>
      </c>
      <c r="E1610" s="24" t="s">
        <v>25</v>
      </c>
      <c r="F1610" s="24" t="s">
        <v>35</v>
      </c>
      <c r="G1610" s="23" t="s">
        <v>93</v>
      </c>
      <c r="H1610" s="24" t="s">
        <v>23</v>
      </c>
      <c r="I1610" s="24" t="s">
        <v>9</v>
      </c>
      <c r="J1610" s="24" t="s">
        <v>30</v>
      </c>
      <c r="K1610" s="24"/>
      <c r="L1610" s="24" t="s">
        <v>29</v>
      </c>
    </row>
    <row r="1611">
      <c r="A1611" s="24">
        <f t="shared" si="1"/>
        <v>1609</v>
      </c>
      <c r="B1611" s="24" t="s">
        <v>697</v>
      </c>
      <c r="C1611" s="275">
        <v>43072.0</v>
      </c>
      <c r="D1611" s="24" t="str">
        <f t="shared" ref="D1611:D1621" si="107">TEXT(C1603:C1611, "mmm") &amp; "-" &amp; TEXT(C1603:C1611, "yyyy") </f>
        <v>Dec-2017</v>
      </c>
      <c r="E1611" s="24" t="s">
        <v>32</v>
      </c>
      <c r="F1611" s="24" t="s">
        <v>35</v>
      </c>
      <c r="G1611" s="23" t="s">
        <v>93</v>
      </c>
      <c r="H1611" s="24" t="s">
        <v>23</v>
      </c>
      <c r="I1611" s="24" t="s">
        <v>9</v>
      </c>
      <c r="J1611" s="24" t="s">
        <v>30</v>
      </c>
      <c r="K1611" s="24"/>
      <c r="L1611" s="24" t="s">
        <v>37</v>
      </c>
    </row>
    <row r="1612">
      <c r="A1612" s="24">
        <f t="shared" si="1"/>
        <v>1610</v>
      </c>
      <c r="B1612" s="24" t="s">
        <v>697</v>
      </c>
      <c r="C1612" s="275">
        <v>43072.0</v>
      </c>
      <c r="D1612" s="24" t="str">
        <f t="shared" si="107"/>
        <v>Dec-2017</v>
      </c>
      <c r="E1612" s="24" t="s">
        <v>20</v>
      </c>
      <c r="F1612" s="24" t="s">
        <v>35</v>
      </c>
      <c r="G1612" s="23" t="s">
        <v>90</v>
      </c>
      <c r="H1612" s="24" t="s">
        <v>9</v>
      </c>
      <c r="I1612" s="24" t="s">
        <v>9</v>
      </c>
      <c r="J1612" s="24" t="s">
        <v>24</v>
      </c>
      <c r="K1612" s="24" t="s">
        <v>24</v>
      </c>
      <c r="L1612" s="24" t="s">
        <v>98</v>
      </c>
    </row>
    <row r="1613">
      <c r="A1613" s="24">
        <f t="shared" si="1"/>
        <v>1611</v>
      </c>
      <c r="B1613" s="24" t="s">
        <v>697</v>
      </c>
      <c r="C1613" s="275">
        <v>43072.0</v>
      </c>
      <c r="D1613" s="24" t="str">
        <f t="shared" si="107"/>
        <v>Dec-2017</v>
      </c>
      <c r="E1613" s="24" t="s">
        <v>25</v>
      </c>
      <c r="F1613" s="24" t="s">
        <v>35</v>
      </c>
      <c r="G1613" s="23" t="s">
        <v>90</v>
      </c>
      <c r="H1613" s="24" t="s">
        <v>9</v>
      </c>
      <c r="I1613" s="24" t="s">
        <v>9</v>
      </c>
      <c r="J1613" s="24" t="s">
        <v>24</v>
      </c>
      <c r="K1613" s="24"/>
      <c r="L1613" s="24" t="s">
        <v>106</v>
      </c>
    </row>
    <row r="1614">
      <c r="A1614" s="24">
        <f t="shared" si="1"/>
        <v>1612</v>
      </c>
      <c r="B1614" s="24" t="s">
        <v>697</v>
      </c>
      <c r="C1614" s="275">
        <v>43072.0</v>
      </c>
      <c r="D1614" s="24" t="str">
        <f t="shared" si="107"/>
        <v>Dec-2017</v>
      </c>
      <c r="E1614" s="24" t="s">
        <v>20</v>
      </c>
      <c r="F1614" s="24" t="s">
        <v>278</v>
      </c>
      <c r="G1614" s="23" t="s">
        <v>122</v>
      </c>
      <c r="H1614" s="24" t="s">
        <v>44</v>
      </c>
      <c r="I1614" s="24" t="s">
        <v>27</v>
      </c>
      <c r="J1614" s="24" t="s">
        <v>30</v>
      </c>
      <c r="K1614" s="24" t="s">
        <v>24</v>
      </c>
      <c r="L1614" s="24" t="s">
        <v>98</v>
      </c>
    </row>
    <row r="1615">
      <c r="A1615" s="24">
        <f t="shared" si="1"/>
        <v>1613</v>
      </c>
      <c r="B1615" s="24" t="s">
        <v>697</v>
      </c>
      <c r="C1615" s="275">
        <v>43072.0</v>
      </c>
      <c r="D1615" s="24" t="str">
        <f t="shared" si="107"/>
        <v>Dec-2017</v>
      </c>
      <c r="E1615" s="24" t="s">
        <v>25</v>
      </c>
      <c r="F1615" s="24" t="s">
        <v>278</v>
      </c>
      <c r="G1615" s="23" t="s">
        <v>122</v>
      </c>
      <c r="H1615" s="24" t="s">
        <v>44</v>
      </c>
      <c r="I1615" s="24" t="s">
        <v>86</v>
      </c>
      <c r="J1615" s="24" t="s">
        <v>24</v>
      </c>
      <c r="K1615" s="24"/>
      <c r="L1615" s="24" t="s">
        <v>29</v>
      </c>
    </row>
    <row r="1616">
      <c r="A1616" s="24">
        <f t="shared" si="1"/>
        <v>1614</v>
      </c>
      <c r="B1616" s="24" t="s">
        <v>697</v>
      </c>
      <c r="C1616" s="275">
        <v>43072.0</v>
      </c>
      <c r="D1616" s="24" t="str">
        <f t="shared" si="107"/>
        <v>Dec-2017</v>
      </c>
      <c r="E1616" s="24" t="s">
        <v>32</v>
      </c>
      <c r="F1616" s="24" t="s">
        <v>278</v>
      </c>
      <c r="G1616" s="23" t="s">
        <v>122</v>
      </c>
      <c r="H1616" s="24" t="s">
        <v>44</v>
      </c>
      <c r="I1616" s="24" t="s">
        <v>27</v>
      </c>
      <c r="J1616" s="24" t="s">
        <v>24</v>
      </c>
      <c r="K1616" s="24"/>
      <c r="L1616" s="24" t="s">
        <v>106</v>
      </c>
    </row>
    <row r="1617">
      <c r="A1617" s="24">
        <f t="shared" si="1"/>
        <v>1615</v>
      </c>
      <c r="B1617" s="24" t="s">
        <v>697</v>
      </c>
      <c r="C1617" s="275">
        <v>43072.0</v>
      </c>
      <c r="D1617" s="24" t="str">
        <f t="shared" si="107"/>
        <v>Dec-2017</v>
      </c>
      <c r="E1617" s="24" t="s">
        <v>20</v>
      </c>
      <c r="F1617" s="24" t="s">
        <v>278</v>
      </c>
      <c r="G1617" s="23" t="s">
        <v>606</v>
      </c>
      <c r="H1617" s="24" t="s">
        <v>97</v>
      </c>
      <c r="I1617" s="24" t="s">
        <v>27</v>
      </c>
      <c r="J1617" s="24" t="s">
        <v>30</v>
      </c>
      <c r="K1617" s="24" t="s">
        <v>30</v>
      </c>
      <c r="L1617" s="24" t="s">
        <v>98</v>
      </c>
    </row>
    <row r="1618">
      <c r="A1618" s="24">
        <f t="shared" si="1"/>
        <v>1616</v>
      </c>
      <c r="B1618" s="24" t="s">
        <v>697</v>
      </c>
      <c r="C1618" s="275">
        <v>43072.0</v>
      </c>
      <c r="D1618" s="24" t="str">
        <f t="shared" si="107"/>
        <v>Dec-2017</v>
      </c>
      <c r="E1618" s="24" t="s">
        <v>25</v>
      </c>
      <c r="F1618" s="24" t="s">
        <v>278</v>
      </c>
      <c r="G1618" s="23" t="s">
        <v>606</v>
      </c>
      <c r="H1618" s="24" t="s">
        <v>97</v>
      </c>
      <c r="I1618" s="24" t="s">
        <v>86</v>
      </c>
      <c r="J1618" s="24" t="s">
        <v>30</v>
      </c>
      <c r="K1618" s="24"/>
      <c r="L1618" s="24" t="s">
        <v>69</v>
      </c>
    </row>
    <row r="1619">
      <c r="A1619" s="24">
        <f t="shared" si="1"/>
        <v>1617</v>
      </c>
      <c r="B1619" s="24" t="s">
        <v>697</v>
      </c>
      <c r="C1619" s="275">
        <v>43072.0</v>
      </c>
      <c r="D1619" s="24" t="str">
        <f t="shared" si="107"/>
        <v>Dec-2017</v>
      </c>
      <c r="E1619" s="24" t="s">
        <v>20</v>
      </c>
      <c r="F1619" s="24" t="s">
        <v>278</v>
      </c>
      <c r="G1619" s="23" t="s">
        <v>667</v>
      </c>
      <c r="H1619" s="24" t="s">
        <v>9</v>
      </c>
      <c r="I1619" s="24" t="s">
        <v>27</v>
      </c>
      <c r="J1619" s="24" t="s">
        <v>24</v>
      </c>
      <c r="K1619" s="24" t="s">
        <v>24</v>
      </c>
      <c r="L1619" s="24" t="s">
        <v>29</v>
      </c>
    </row>
    <row r="1620">
      <c r="A1620" s="24">
        <f t="shared" si="1"/>
        <v>1618</v>
      </c>
      <c r="B1620" s="24" t="s">
        <v>697</v>
      </c>
      <c r="C1620" s="275">
        <v>43072.0</v>
      </c>
      <c r="D1620" s="24" t="str">
        <f t="shared" si="107"/>
        <v>Dec-2017</v>
      </c>
      <c r="E1620" s="24" t="s">
        <v>25</v>
      </c>
      <c r="F1620" s="24" t="s">
        <v>278</v>
      </c>
      <c r="G1620" s="23" t="s">
        <v>667</v>
      </c>
      <c r="H1620" s="24" t="s">
        <v>9</v>
      </c>
      <c r="I1620" s="24" t="s">
        <v>27</v>
      </c>
      <c r="J1620" s="24" t="s">
        <v>30</v>
      </c>
      <c r="K1620" s="24"/>
      <c r="L1620" s="24" t="s">
        <v>106</v>
      </c>
    </row>
    <row r="1621">
      <c r="A1621" s="24">
        <f t="shared" si="1"/>
        <v>1619</v>
      </c>
      <c r="B1621" s="24" t="s">
        <v>697</v>
      </c>
      <c r="C1621" s="275">
        <v>43072.0</v>
      </c>
      <c r="D1621" s="24" t="str">
        <f t="shared" si="107"/>
        <v>Dec-2017</v>
      </c>
      <c r="E1621" s="24" t="s">
        <v>32</v>
      </c>
      <c r="F1621" s="24" t="s">
        <v>278</v>
      </c>
      <c r="G1621" s="23" t="s">
        <v>667</v>
      </c>
      <c r="H1621" s="24" t="s">
        <v>9</v>
      </c>
      <c r="I1621" s="24" t="s">
        <v>27</v>
      </c>
      <c r="J1621" s="24" t="s">
        <v>24</v>
      </c>
      <c r="K1621" s="24"/>
      <c r="L1621" s="24" t="s">
        <v>69</v>
      </c>
    </row>
    <row r="1622">
      <c r="A1622" s="24">
        <f t="shared" si="1"/>
        <v>1620</v>
      </c>
      <c r="B1622" s="24" t="s">
        <v>702</v>
      </c>
      <c r="C1622" s="275">
        <v>43075.0</v>
      </c>
      <c r="D1622" s="24" t="str">
        <f t="shared" ref="D1622:D1629" si="108">TEXT(C1615:C1622, "mmm") &amp; "-" &amp; TEXT(C1615:C1622, "yyyy") </f>
        <v>Dec-2017</v>
      </c>
      <c r="E1622" s="24" t="s">
        <v>20</v>
      </c>
      <c r="F1622" s="24" t="s">
        <v>35</v>
      </c>
      <c r="G1622" s="23" t="s">
        <v>489</v>
      </c>
      <c r="H1622" s="24" t="s">
        <v>318</v>
      </c>
      <c r="I1622" s="24" t="s">
        <v>9</v>
      </c>
      <c r="J1622" s="24" t="s">
        <v>30</v>
      </c>
      <c r="K1622" s="24" t="s">
        <v>30</v>
      </c>
      <c r="L1622" s="24" t="s">
        <v>29</v>
      </c>
    </row>
    <row r="1623">
      <c r="A1623" s="24">
        <f t="shared" si="1"/>
        <v>1621</v>
      </c>
      <c r="B1623" s="24" t="s">
        <v>702</v>
      </c>
      <c r="C1623" s="275">
        <v>43075.0</v>
      </c>
      <c r="D1623" s="24" t="str">
        <f t="shared" si="108"/>
        <v>Dec-2017</v>
      </c>
      <c r="E1623" s="24" t="s">
        <v>25</v>
      </c>
      <c r="F1623" s="24" t="s">
        <v>35</v>
      </c>
      <c r="G1623" s="23" t="s">
        <v>489</v>
      </c>
      <c r="H1623" s="24" t="s">
        <v>23</v>
      </c>
      <c r="I1623" s="24" t="s">
        <v>9</v>
      </c>
      <c r="J1623" s="24" t="s">
        <v>30</v>
      </c>
      <c r="K1623" s="24"/>
      <c r="L1623" s="24" t="s">
        <v>29</v>
      </c>
    </row>
    <row r="1624">
      <c r="A1624" s="24">
        <f t="shared" si="1"/>
        <v>1622</v>
      </c>
      <c r="B1624" s="24" t="s">
        <v>702</v>
      </c>
      <c r="C1624" s="275">
        <v>43075.0</v>
      </c>
      <c r="D1624" s="24" t="str">
        <f t="shared" si="108"/>
        <v>Dec-2017</v>
      </c>
      <c r="E1624" s="24" t="s">
        <v>20</v>
      </c>
      <c r="F1624" s="24" t="s">
        <v>35</v>
      </c>
      <c r="G1624" s="23" t="s">
        <v>544</v>
      </c>
      <c r="H1624" s="24" t="s">
        <v>27</v>
      </c>
      <c r="I1624" s="24" t="s">
        <v>9</v>
      </c>
      <c r="J1624" s="24" t="s">
        <v>30</v>
      </c>
      <c r="K1624" s="24" t="s">
        <v>24</v>
      </c>
      <c r="L1624" s="24" t="s">
        <v>37</v>
      </c>
    </row>
    <row r="1625">
      <c r="A1625" s="24">
        <f t="shared" si="1"/>
        <v>1623</v>
      </c>
      <c r="B1625" s="24" t="s">
        <v>702</v>
      </c>
      <c r="C1625" s="275">
        <v>43075.0</v>
      </c>
      <c r="D1625" s="24" t="str">
        <f t="shared" si="108"/>
        <v>Dec-2017</v>
      </c>
      <c r="E1625" s="24" t="s">
        <v>25</v>
      </c>
      <c r="F1625" s="24" t="s">
        <v>35</v>
      </c>
      <c r="G1625" s="23" t="s">
        <v>544</v>
      </c>
      <c r="H1625" s="24" t="s">
        <v>27</v>
      </c>
      <c r="I1625" s="24" t="s">
        <v>9</v>
      </c>
      <c r="J1625" s="24" t="s">
        <v>24</v>
      </c>
      <c r="K1625" s="24"/>
      <c r="L1625" s="24" t="s">
        <v>69</v>
      </c>
    </row>
    <row r="1626">
      <c r="A1626" s="24">
        <f t="shared" si="1"/>
        <v>1624</v>
      </c>
      <c r="B1626" s="24" t="s">
        <v>702</v>
      </c>
      <c r="C1626" s="275">
        <v>43075.0</v>
      </c>
      <c r="D1626" s="24" t="str">
        <f t="shared" si="108"/>
        <v>Dec-2017</v>
      </c>
      <c r="E1626" s="24" t="s">
        <v>32</v>
      </c>
      <c r="F1626" s="24" t="s">
        <v>35</v>
      </c>
      <c r="G1626" s="23" t="s">
        <v>544</v>
      </c>
      <c r="H1626" s="24" t="s">
        <v>27</v>
      </c>
      <c r="I1626" s="24" t="s">
        <v>9</v>
      </c>
      <c r="J1626" s="24" t="s">
        <v>24</v>
      </c>
      <c r="K1626" s="24"/>
      <c r="L1626" s="24" t="s">
        <v>106</v>
      </c>
    </row>
    <row r="1627">
      <c r="A1627" s="24">
        <f t="shared" si="1"/>
        <v>1625</v>
      </c>
      <c r="B1627" s="24" t="s">
        <v>702</v>
      </c>
      <c r="C1627" s="275">
        <v>43075.0</v>
      </c>
      <c r="D1627" s="24" t="str">
        <f t="shared" si="108"/>
        <v>Dec-2017</v>
      </c>
      <c r="E1627" s="24" t="s">
        <v>20</v>
      </c>
      <c r="F1627" s="24" t="s">
        <v>35</v>
      </c>
      <c r="G1627" s="23" t="s">
        <v>704</v>
      </c>
      <c r="H1627" s="24" t="s">
        <v>44</v>
      </c>
      <c r="I1627" s="24" t="s">
        <v>9</v>
      </c>
      <c r="J1627" s="24" t="s">
        <v>30</v>
      </c>
      <c r="K1627" s="24" t="s">
        <v>30</v>
      </c>
      <c r="L1627" s="24" t="s">
        <v>98</v>
      </c>
    </row>
    <row r="1628">
      <c r="A1628" s="24">
        <f t="shared" si="1"/>
        <v>1626</v>
      </c>
      <c r="B1628" s="24" t="s">
        <v>702</v>
      </c>
      <c r="C1628" s="275">
        <v>43075.0</v>
      </c>
      <c r="D1628" s="24" t="str">
        <f t="shared" si="108"/>
        <v>Dec-2017</v>
      </c>
      <c r="E1628" s="24" t="s">
        <v>25</v>
      </c>
      <c r="F1628" s="24" t="s">
        <v>35</v>
      </c>
      <c r="G1628" s="23" t="s">
        <v>704</v>
      </c>
      <c r="H1628" s="24" t="s">
        <v>44</v>
      </c>
      <c r="I1628" s="24" t="s">
        <v>9</v>
      </c>
      <c r="J1628" s="24" t="s">
        <v>30</v>
      </c>
      <c r="K1628" s="24"/>
      <c r="L1628" s="24" t="s">
        <v>99</v>
      </c>
    </row>
    <row r="1629">
      <c r="A1629" s="24">
        <f t="shared" si="1"/>
        <v>1627</v>
      </c>
      <c r="B1629" s="24" t="s">
        <v>702</v>
      </c>
      <c r="C1629" s="275">
        <v>43075.0</v>
      </c>
      <c r="D1629" s="24" t="str">
        <f t="shared" si="108"/>
        <v>Dec-2017</v>
      </c>
      <c r="E1629" s="24" t="s">
        <v>20</v>
      </c>
      <c r="F1629" s="24" t="s">
        <v>35</v>
      </c>
      <c r="G1629" s="23" t="s">
        <v>655</v>
      </c>
      <c r="H1629" s="24" t="s">
        <v>86</v>
      </c>
      <c r="I1629" s="24" t="s">
        <v>9</v>
      </c>
      <c r="J1629" s="24" t="s">
        <v>24</v>
      </c>
      <c r="K1629" s="24" t="s">
        <v>30</v>
      </c>
      <c r="L1629" s="24" t="s">
        <v>69</v>
      </c>
    </row>
    <row r="1630">
      <c r="A1630" s="24">
        <f t="shared" si="1"/>
        <v>1628</v>
      </c>
      <c r="B1630" s="24" t="s">
        <v>702</v>
      </c>
      <c r="C1630" s="275">
        <v>43075.0</v>
      </c>
      <c r="D1630" s="24" t="str">
        <f t="shared" ref="D1630:D1636" si="109">TEXT(C1622:C1630, "mmm") &amp; "-" &amp; TEXT(C1622:C1630, "yyyy") </f>
        <v>Dec-2017</v>
      </c>
      <c r="E1630" s="24" t="s">
        <v>25</v>
      </c>
      <c r="F1630" s="24" t="s">
        <v>35</v>
      </c>
      <c r="G1630" s="23" t="s">
        <v>655</v>
      </c>
      <c r="H1630" s="24" t="s">
        <v>86</v>
      </c>
      <c r="I1630" s="24" t="s">
        <v>9</v>
      </c>
      <c r="J1630" s="24" t="s">
        <v>30</v>
      </c>
      <c r="K1630" s="24"/>
      <c r="L1630" s="24" t="s">
        <v>99</v>
      </c>
    </row>
    <row r="1631">
      <c r="A1631" s="24">
        <f t="shared" si="1"/>
        <v>1629</v>
      </c>
      <c r="B1631" s="24" t="s">
        <v>702</v>
      </c>
      <c r="C1631" s="275">
        <v>43075.0</v>
      </c>
      <c r="D1631" s="24" t="str">
        <f t="shared" si="109"/>
        <v>Dec-2017</v>
      </c>
      <c r="E1631" s="24" t="s">
        <v>32</v>
      </c>
      <c r="F1631" s="24" t="s">
        <v>35</v>
      </c>
      <c r="G1631" s="23" t="s">
        <v>655</v>
      </c>
      <c r="H1631" s="24" t="s">
        <v>86</v>
      </c>
      <c r="I1631" s="24" t="s">
        <v>9</v>
      </c>
      <c r="J1631" s="24" t="s">
        <v>30</v>
      </c>
      <c r="K1631" s="24"/>
      <c r="L1631" s="24" t="s">
        <v>98</v>
      </c>
    </row>
    <row r="1632">
      <c r="A1632" s="24">
        <f t="shared" si="1"/>
        <v>1630</v>
      </c>
      <c r="B1632" s="24" t="s">
        <v>702</v>
      </c>
      <c r="C1632" s="275">
        <v>43075.0</v>
      </c>
      <c r="D1632" s="24" t="str">
        <f t="shared" si="109"/>
        <v>Dec-2017</v>
      </c>
      <c r="E1632" s="24" t="s">
        <v>20</v>
      </c>
      <c r="F1632" s="24" t="s">
        <v>35</v>
      </c>
      <c r="G1632" s="23" t="s">
        <v>707</v>
      </c>
      <c r="H1632" s="24" t="s">
        <v>9</v>
      </c>
      <c r="I1632" s="24" t="s">
        <v>9</v>
      </c>
      <c r="J1632" s="24" t="s">
        <v>24</v>
      </c>
      <c r="K1632" s="24" t="s">
        <v>30</v>
      </c>
      <c r="L1632" s="24" t="s">
        <v>37</v>
      </c>
    </row>
    <row r="1633">
      <c r="A1633" s="24">
        <f t="shared" si="1"/>
        <v>1631</v>
      </c>
      <c r="B1633" s="24" t="s">
        <v>702</v>
      </c>
      <c r="C1633" s="275">
        <v>43075.0</v>
      </c>
      <c r="D1633" s="24" t="str">
        <f t="shared" si="109"/>
        <v>Dec-2017</v>
      </c>
      <c r="E1633" s="24" t="s">
        <v>25</v>
      </c>
      <c r="F1633" s="24" t="s">
        <v>35</v>
      </c>
      <c r="G1633" s="23" t="s">
        <v>707</v>
      </c>
      <c r="H1633" s="24" t="s">
        <v>9</v>
      </c>
      <c r="I1633" s="24" t="s">
        <v>9</v>
      </c>
      <c r="J1633" s="24" t="s">
        <v>30</v>
      </c>
      <c r="K1633" s="24"/>
      <c r="L1633" s="24" t="s">
        <v>29</v>
      </c>
    </row>
    <row r="1634">
      <c r="A1634" s="24">
        <f t="shared" si="1"/>
        <v>1632</v>
      </c>
      <c r="B1634" s="24" t="s">
        <v>702</v>
      </c>
      <c r="C1634" s="275">
        <v>43075.0</v>
      </c>
      <c r="D1634" s="24" t="str">
        <f t="shared" si="109"/>
        <v>Dec-2017</v>
      </c>
      <c r="E1634" s="24" t="s">
        <v>32</v>
      </c>
      <c r="F1634" s="24" t="s">
        <v>35</v>
      </c>
      <c r="G1634" s="23" t="s">
        <v>707</v>
      </c>
      <c r="H1634" s="24" t="s">
        <v>44</v>
      </c>
      <c r="I1634" s="24" t="s">
        <v>9</v>
      </c>
      <c r="J1634" s="24" t="s">
        <v>30</v>
      </c>
      <c r="K1634" s="24"/>
      <c r="L1634" s="24" t="s">
        <v>29</v>
      </c>
    </row>
    <row r="1635">
      <c r="A1635" s="24">
        <f t="shared" si="1"/>
        <v>1633</v>
      </c>
      <c r="B1635" s="24" t="s">
        <v>702</v>
      </c>
      <c r="C1635" s="275">
        <v>43075.0</v>
      </c>
      <c r="D1635" s="24" t="str">
        <f t="shared" si="109"/>
        <v>Dec-2017</v>
      </c>
      <c r="E1635" s="24" t="s">
        <v>20</v>
      </c>
      <c r="F1635" s="24" t="s">
        <v>35</v>
      </c>
      <c r="G1635" s="23" t="s">
        <v>112</v>
      </c>
      <c r="H1635" s="24" t="s">
        <v>86</v>
      </c>
      <c r="I1635" s="24" t="s">
        <v>9</v>
      </c>
      <c r="J1635" s="24" t="s">
        <v>24</v>
      </c>
      <c r="K1635" s="24" t="s">
        <v>24</v>
      </c>
      <c r="L1635" s="24" t="s">
        <v>69</v>
      </c>
    </row>
    <row r="1636">
      <c r="A1636" s="24">
        <f t="shared" si="1"/>
        <v>1634</v>
      </c>
      <c r="B1636" s="24" t="s">
        <v>702</v>
      </c>
      <c r="C1636" s="275">
        <v>43075.0</v>
      </c>
      <c r="D1636" s="24" t="str">
        <f t="shared" si="109"/>
        <v>Dec-2017</v>
      </c>
      <c r="E1636" s="24" t="s">
        <v>25</v>
      </c>
      <c r="F1636" s="24" t="s">
        <v>35</v>
      </c>
      <c r="G1636" s="23" t="s">
        <v>112</v>
      </c>
      <c r="H1636" s="24" t="s">
        <v>86</v>
      </c>
      <c r="I1636" s="24" t="s">
        <v>9</v>
      </c>
      <c r="J1636" s="24" t="s">
        <v>24</v>
      </c>
      <c r="K1636" s="24"/>
      <c r="L1636" s="24" t="s">
        <v>29</v>
      </c>
    </row>
    <row r="1637">
      <c r="A1637" s="24">
        <f t="shared" si="1"/>
        <v>1635</v>
      </c>
      <c r="B1637" s="24" t="s">
        <v>708</v>
      </c>
      <c r="C1637" s="275">
        <v>43081.0</v>
      </c>
      <c r="D1637" s="24" t="str">
        <f t="shared" ref="D1637:D1644" si="110">TEXT(C1630:C1637, "mmm") &amp; "-" &amp; TEXT(C1630:C1637, "yyyy") </f>
        <v>Dec-2017</v>
      </c>
      <c r="E1637" s="24" t="s">
        <v>20</v>
      </c>
      <c r="F1637" s="24" t="s">
        <v>35</v>
      </c>
      <c r="G1637" s="23" t="s">
        <v>360</v>
      </c>
      <c r="H1637" s="24" t="s">
        <v>216</v>
      </c>
      <c r="I1637" s="24" t="s">
        <v>9</v>
      </c>
      <c r="J1637" s="24" t="s">
        <v>30</v>
      </c>
      <c r="K1637" s="24" t="s">
        <v>30</v>
      </c>
      <c r="L1637" s="24" t="s">
        <v>37</v>
      </c>
    </row>
    <row r="1638">
      <c r="A1638" s="24">
        <f t="shared" si="1"/>
        <v>1636</v>
      </c>
      <c r="B1638" s="24" t="s">
        <v>708</v>
      </c>
      <c r="C1638" s="275">
        <v>43081.0</v>
      </c>
      <c r="D1638" s="24" t="str">
        <f t="shared" si="110"/>
        <v>Dec-2017</v>
      </c>
      <c r="E1638" s="24" t="s">
        <v>25</v>
      </c>
      <c r="F1638" s="24" t="s">
        <v>35</v>
      </c>
      <c r="G1638" s="23" t="s">
        <v>360</v>
      </c>
      <c r="H1638" s="24" t="s">
        <v>216</v>
      </c>
      <c r="I1638" s="24" t="s">
        <v>9</v>
      </c>
      <c r="J1638" s="24" t="s">
        <v>30</v>
      </c>
      <c r="K1638" s="24"/>
      <c r="L1638" s="24" t="s">
        <v>99</v>
      </c>
    </row>
    <row r="1639">
      <c r="A1639" s="24">
        <f t="shared" si="1"/>
        <v>1637</v>
      </c>
      <c r="B1639" s="24" t="s">
        <v>708</v>
      </c>
      <c r="C1639" s="275">
        <v>43081.0</v>
      </c>
      <c r="D1639" s="24" t="str">
        <f t="shared" si="110"/>
        <v>Dec-2017</v>
      </c>
      <c r="E1639" s="24" t="s">
        <v>20</v>
      </c>
      <c r="F1639" s="24" t="s">
        <v>35</v>
      </c>
      <c r="G1639" s="23" t="s">
        <v>501</v>
      </c>
      <c r="H1639" s="24" t="s">
        <v>102</v>
      </c>
      <c r="I1639" s="24" t="s">
        <v>9</v>
      </c>
      <c r="J1639" s="24" t="s">
        <v>24</v>
      </c>
      <c r="K1639" s="24" t="s">
        <v>24</v>
      </c>
      <c r="L1639" s="24" t="s">
        <v>98</v>
      </c>
    </row>
    <row r="1640">
      <c r="A1640" s="24">
        <f t="shared" si="1"/>
        <v>1638</v>
      </c>
      <c r="B1640" s="24" t="s">
        <v>708</v>
      </c>
      <c r="C1640" s="275">
        <v>43081.0</v>
      </c>
      <c r="D1640" s="24" t="str">
        <f t="shared" si="110"/>
        <v>Dec-2017</v>
      </c>
      <c r="E1640" s="24" t="s">
        <v>25</v>
      </c>
      <c r="F1640" s="24" t="s">
        <v>35</v>
      </c>
      <c r="G1640" s="23" t="s">
        <v>501</v>
      </c>
      <c r="H1640" s="24" t="s">
        <v>102</v>
      </c>
      <c r="I1640" s="24" t="s">
        <v>9</v>
      </c>
      <c r="J1640" s="24" t="s">
        <v>24</v>
      </c>
      <c r="K1640" s="24"/>
      <c r="L1640" s="24" t="s">
        <v>106</v>
      </c>
    </row>
    <row r="1641">
      <c r="A1641" s="24">
        <f t="shared" si="1"/>
        <v>1639</v>
      </c>
      <c r="B1641" s="24" t="s">
        <v>708</v>
      </c>
      <c r="C1641" s="275">
        <v>43081.0</v>
      </c>
      <c r="D1641" s="24" t="str">
        <f t="shared" si="110"/>
        <v>Dec-2017</v>
      </c>
      <c r="E1641" s="24" t="s">
        <v>20</v>
      </c>
      <c r="F1641" s="24" t="s">
        <v>35</v>
      </c>
      <c r="G1641" s="23" t="s">
        <v>449</v>
      </c>
      <c r="H1641" s="24" t="s">
        <v>86</v>
      </c>
      <c r="I1641" s="24" t="s">
        <v>9</v>
      </c>
      <c r="J1641" s="24" t="s">
        <v>24</v>
      </c>
      <c r="K1641" s="24" t="s">
        <v>24</v>
      </c>
      <c r="L1641" s="24" t="s">
        <v>69</v>
      </c>
    </row>
    <row r="1642">
      <c r="A1642" s="24">
        <f t="shared" si="1"/>
        <v>1640</v>
      </c>
      <c r="B1642" s="24" t="s">
        <v>708</v>
      </c>
      <c r="C1642" s="275">
        <v>43081.0</v>
      </c>
      <c r="D1642" s="24" t="str">
        <f t="shared" si="110"/>
        <v>Dec-2017</v>
      </c>
      <c r="E1642" s="24" t="s">
        <v>25</v>
      </c>
      <c r="F1642" s="24" t="s">
        <v>35</v>
      </c>
      <c r="G1642" s="23" t="s">
        <v>449</v>
      </c>
      <c r="H1642" s="24" t="s">
        <v>86</v>
      </c>
      <c r="I1642" s="24" t="s">
        <v>9</v>
      </c>
      <c r="J1642" s="24" t="s">
        <v>24</v>
      </c>
      <c r="K1642" s="24"/>
      <c r="L1642" s="24" t="s">
        <v>29</v>
      </c>
    </row>
    <row r="1643">
      <c r="A1643" s="24">
        <f t="shared" si="1"/>
        <v>1641</v>
      </c>
      <c r="B1643" s="24" t="s">
        <v>708</v>
      </c>
      <c r="C1643" s="275">
        <v>43081.0</v>
      </c>
      <c r="D1643" s="24" t="str">
        <f t="shared" si="110"/>
        <v>Dec-2017</v>
      </c>
      <c r="E1643" s="24" t="s">
        <v>20</v>
      </c>
      <c r="F1643" s="24" t="s">
        <v>278</v>
      </c>
      <c r="G1643" s="23" t="s">
        <v>634</v>
      </c>
      <c r="H1643" s="24" t="s">
        <v>97</v>
      </c>
      <c r="I1643" s="24" t="s">
        <v>9</v>
      </c>
      <c r="J1643" s="24" t="s">
        <v>30</v>
      </c>
      <c r="K1643" s="24" t="s">
        <v>30</v>
      </c>
      <c r="L1643" s="24" t="s">
        <v>98</v>
      </c>
    </row>
    <row r="1644">
      <c r="A1644" s="24">
        <f t="shared" si="1"/>
        <v>1642</v>
      </c>
      <c r="B1644" s="24" t="s">
        <v>708</v>
      </c>
      <c r="C1644" s="275">
        <v>43081.0</v>
      </c>
      <c r="D1644" s="24" t="str">
        <f t="shared" si="110"/>
        <v>Dec-2017</v>
      </c>
      <c r="E1644" s="24" t="s">
        <v>25</v>
      </c>
      <c r="F1644" s="24" t="s">
        <v>278</v>
      </c>
      <c r="G1644" s="23" t="s">
        <v>634</v>
      </c>
      <c r="H1644" s="24" t="s">
        <v>97</v>
      </c>
      <c r="I1644" s="24" t="s">
        <v>9</v>
      </c>
      <c r="J1644" s="24" t="s">
        <v>30</v>
      </c>
      <c r="K1644" s="24"/>
      <c r="L1644" s="24" t="s">
        <v>69</v>
      </c>
    </row>
    <row r="1645">
      <c r="A1645" s="24">
        <f t="shared" si="1"/>
        <v>1643</v>
      </c>
      <c r="B1645" s="24" t="s">
        <v>708</v>
      </c>
      <c r="C1645" s="275">
        <v>43081.0</v>
      </c>
      <c r="D1645" s="24" t="str">
        <f t="shared" ref="D1645:D1648" si="111">TEXT(C1637:C1645, "mmm") &amp; "-" &amp; TEXT(C1637:C1645, "yyyy") </f>
        <v>Dec-2017</v>
      </c>
      <c r="E1645" s="24" t="s">
        <v>20</v>
      </c>
      <c r="F1645" s="24" t="s">
        <v>278</v>
      </c>
      <c r="G1645" s="23" t="s">
        <v>409</v>
      </c>
      <c r="H1645" s="24" t="s">
        <v>27</v>
      </c>
      <c r="I1645" s="24" t="s">
        <v>9</v>
      </c>
      <c r="J1645" s="24" t="s">
        <v>30</v>
      </c>
      <c r="K1645" s="24" t="s">
        <v>30</v>
      </c>
      <c r="L1645" s="24" t="s">
        <v>69</v>
      </c>
    </row>
    <row r="1646">
      <c r="A1646" s="24">
        <f t="shared" si="1"/>
        <v>1644</v>
      </c>
      <c r="B1646" s="24" t="s">
        <v>708</v>
      </c>
      <c r="C1646" s="275">
        <v>43081.0</v>
      </c>
      <c r="D1646" s="24" t="str">
        <f t="shared" si="111"/>
        <v>Dec-2017</v>
      </c>
      <c r="E1646" s="24" t="s">
        <v>25</v>
      </c>
      <c r="F1646" s="24" t="s">
        <v>278</v>
      </c>
      <c r="G1646" s="23" t="s">
        <v>409</v>
      </c>
      <c r="H1646" s="24" t="s">
        <v>27</v>
      </c>
      <c r="I1646" s="24" t="s">
        <v>9</v>
      </c>
      <c r="J1646" s="24" t="s">
        <v>30</v>
      </c>
      <c r="K1646" s="24"/>
      <c r="L1646" s="24" t="s">
        <v>99</v>
      </c>
    </row>
    <row r="1647">
      <c r="A1647" s="24">
        <f t="shared" si="1"/>
        <v>1645</v>
      </c>
      <c r="B1647" s="24" t="s">
        <v>708</v>
      </c>
      <c r="C1647" s="275">
        <v>43081.0</v>
      </c>
      <c r="D1647" s="24" t="str">
        <f t="shared" si="111"/>
        <v>Dec-2017</v>
      </c>
      <c r="E1647" s="24" t="s">
        <v>20</v>
      </c>
      <c r="F1647" s="24" t="s">
        <v>278</v>
      </c>
      <c r="G1647" s="23" t="s">
        <v>361</v>
      </c>
      <c r="H1647" s="24" t="s">
        <v>44</v>
      </c>
      <c r="I1647" s="24" t="s">
        <v>9</v>
      </c>
      <c r="J1647" s="24" t="s">
        <v>24</v>
      </c>
      <c r="K1647" s="24" t="s">
        <v>24</v>
      </c>
      <c r="L1647" s="24" t="s">
        <v>69</v>
      </c>
    </row>
    <row r="1648">
      <c r="A1648" s="24">
        <f t="shared" si="1"/>
        <v>1646</v>
      </c>
      <c r="B1648" s="24" t="s">
        <v>708</v>
      </c>
      <c r="C1648" s="275">
        <v>43081.0</v>
      </c>
      <c r="D1648" s="24" t="str">
        <f t="shared" si="111"/>
        <v>Dec-2017</v>
      </c>
      <c r="E1648" s="24" t="s">
        <v>25</v>
      </c>
      <c r="F1648" s="24" t="s">
        <v>278</v>
      </c>
      <c r="G1648" s="23" t="s">
        <v>361</v>
      </c>
      <c r="H1648" s="24" t="s">
        <v>44</v>
      </c>
      <c r="I1648" s="24" t="s">
        <v>9</v>
      </c>
      <c r="J1648" s="24" t="s">
        <v>24</v>
      </c>
      <c r="K1648" s="24"/>
      <c r="L1648" s="24" t="s">
        <v>106</v>
      </c>
    </row>
    <row r="1649">
      <c r="A1649" s="24">
        <f t="shared" si="1"/>
        <v>1647</v>
      </c>
      <c r="B1649" s="24" t="s">
        <v>710</v>
      </c>
      <c r="C1649" s="275">
        <v>43098.0</v>
      </c>
      <c r="D1649" s="24" t="str">
        <f t="shared" ref="D1649:D1656" si="112">TEXT(C1642:C1649, "mmm") &amp; "-" &amp; TEXT(C1642:C1649, "yyyy") </f>
        <v>Dec-2017</v>
      </c>
      <c r="E1649" s="24" t="s">
        <v>20</v>
      </c>
      <c r="F1649" s="24" t="s">
        <v>35</v>
      </c>
      <c r="G1649" s="23" t="s">
        <v>133</v>
      </c>
      <c r="H1649" s="24" t="s">
        <v>86</v>
      </c>
      <c r="I1649" s="24" t="s">
        <v>9</v>
      </c>
      <c r="J1649" s="24" t="s">
        <v>30</v>
      </c>
      <c r="K1649" s="24" t="s">
        <v>30</v>
      </c>
      <c r="L1649" s="24" t="s">
        <v>29</v>
      </c>
    </row>
    <row r="1650">
      <c r="A1650" s="24">
        <f t="shared" si="1"/>
        <v>1648</v>
      </c>
      <c r="B1650" s="24" t="s">
        <v>710</v>
      </c>
      <c r="C1650" s="275">
        <v>43098.0</v>
      </c>
      <c r="D1650" s="24" t="str">
        <f t="shared" si="112"/>
        <v>Dec-2017</v>
      </c>
      <c r="E1650" s="24" t="s">
        <v>25</v>
      </c>
      <c r="F1650" s="24" t="s">
        <v>35</v>
      </c>
      <c r="G1650" s="23" t="s">
        <v>133</v>
      </c>
      <c r="H1650" s="24" t="s">
        <v>86</v>
      </c>
      <c r="I1650" s="24" t="s">
        <v>9</v>
      </c>
      <c r="J1650" s="24" t="s">
        <v>30</v>
      </c>
      <c r="K1650" s="24"/>
      <c r="L1650" s="24" t="s">
        <v>98</v>
      </c>
    </row>
    <row r="1651">
      <c r="A1651" s="24">
        <f t="shared" si="1"/>
        <v>1649</v>
      </c>
      <c r="B1651" s="24" t="s">
        <v>710</v>
      </c>
      <c r="C1651" s="275">
        <v>43098.0</v>
      </c>
      <c r="D1651" s="24" t="str">
        <f t="shared" si="112"/>
        <v>Dec-2017</v>
      </c>
      <c r="E1651" s="24" t="s">
        <v>20</v>
      </c>
      <c r="F1651" s="24" t="s">
        <v>35</v>
      </c>
      <c r="G1651" s="23" t="s">
        <v>194</v>
      </c>
      <c r="H1651" s="24" t="s">
        <v>23</v>
      </c>
      <c r="I1651" s="24" t="s">
        <v>9</v>
      </c>
      <c r="J1651" s="24" t="s">
        <v>24</v>
      </c>
      <c r="K1651" s="24" t="s">
        <v>24</v>
      </c>
      <c r="L1651" s="24" t="s">
        <v>37</v>
      </c>
    </row>
    <row r="1652">
      <c r="A1652" s="24">
        <f t="shared" si="1"/>
        <v>1650</v>
      </c>
      <c r="B1652" s="24" t="s">
        <v>710</v>
      </c>
      <c r="C1652" s="275">
        <v>43098.0</v>
      </c>
      <c r="D1652" s="24" t="str">
        <f t="shared" si="112"/>
        <v>Dec-2017</v>
      </c>
      <c r="E1652" s="24" t="s">
        <v>25</v>
      </c>
      <c r="F1652" s="24" t="s">
        <v>35</v>
      </c>
      <c r="G1652" s="23" t="s">
        <v>194</v>
      </c>
      <c r="H1652" s="24" t="s">
        <v>23</v>
      </c>
      <c r="I1652" s="24" t="s">
        <v>9</v>
      </c>
      <c r="J1652" s="24" t="s">
        <v>24</v>
      </c>
      <c r="K1652" s="24"/>
      <c r="L1652" s="24" t="s">
        <v>29</v>
      </c>
    </row>
    <row r="1653">
      <c r="A1653" s="24">
        <f t="shared" si="1"/>
        <v>1651</v>
      </c>
      <c r="B1653" s="24" t="s">
        <v>710</v>
      </c>
      <c r="C1653" s="275">
        <v>43098.0</v>
      </c>
      <c r="D1653" s="24" t="str">
        <f t="shared" si="112"/>
        <v>Dec-2017</v>
      </c>
      <c r="E1653" s="24" t="s">
        <v>20</v>
      </c>
      <c r="F1653" s="24" t="s">
        <v>35</v>
      </c>
      <c r="G1653" s="23" t="s">
        <v>165</v>
      </c>
      <c r="H1653" s="24" t="s">
        <v>9</v>
      </c>
      <c r="I1653" s="24" t="s">
        <v>9</v>
      </c>
      <c r="J1653" s="24" t="s">
        <v>30</v>
      </c>
      <c r="K1653" s="24" t="s">
        <v>30</v>
      </c>
      <c r="L1653" s="24" t="s">
        <v>69</v>
      </c>
    </row>
    <row r="1654">
      <c r="A1654" s="24">
        <f t="shared" si="1"/>
        <v>1652</v>
      </c>
      <c r="B1654" s="24" t="s">
        <v>710</v>
      </c>
      <c r="C1654" s="275">
        <v>43098.0</v>
      </c>
      <c r="D1654" s="24" t="str">
        <f t="shared" si="112"/>
        <v>Dec-2017</v>
      </c>
      <c r="E1654" s="24" t="s">
        <v>25</v>
      </c>
      <c r="F1654" s="24" t="s">
        <v>35</v>
      </c>
      <c r="G1654" s="23" t="s">
        <v>165</v>
      </c>
      <c r="H1654" s="24" t="s">
        <v>9</v>
      </c>
      <c r="I1654" s="24" t="s">
        <v>9</v>
      </c>
      <c r="J1654" s="24" t="s">
        <v>24</v>
      </c>
      <c r="K1654" s="24"/>
      <c r="L1654" s="24" t="s">
        <v>106</v>
      </c>
    </row>
    <row r="1655">
      <c r="A1655" s="24">
        <f t="shared" si="1"/>
        <v>1653</v>
      </c>
      <c r="B1655" s="24" t="s">
        <v>710</v>
      </c>
      <c r="C1655" s="275">
        <v>43098.0</v>
      </c>
      <c r="D1655" s="24" t="str">
        <f t="shared" si="112"/>
        <v>Dec-2017</v>
      </c>
      <c r="E1655" s="24" t="s">
        <v>32</v>
      </c>
      <c r="F1655" s="24" t="s">
        <v>35</v>
      </c>
      <c r="G1655" s="23" t="s">
        <v>165</v>
      </c>
      <c r="H1655" s="24" t="s">
        <v>9</v>
      </c>
      <c r="I1655" s="24" t="s">
        <v>9</v>
      </c>
      <c r="J1655" s="24" t="s">
        <v>30</v>
      </c>
      <c r="K1655" s="24"/>
      <c r="L1655" s="24" t="s">
        <v>29</v>
      </c>
    </row>
    <row r="1656">
      <c r="A1656" s="24">
        <f t="shared" si="1"/>
        <v>1654</v>
      </c>
      <c r="B1656" s="24" t="s">
        <v>710</v>
      </c>
      <c r="C1656" s="275">
        <v>43098.0</v>
      </c>
      <c r="D1656" s="24" t="str">
        <f t="shared" si="112"/>
        <v>Dec-2017</v>
      </c>
      <c r="E1656" s="24" t="s">
        <v>146</v>
      </c>
      <c r="F1656" s="24" t="s">
        <v>35</v>
      </c>
      <c r="G1656" s="23" t="s">
        <v>714</v>
      </c>
      <c r="H1656" s="24" t="s">
        <v>216</v>
      </c>
      <c r="I1656" s="24" t="s">
        <v>9</v>
      </c>
      <c r="J1656" s="24" t="s">
        <v>30</v>
      </c>
      <c r="K1656" s="24" t="s">
        <v>30</v>
      </c>
      <c r="L1656" s="24" t="s">
        <v>37</v>
      </c>
    </row>
    <row r="1657">
      <c r="A1657" s="24">
        <f t="shared" si="1"/>
        <v>1655</v>
      </c>
      <c r="B1657" s="24" t="s">
        <v>710</v>
      </c>
      <c r="C1657" s="275">
        <v>43098.0</v>
      </c>
      <c r="D1657" s="24" t="str">
        <f t="shared" ref="D1657:D1661" si="113">TEXT(C1649:C1657, "mmm") &amp; "-" &amp; TEXT(C1649:C1657, "yyyy") </f>
        <v>Dec-2017</v>
      </c>
      <c r="E1657" s="24" t="s">
        <v>149</v>
      </c>
      <c r="F1657" s="24" t="s">
        <v>35</v>
      </c>
      <c r="G1657" s="23" t="s">
        <v>714</v>
      </c>
      <c r="H1657" s="24" t="s">
        <v>216</v>
      </c>
      <c r="I1657" s="24" t="s">
        <v>9</v>
      </c>
      <c r="J1657" s="24" t="s">
        <v>30</v>
      </c>
      <c r="K1657" s="24"/>
      <c r="L1657" s="24" t="s">
        <v>29</v>
      </c>
    </row>
    <row r="1658">
      <c r="A1658" s="24">
        <f t="shared" si="1"/>
        <v>1656</v>
      </c>
      <c r="B1658" s="24" t="s">
        <v>710</v>
      </c>
      <c r="C1658" s="275">
        <v>43098.0</v>
      </c>
      <c r="D1658" s="24" t="str">
        <f t="shared" si="113"/>
        <v>Dec-2017</v>
      </c>
      <c r="E1658" s="24" t="s">
        <v>222</v>
      </c>
      <c r="F1658" s="24" t="s">
        <v>35</v>
      </c>
      <c r="G1658" s="23" t="s">
        <v>714</v>
      </c>
      <c r="H1658" s="24" t="s">
        <v>44</v>
      </c>
      <c r="I1658" s="24" t="s">
        <v>9</v>
      </c>
      <c r="J1658" s="24" t="s">
        <v>30</v>
      </c>
      <c r="K1658" s="24"/>
      <c r="L1658" s="24" t="s">
        <v>106</v>
      </c>
    </row>
    <row r="1659">
      <c r="A1659" s="24">
        <f t="shared" si="1"/>
        <v>1657</v>
      </c>
      <c r="B1659" s="24" t="s">
        <v>710</v>
      </c>
      <c r="C1659" s="275">
        <v>43098.0</v>
      </c>
      <c r="D1659" s="24" t="str">
        <f t="shared" si="113"/>
        <v>Dec-2017</v>
      </c>
      <c r="E1659" s="24" t="s">
        <v>146</v>
      </c>
      <c r="F1659" s="24" t="s">
        <v>35</v>
      </c>
      <c r="G1659" s="23" t="s">
        <v>394</v>
      </c>
      <c r="H1659" s="24" t="s">
        <v>27</v>
      </c>
      <c r="I1659" s="24" t="s">
        <v>9</v>
      </c>
      <c r="J1659" s="24" t="s">
        <v>24</v>
      </c>
      <c r="K1659" s="24" t="s">
        <v>24</v>
      </c>
      <c r="L1659" s="24" t="s">
        <v>69</v>
      </c>
    </row>
    <row r="1660">
      <c r="A1660" s="24">
        <f t="shared" si="1"/>
        <v>1658</v>
      </c>
      <c r="B1660" s="24" t="s">
        <v>710</v>
      </c>
      <c r="C1660" s="275">
        <v>43098.0</v>
      </c>
      <c r="D1660" s="24" t="str">
        <f t="shared" si="113"/>
        <v>Dec-2017</v>
      </c>
      <c r="E1660" s="24" t="s">
        <v>149</v>
      </c>
      <c r="F1660" s="24" t="s">
        <v>35</v>
      </c>
      <c r="G1660" s="23" t="s">
        <v>394</v>
      </c>
      <c r="H1660" s="24" t="s">
        <v>27</v>
      </c>
      <c r="I1660" s="24" t="s">
        <v>9</v>
      </c>
      <c r="J1660" s="24" t="s">
        <v>24</v>
      </c>
      <c r="K1660" s="24"/>
      <c r="L1660" s="24" t="s">
        <v>98</v>
      </c>
    </row>
    <row r="1661">
      <c r="A1661" s="24">
        <f t="shared" si="1"/>
        <v>1659</v>
      </c>
      <c r="B1661" s="24" t="s">
        <v>710</v>
      </c>
      <c r="C1661" s="275">
        <v>43098.0</v>
      </c>
      <c r="D1661" s="24" t="str">
        <f t="shared" si="113"/>
        <v>Dec-2017</v>
      </c>
      <c r="E1661" s="24" t="s">
        <v>222</v>
      </c>
      <c r="F1661" s="24" t="s">
        <v>35</v>
      </c>
      <c r="G1661" s="23" t="s">
        <v>394</v>
      </c>
      <c r="H1661" s="24" t="s">
        <v>27</v>
      </c>
      <c r="I1661" s="24" t="s">
        <v>9</v>
      </c>
      <c r="J1661" s="24" t="s">
        <v>24</v>
      </c>
      <c r="K1661" s="24"/>
      <c r="L1661" s="24" t="s">
        <v>106</v>
      </c>
    </row>
    <row r="1662">
      <c r="A1662" s="24">
        <f t="shared" si="1"/>
        <v>1660</v>
      </c>
      <c r="B1662" s="24" t="s">
        <v>715</v>
      </c>
      <c r="C1662" s="275">
        <v>43099.0</v>
      </c>
      <c r="D1662" s="24" t="str">
        <f t="shared" ref="D1662:D1677" si="114">TEXT(C1655:C1662, "mmm") &amp; "-" &amp; TEXT(C1655:C1662, "yyyy") </f>
        <v>Dec-2017</v>
      </c>
      <c r="E1662" s="24" t="s">
        <v>20</v>
      </c>
      <c r="F1662" s="24" t="s">
        <v>35</v>
      </c>
      <c r="G1662" s="23" t="s">
        <v>716</v>
      </c>
      <c r="H1662" s="24" t="s">
        <v>9</v>
      </c>
      <c r="I1662" s="24" t="s">
        <v>9</v>
      </c>
      <c r="J1662" s="24" t="s">
        <v>717</v>
      </c>
      <c r="K1662" s="24" t="s">
        <v>717</v>
      </c>
      <c r="L1662" s="24" t="s">
        <v>69</v>
      </c>
    </row>
    <row r="1663">
      <c r="A1663" s="24">
        <f t="shared" si="1"/>
        <v>1661</v>
      </c>
      <c r="B1663" s="24" t="s">
        <v>715</v>
      </c>
      <c r="C1663" s="275">
        <v>43099.0</v>
      </c>
      <c r="D1663" s="24" t="str">
        <f t="shared" si="114"/>
        <v>Dec-2017</v>
      </c>
      <c r="E1663" s="24" t="s">
        <v>25</v>
      </c>
      <c r="F1663" s="24" t="s">
        <v>35</v>
      </c>
      <c r="G1663" s="23" t="s">
        <v>716</v>
      </c>
      <c r="H1663" s="24" t="s">
        <v>9</v>
      </c>
      <c r="I1663" s="24" t="s">
        <v>9</v>
      </c>
      <c r="J1663" s="24" t="s">
        <v>719</v>
      </c>
      <c r="K1663" s="24"/>
      <c r="L1663" s="24" t="s">
        <v>106</v>
      </c>
    </row>
    <row r="1664">
      <c r="A1664" s="24">
        <f t="shared" si="1"/>
        <v>1662</v>
      </c>
      <c r="B1664" s="24" t="s">
        <v>715</v>
      </c>
      <c r="C1664" s="275">
        <v>43099.0</v>
      </c>
      <c r="D1664" s="24" t="str">
        <f t="shared" si="114"/>
        <v>Dec-2017</v>
      </c>
      <c r="E1664" s="24" t="s">
        <v>32</v>
      </c>
      <c r="F1664" s="24" t="s">
        <v>35</v>
      </c>
      <c r="G1664" s="23" t="s">
        <v>716</v>
      </c>
      <c r="H1664" s="24" t="s">
        <v>9</v>
      </c>
      <c r="I1664" s="24" t="s">
        <v>9</v>
      </c>
      <c r="J1664" s="24" t="s">
        <v>717</v>
      </c>
      <c r="K1664" s="24"/>
      <c r="L1664" s="24" t="s">
        <v>29</v>
      </c>
    </row>
    <row r="1665">
      <c r="A1665" s="24">
        <f t="shared" si="1"/>
        <v>1663</v>
      </c>
      <c r="B1665" s="24" t="s">
        <v>715</v>
      </c>
      <c r="C1665" s="275">
        <v>43099.0</v>
      </c>
      <c r="D1665" s="24" t="str">
        <f t="shared" si="114"/>
        <v>Dec-2017</v>
      </c>
      <c r="E1665" s="24" t="s">
        <v>20</v>
      </c>
      <c r="F1665" s="24" t="s">
        <v>35</v>
      </c>
      <c r="G1665" s="23" t="s">
        <v>721</v>
      </c>
      <c r="H1665" s="24" t="s">
        <v>9</v>
      </c>
      <c r="I1665" s="24" t="s">
        <v>9</v>
      </c>
      <c r="J1665" s="24" t="s">
        <v>719</v>
      </c>
      <c r="K1665" s="24" t="s">
        <v>719</v>
      </c>
      <c r="L1665" s="24" t="s">
        <v>98</v>
      </c>
    </row>
    <row r="1666">
      <c r="A1666" s="24">
        <f t="shared" si="1"/>
        <v>1664</v>
      </c>
      <c r="B1666" s="24" t="s">
        <v>715</v>
      </c>
      <c r="C1666" s="275">
        <v>43099.0</v>
      </c>
      <c r="D1666" s="24" t="str">
        <f t="shared" si="114"/>
        <v>Dec-2017</v>
      </c>
      <c r="E1666" s="24" t="s">
        <v>25</v>
      </c>
      <c r="F1666" s="24" t="s">
        <v>35</v>
      </c>
      <c r="G1666" s="23" t="s">
        <v>721</v>
      </c>
      <c r="H1666" s="24" t="s">
        <v>9</v>
      </c>
      <c r="I1666" s="24" t="s">
        <v>9</v>
      </c>
      <c r="J1666" s="24" t="s">
        <v>719</v>
      </c>
      <c r="K1666" s="24"/>
      <c r="L1666" s="24" t="s">
        <v>99</v>
      </c>
    </row>
    <row r="1667">
      <c r="A1667" s="24">
        <f t="shared" si="1"/>
        <v>1665</v>
      </c>
      <c r="B1667" s="24" t="s">
        <v>715</v>
      </c>
      <c r="C1667" s="275">
        <v>43099.0</v>
      </c>
      <c r="D1667" s="24" t="str">
        <f t="shared" si="114"/>
        <v>Dec-2017</v>
      </c>
      <c r="E1667" s="24" t="s">
        <v>20</v>
      </c>
      <c r="F1667" s="24" t="s">
        <v>35</v>
      </c>
      <c r="G1667" s="23" t="s">
        <v>364</v>
      </c>
      <c r="H1667" s="24" t="s">
        <v>9</v>
      </c>
      <c r="I1667" s="24" t="s">
        <v>27</v>
      </c>
      <c r="J1667" s="24" t="s">
        <v>717</v>
      </c>
      <c r="K1667" s="24" t="s">
        <v>717</v>
      </c>
      <c r="L1667" s="24" t="s">
        <v>69</v>
      </c>
    </row>
    <row r="1668">
      <c r="A1668" s="24">
        <f t="shared" si="1"/>
        <v>1666</v>
      </c>
      <c r="B1668" s="24" t="s">
        <v>715</v>
      </c>
      <c r="C1668" s="275">
        <v>43099.0</v>
      </c>
      <c r="D1668" s="24" t="str">
        <f t="shared" si="114"/>
        <v>Dec-2017</v>
      </c>
      <c r="E1668" s="24" t="s">
        <v>25</v>
      </c>
      <c r="F1668" s="24" t="s">
        <v>35</v>
      </c>
      <c r="G1668" s="23" t="s">
        <v>364</v>
      </c>
      <c r="H1668" s="24" t="s">
        <v>9</v>
      </c>
      <c r="I1668" s="24" t="s">
        <v>27</v>
      </c>
      <c r="J1668" s="24" t="s">
        <v>719</v>
      </c>
      <c r="K1668" s="24"/>
      <c r="L1668" s="24" t="s">
        <v>106</v>
      </c>
    </row>
    <row r="1669">
      <c r="A1669" s="24">
        <f t="shared" si="1"/>
        <v>1667</v>
      </c>
      <c r="B1669" s="24" t="s">
        <v>715</v>
      </c>
      <c r="C1669" s="275">
        <v>43099.0</v>
      </c>
      <c r="D1669" s="24" t="str">
        <f t="shared" si="114"/>
        <v>Dec-2017</v>
      </c>
      <c r="E1669" s="24" t="s">
        <v>32</v>
      </c>
      <c r="F1669" s="24" t="s">
        <v>35</v>
      </c>
      <c r="G1669" s="23" t="s">
        <v>364</v>
      </c>
      <c r="H1669" s="24" t="s">
        <v>9</v>
      </c>
      <c r="I1669" s="24" t="s">
        <v>27</v>
      </c>
      <c r="J1669" s="24" t="s">
        <v>717</v>
      </c>
      <c r="K1669" s="24"/>
      <c r="L1669" s="24" t="s">
        <v>29</v>
      </c>
    </row>
    <row r="1670">
      <c r="A1670" s="24">
        <f t="shared" si="1"/>
        <v>1668</v>
      </c>
      <c r="B1670" s="24" t="s">
        <v>725</v>
      </c>
      <c r="C1670" s="275">
        <v>43106.0</v>
      </c>
      <c r="D1670" s="24" t="str">
        <f t="shared" si="114"/>
        <v>Jan-2018</v>
      </c>
      <c r="E1670" s="24" t="s">
        <v>20</v>
      </c>
      <c r="F1670" s="24" t="s">
        <v>273</v>
      </c>
      <c r="G1670" s="23" t="s">
        <v>726</v>
      </c>
      <c r="H1670" s="24" t="s">
        <v>216</v>
      </c>
      <c r="I1670" s="24" t="s">
        <v>9</v>
      </c>
      <c r="J1670" s="24" t="s">
        <v>30</v>
      </c>
      <c r="K1670" s="24" t="s">
        <v>30</v>
      </c>
      <c r="L1670" s="24" t="s">
        <v>37</v>
      </c>
    </row>
    <row r="1671">
      <c r="A1671" s="24">
        <f t="shared" si="1"/>
        <v>1669</v>
      </c>
      <c r="B1671" s="24" t="s">
        <v>725</v>
      </c>
      <c r="C1671" s="275">
        <v>43106.0</v>
      </c>
      <c r="D1671" s="24" t="str">
        <f t="shared" si="114"/>
        <v>Jan-2018</v>
      </c>
      <c r="E1671" s="24" t="s">
        <v>25</v>
      </c>
      <c r="F1671" s="24" t="s">
        <v>273</v>
      </c>
      <c r="G1671" s="23" t="s">
        <v>726</v>
      </c>
      <c r="H1671" s="24" t="s">
        <v>216</v>
      </c>
      <c r="I1671" s="24" t="s">
        <v>9</v>
      </c>
      <c r="J1671" s="24" t="s">
        <v>30</v>
      </c>
      <c r="K1671" s="24"/>
      <c r="L1671" s="24" t="s">
        <v>99</v>
      </c>
    </row>
    <row r="1672">
      <c r="A1672" s="24">
        <f t="shared" si="1"/>
        <v>1670</v>
      </c>
      <c r="B1672" s="24" t="s">
        <v>725</v>
      </c>
      <c r="C1672" s="275">
        <v>43106.0</v>
      </c>
      <c r="D1672" s="24" t="str">
        <f t="shared" si="114"/>
        <v>Jan-2018</v>
      </c>
      <c r="E1672" s="24" t="s">
        <v>20</v>
      </c>
      <c r="F1672" s="24" t="s">
        <v>273</v>
      </c>
      <c r="G1672" s="23" t="s">
        <v>716</v>
      </c>
      <c r="H1672" s="24" t="s">
        <v>64</v>
      </c>
      <c r="I1672" s="24" t="s">
        <v>9</v>
      </c>
      <c r="J1672" s="24" t="s">
        <v>24</v>
      </c>
      <c r="K1672" s="24" t="s">
        <v>30</v>
      </c>
      <c r="L1672" s="24" t="s">
        <v>98</v>
      </c>
    </row>
    <row r="1673">
      <c r="A1673" s="24">
        <f t="shared" si="1"/>
        <v>1671</v>
      </c>
      <c r="B1673" s="24" t="s">
        <v>725</v>
      </c>
      <c r="C1673" s="275">
        <v>43106.0</v>
      </c>
      <c r="D1673" s="24" t="str">
        <f t="shared" si="114"/>
        <v>Jan-2018</v>
      </c>
      <c r="E1673" s="24" t="s">
        <v>25</v>
      </c>
      <c r="F1673" s="24" t="s">
        <v>273</v>
      </c>
      <c r="G1673" s="23" t="s">
        <v>716</v>
      </c>
      <c r="H1673" s="24" t="s">
        <v>44</v>
      </c>
      <c r="I1673" s="24" t="s">
        <v>9</v>
      </c>
      <c r="J1673" s="24" t="s">
        <v>30</v>
      </c>
      <c r="K1673" s="24"/>
      <c r="L1673" s="24" t="s">
        <v>106</v>
      </c>
    </row>
    <row r="1674">
      <c r="A1674" s="24">
        <f t="shared" si="1"/>
        <v>1672</v>
      </c>
      <c r="B1674" s="24" t="s">
        <v>725</v>
      </c>
      <c r="C1674" s="275">
        <v>43106.0</v>
      </c>
      <c r="D1674" s="24" t="str">
        <f t="shared" si="114"/>
        <v>Jan-2018</v>
      </c>
      <c r="E1674" s="24" t="s">
        <v>32</v>
      </c>
      <c r="F1674" s="24" t="s">
        <v>273</v>
      </c>
      <c r="G1674" s="23" t="s">
        <v>716</v>
      </c>
      <c r="H1674" s="24" t="s">
        <v>64</v>
      </c>
      <c r="I1674" s="24" t="s">
        <v>9</v>
      </c>
      <c r="J1674" s="24" t="s">
        <v>30</v>
      </c>
      <c r="K1674" s="24"/>
      <c r="L1674" s="24" t="s">
        <v>99</v>
      </c>
    </row>
    <row r="1675">
      <c r="A1675" s="24">
        <f t="shared" si="1"/>
        <v>1673</v>
      </c>
      <c r="B1675" s="24" t="s">
        <v>725</v>
      </c>
      <c r="C1675" s="275">
        <v>43106.0</v>
      </c>
      <c r="D1675" s="24" t="str">
        <f t="shared" si="114"/>
        <v>Jan-2018</v>
      </c>
      <c r="E1675" s="24" t="s">
        <v>20</v>
      </c>
      <c r="F1675" s="24" t="s">
        <v>273</v>
      </c>
      <c r="G1675" s="23" t="s">
        <v>346</v>
      </c>
      <c r="H1675" s="24" t="s">
        <v>44</v>
      </c>
      <c r="I1675" s="24" t="s">
        <v>9</v>
      </c>
      <c r="J1675" s="24" t="s">
        <v>30</v>
      </c>
      <c r="K1675" s="24" t="s">
        <v>30</v>
      </c>
      <c r="L1675" s="24" t="s">
        <v>69</v>
      </c>
    </row>
    <row r="1676">
      <c r="A1676" s="24">
        <f t="shared" si="1"/>
        <v>1674</v>
      </c>
      <c r="B1676" s="24" t="s">
        <v>725</v>
      </c>
      <c r="C1676" s="275">
        <v>43106.0</v>
      </c>
      <c r="D1676" s="24" t="str">
        <f t="shared" si="114"/>
        <v>Jan-2018</v>
      </c>
      <c r="E1676" s="24" t="s">
        <v>25</v>
      </c>
      <c r="F1676" s="24" t="s">
        <v>273</v>
      </c>
      <c r="G1676" s="23" t="s">
        <v>346</v>
      </c>
      <c r="H1676" s="24" t="s">
        <v>44</v>
      </c>
      <c r="I1676" s="24" t="s">
        <v>9</v>
      </c>
      <c r="J1676" s="24" t="s">
        <v>30</v>
      </c>
      <c r="K1676" s="24"/>
      <c r="L1676" s="24" t="s">
        <v>69</v>
      </c>
    </row>
    <row r="1677">
      <c r="A1677" s="24">
        <f t="shared" si="1"/>
        <v>1675</v>
      </c>
      <c r="B1677" s="24" t="s">
        <v>725</v>
      </c>
      <c r="C1677" s="275">
        <v>43106.0</v>
      </c>
      <c r="D1677" s="24" t="str">
        <f t="shared" si="114"/>
        <v>Jan-2018</v>
      </c>
      <c r="E1677" s="24" t="s">
        <v>146</v>
      </c>
      <c r="F1677" s="24" t="s">
        <v>35</v>
      </c>
      <c r="G1677" s="23" t="s">
        <v>450</v>
      </c>
      <c r="H1677" s="24" t="s">
        <v>9</v>
      </c>
      <c r="I1677" s="24" t="s">
        <v>9</v>
      </c>
      <c r="J1677" s="24" t="s">
        <v>24</v>
      </c>
      <c r="K1677" s="24" t="s">
        <v>24</v>
      </c>
      <c r="L1677" s="24" t="s">
        <v>69</v>
      </c>
    </row>
    <row r="1678">
      <c r="A1678" s="24">
        <f t="shared" si="1"/>
        <v>1676</v>
      </c>
      <c r="B1678" s="24" t="s">
        <v>725</v>
      </c>
      <c r="C1678" s="275">
        <v>43106.0</v>
      </c>
      <c r="D1678" s="24" t="str">
        <f t="shared" ref="D1678:D1683" si="115">TEXT(C1670:C1678, "mmm") &amp; "-" &amp; TEXT(C1670:C1678, "yyyy") </f>
        <v>Jan-2018</v>
      </c>
      <c r="E1678" s="24" t="s">
        <v>149</v>
      </c>
      <c r="F1678" s="24" t="s">
        <v>35</v>
      </c>
      <c r="G1678" s="23" t="s">
        <v>450</v>
      </c>
      <c r="H1678" s="24" t="s">
        <v>9</v>
      </c>
      <c r="I1678" s="24" t="s">
        <v>9</v>
      </c>
      <c r="J1678" s="24" t="s">
        <v>24</v>
      </c>
      <c r="K1678" s="24"/>
      <c r="L1678" s="24" t="s">
        <v>106</v>
      </c>
    </row>
    <row r="1679">
      <c r="A1679" s="24">
        <f t="shared" si="1"/>
        <v>1677</v>
      </c>
      <c r="B1679" s="24" t="s">
        <v>725</v>
      </c>
      <c r="C1679" s="275">
        <v>43106.0</v>
      </c>
      <c r="D1679" s="24" t="str">
        <f t="shared" si="115"/>
        <v>Jan-2018</v>
      </c>
      <c r="E1679" s="24" t="s">
        <v>222</v>
      </c>
      <c r="F1679" s="24" t="s">
        <v>35</v>
      </c>
      <c r="G1679" s="23" t="s">
        <v>450</v>
      </c>
      <c r="H1679" s="24" t="s">
        <v>9</v>
      </c>
      <c r="I1679" s="24" t="s">
        <v>9</v>
      </c>
      <c r="J1679" s="24" t="s">
        <v>24</v>
      </c>
      <c r="K1679" s="24"/>
      <c r="L1679" s="24" t="s">
        <v>106</v>
      </c>
    </row>
    <row r="1680">
      <c r="A1680" s="24">
        <f t="shared" si="1"/>
        <v>1678</v>
      </c>
      <c r="B1680" s="24" t="s">
        <v>725</v>
      </c>
      <c r="C1680" s="275">
        <v>43106.0</v>
      </c>
      <c r="D1680" s="24" t="str">
        <f t="shared" si="115"/>
        <v>Jan-2018</v>
      </c>
      <c r="E1680" s="24" t="s">
        <v>146</v>
      </c>
      <c r="F1680" s="24" t="s">
        <v>35</v>
      </c>
      <c r="G1680" s="23" t="s">
        <v>364</v>
      </c>
      <c r="H1680" s="24" t="s">
        <v>86</v>
      </c>
      <c r="I1680" s="24" t="s">
        <v>9</v>
      </c>
      <c r="J1680" s="24" t="s">
        <v>30</v>
      </c>
      <c r="K1680" s="24" t="s">
        <v>24</v>
      </c>
      <c r="L1680" s="24" t="s">
        <v>69</v>
      </c>
    </row>
    <row r="1681">
      <c r="A1681" s="24">
        <f t="shared" si="1"/>
        <v>1679</v>
      </c>
      <c r="B1681" s="24" t="s">
        <v>725</v>
      </c>
      <c r="C1681" s="275">
        <v>43106.0</v>
      </c>
      <c r="D1681" s="24" t="str">
        <f t="shared" si="115"/>
        <v>Jan-2018</v>
      </c>
      <c r="E1681" s="24" t="s">
        <v>149</v>
      </c>
      <c r="F1681" s="24" t="s">
        <v>35</v>
      </c>
      <c r="G1681" s="23" t="s">
        <v>364</v>
      </c>
      <c r="H1681" s="24" t="s">
        <v>86</v>
      </c>
      <c r="I1681" s="24" t="s">
        <v>9</v>
      </c>
      <c r="J1681" s="24" t="s">
        <v>24</v>
      </c>
      <c r="K1681" s="24"/>
      <c r="L1681" s="24" t="s">
        <v>98</v>
      </c>
    </row>
    <row r="1682">
      <c r="A1682" s="24">
        <f t="shared" si="1"/>
        <v>1680</v>
      </c>
      <c r="B1682" s="24" t="s">
        <v>725</v>
      </c>
      <c r="C1682" s="275">
        <v>43106.0</v>
      </c>
      <c r="D1682" s="24" t="str">
        <f t="shared" si="115"/>
        <v>Jan-2018</v>
      </c>
      <c r="E1682" s="24" t="s">
        <v>222</v>
      </c>
      <c r="F1682" s="24" t="s">
        <v>35</v>
      </c>
      <c r="G1682" s="23" t="s">
        <v>364</v>
      </c>
      <c r="H1682" s="24" t="s">
        <v>86</v>
      </c>
      <c r="I1682" s="24" t="s">
        <v>9</v>
      </c>
      <c r="J1682" s="24" t="s">
        <v>24</v>
      </c>
      <c r="K1682" s="24"/>
      <c r="L1682" s="24" t="s">
        <v>29</v>
      </c>
    </row>
    <row r="1683">
      <c r="A1683" s="24">
        <f t="shared" si="1"/>
        <v>1681</v>
      </c>
      <c r="B1683" s="24" t="s">
        <v>725</v>
      </c>
      <c r="C1683" s="275">
        <v>43106.0</v>
      </c>
      <c r="D1683" s="24" t="str">
        <f t="shared" si="115"/>
        <v>Jan-2018</v>
      </c>
      <c r="E1683" s="24" t="s">
        <v>467</v>
      </c>
      <c r="F1683" s="24" t="s">
        <v>35</v>
      </c>
      <c r="G1683" s="23" t="s">
        <v>364</v>
      </c>
      <c r="H1683" s="24" t="s">
        <v>86</v>
      </c>
      <c r="I1683" s="24" t="s">
        <v>9</v>
      </c>
      <c r="J1683" s="24" t="s">
        <v>24</v>
      </c>
      <c r="K1683" s="24"/>
      <c r="L1683" s="24" t="s">
        <v>29</v>
      </c>
    </row>
    <row r="1684">
      <c r="A1684" s="24">
        <f t="shared" si="1"/>
        <v>1682</v>
      </c>
      <c r="B1684" s="24" t="s">
        <v>730</v>
      </c>
      <c r="C1684" s="275">
        <v>43107.0</v>
      </c>
      <c r="D1684" s="24" t="str">
        <f t="shared" ref="D1684:D1691" si="116">TEXT(C1677:C1684, "mmm") &amp; "-" &amp; TEXT(C1677:C1684, "yyyy") </f>
        <v>Jan-2018</v>
      </c>
      <c r="E1684" s="24" t="s">
        <v>20</v>
      </c>
      <c r="F1684" s="24" t="s">
        <v>35</v>
      </c>
      <c r="G1684" s="23" t="s">
        <v>731</v>
      </c>
      <c r="H1684" s="24" t="s">
        <v>27</v>
      </c>
      <c r="I1684" s="24" t="s">
        <v>9</v>
      </c>
      <c r="J1684" s="24" t="s">
        <v>30</v>
      </c>
      <c r="K1684" s="24" t="s">
        <v>30</v>
      </c>
      <c r="L1684" s="24" t="s">
        <v>69</v>
      </c>
    </row>
    <row r="1685">
      <c r="A1685" s="24">
        <f t="shared" si="1"/>
        <v>1683</v>
      </c>
      <c r="B1685" s="24" t="s">
        <v>730</v>
      </c>
      <c r="C1685" s="275">
        <v>43107.0</v>
      </c>
      <c r="D1685" s="24" t="str">
        <f t="shared" si="116"/>
        <v>Jan-2018</v>
      </c>
      <c r="E1685" s="24" t="s">
        <v>25</v>
      </c>
      <c r="F1685" s="24" t="s">
        <v>35</v>
      </c>
      <c r="G1685" s="23" t="s">
        <v>731</v>
      </c>
      <c r="H1685" s="24" t="s">
        <v>23</v>
      </c>
      <c r="I1685" s="24" t="s">
        <v>9</v>
      </c>
      <c r="J1685" s="24" t="s">
        <v>30</v>
      </c>
      <c r="K1685" s="24"/>
      <c r="L1685" s="24" t="s">
        <v>37</v>
      </c>
    </row>
    <row r="1686">
      <c r="A1686" s="24">
        <f t="shared" si="1"/>
        <v>1684</v>
      </c>
      <c r="B1686" s="24" t="s">
        <v>730</v>
      </c>
      <c r="C1686" s="275">
        <v>43107.0</v>
      </c>
      <c r="D1686" s="24" t="str">
        <f t="shared" si="116"/>
        <v>Jan-2018</v>
      </c>
      <c r="E1686" s="24" t="s">
        <v>20</v>
      </c>
      <c r="F1686" s="24" t="s">
        <v>35</v>
      </c>
      <c r="G1686" s="23" t="s">
        <v>409</v>
      </c>
      <c r="H1686" s="24" t="s">
        <v>27</v>
      </c>
      <c r="I1686" s="24" t="s">
        <v>9</v>
      </c>
      <c r="J1686" s="24" t="s">
        <v>30</v>
      </c>
      <c r="K1686" s="24" t="s">
        <v>30</v>
      </c>
      <c r="L1686" s="24" t="s">
        <v>69</v>
      </c>
    </row>
    <row r="1687">
      <c r="A1687" s="24">
        <f t="shared" si="1"/>
        <v>1685</v>
      </c>
      <c r="B1687" s="24" t="s">
        <v>730</v>
      </c>
      <c r="C1687" s="275">
        <v>43107.0</v>
      </c>
      <c r="D1687" s="24" t="str">
        <f t="shared" si="116"/>
        <v>Jan-2018</v>
      </c>
      <c r="E1687" s="24" t="s">
        <v>25</v>
      </c>
      <c r="F1687" s="24" t="s">
        <v>35</v>
      </c>
      <c r="G1687" s="23" t="s">
        <v>409</v>
      </c>
      <c r="H1687" s="24" t="s">
        <v>27</v>
      </c>
      <c r="I1687" s="24" t="s">
        <v>9</v>
      </c>
      <c r="J1687" s="24" t="s">
        <v>30</v>
      </c>
      <c r="K1687" s="24"/>
      <c r="L1687" s="24" t="s">
        <v>99</v>
      </c>
    </row>
    <row r="1688">
      <c r="A1688" s="24">
        <f t="shared" si="1"/>
        <v>1686</v>
      </c>
      <c r="B1688" s="24" t="s">
        <v>730</v>
      </c>
      <c r="C1688" s="275">
        <v>43107.0</v>
      </c>
      <c r="D1688" s="24" t="str">
        <f t="shared" si="116"/>
        <v>Jan-2018</v>
      </c>
      <c r="E1688" s="24" t="s">
        <v>20</v>
      </c>
      <c r="F1688" s="24" t="s">
        <v>35</v>
      </c>
      <c r="G1688" s="23" t="s">
        <v>716</v>
      </c>
      <c r="H1688" s="24" t="s">
        <v>64</v>
      </c>
      <c r="I1688" s="24" t="s">
        <v>9</v>
      </c>
      <c r="J1688" s="24" t="s">
        <v>24</v>
      </c>
      <c r="K1688" s="24" t="s">
        <v>24</v>
      </c>
      <c r="L1688" s="24" t="s">
        <v>98</v>
      </c>
    </row>
    <row r="1689">
      <c r="A1689" s="24">
        <f t="shared" si="1"/>
        <v>1687</v>
      </c>
      <c r="B1689" s="24" t="s">
        <v>730</v>
      </c>
      <c r="C1689" s="275">
        <v>43107.0</v>
      </c>
      <c r="D1689" s="24" t="str">
        <f t="shared" si="116"/>
        <v>Jan-2018</v>
      </c>
      <c r="E1689" s="24" t="s">
        <v>25</v>
      </c>
      <c r="F1689" s="24" t="s">
        <v>35</v>
      </c>
      <c r="G1689" s="23" t="s">
        <v>716</v>
      </c>
      <c r="H1689" s="24" t="s">
        <v>9</v>
      </c>
      <c r="I1689" s="24" t="s">
        <v>9</v>
      </c>
      <c r="J1689" s="24" t="s">
        <v>24</v>
      </c>
      <c r="K1689" s="24"/>
      <c r="L1689" s="24" t="s">
        <v>29</v>
      </c>
    </row>
    <row r="1690">
      <c r="A1690" s="24">
        <f t="shared" si="1"/>
        <v>1688</v>
      </c>
      <c r="B1690" s="24" t="s">
        <v>730</v>
      </c>
      <c r="C1690" s="275">
        <v>43107.0</v>
      </c>
      <c r="D1690" s="24" t="str">
        <f t="shared" si="116"/>
        <v>Jan-2018</v>
      </c>
      <c r="E1690" s="24" t="s">
        <v>20</v>
      </c>
      <c r="F1690" s="24" t="s">
        <v>35</v>
      </c>
      <c r="G1690" s="23" t="s">
        <v>93</v>
      </c>
      <c r="H1690" s="24" t="s">
        <v>23</v>
      </c>
      <c r="I1690" s="24" t="s">
        <v>9</v>
      </c>
      <c r="J1690" s="24" t="s">
        <v>24</v>
      </c>
      <c r="K1690" s="24" t="s">
        <v>24</v>
      </c>
      <c r="L1690" s="24" t="s">
        <v>69</v>
      </c>
    </row>
    <row r="1691">
      <c r="A1691" s="24">
        <f t="shared" si="1"/>
        <v>1689</v>
      </c>
      <c r="B1691" s="24" t="s">
        <v>730</v>
      </c>
      <c r="C1691" s="275">
        <v>43107.0</v>
      </c>
      <c r="D1691" s="24" t="str">
        <f t="shared" si="116"/>
        <v>Jan-2018</v>
      </c>
      <c r="E1691" s="24" t="s">
        <v>25</v>
      </c>
      <c r="F1691" s="24" t="s">
        <v>35</v>
      </c>
      <c r="G1691" s="23" t="s">
        <v>93</v>
      </c>
      <c r="H1691" s="24" t="s">
        <v>23</v>
      </c>
      <c r="I1691" s="24" t="s">
        <v>9</v>
      </c>
      <c r="J1691" s="24" t="s">
        <v>30</v>
      </c>
      <c r="K1691" s="24"/>
      <c r="L1691" s="24" t="s">
        <v>99</v>
      </c>
    </row>
    <row r="1692">
      <c r="A1692" s="24">
        <f t="shared" si="1"/>
        <v>1690</v>
      </c>
      <c r="B1692" s="24" t="s">
        <v>730</v>
      </c>
      <c r="C1692" s="275">
        <v>43107.0</v>
      </c>
      <c r="D1692" s="24" t="str">
        <f>TEXT(C1684:C1692, "mmm") &amp; "-" &amp; TEXT(C1684:C1692, "yyyy") </f>
        <v>Jan-2018</v>
      </c>
      <c r="E1692" s="24" t="s">
        <v>32</v>
      </c>
      <c r="F1692" s="24" t="s">
        <v>35</v>
      </c>
      <c r="G1692" s="23" t="s">
        <v>93</v>
      </c>
      <c r="H1692" s="24" t="s">
        <v>23</v>
      </c>
      <c r="I1692" s="24" t="s">
        <v>9</v>
      </c>
      <c r="J1692" s="24" t="s">
        <v>24</v>
      </c>
      <c r="K1692" s="24"/>
      <c r="L1692" s="24" t="s">
        <v>37</v>
      </c>
    </row>
    <row r="1693">
      <c r="A1693" s="24">
        <f t="shared" si="1"/>
        <v>1691</v>
      </c>
      <c r="B1693" s="24" t="s">
        <v>734</v>
      </c>
      <c r="C1693" s="340">
        <v>43111.0</v>
      </c>
      <c r="D1693" s="24" t="str">
        <f t="shared" ref="D1693:D1700" si="117">TEXT(C1686:C1693, "mmm") &amp; "-" &amp; TEXT(C1686:C1693, "yyyy") </f>
        <v>Jan-2018</v>
      </c>
      <c r="E1693" s="24" t="s">
        <v>20</v>
      </c>
      <c r="F1693" s="24" t="s">
        <v>35</v>
      </c>
      <c r="G1693" s="23" t="s">
        <v>735</v>
      </c>
      <c r="H1693" s="24" t="s">
        <v>23</v>
      </c>
      <c r="I1693" s="24" t="s">
        <v>9</v>
      </c>
      <c r="J1693" s="24" t="s">
        <v>30</v>
      </c>
      <c r="K1693" s="24" t="s">
        <v>30</v>
      </c>
      <c r="L1693" s="24" t="s">
        <v>37</v>
      </c>
    </row>
    <row r="1694">
      <c r="A1694" s="24">
        <f t="shared" si="1"/>
        <v>1692</v>
      </c>
      <c r="B1694" s="24" t="s">
        <v>734</v>
      </c>
      <c r="C1694" s="340">
        <v>43111.0</v>
      </c>
      <c r="D1694" s="24" t="str">
        <f t="shared" si="117"/>
        <v>Jan-2018</v>
      </c>
      <c r="E1694" s="24" t="s">
        <v>25</v>
      </c>
      <c r="F1694" s="24" t="s">
        <v>35</v>
      </c>
      <c r="G1694" s="23" t="s">
        <v>735</v>
      </c>
      <c r="H1694" s="24" t="s">
        <v>23</v>
      </c>
      <c r="I1694" s="24" t="s">
        <v>9</v>
      </c>
      <c r="J1694" s="24" t="s">
        <v>30</v>
      </c>
      <c r="K1694" s="24"/>
      <c r="L1694" s="24" t="s">
        <v>37</v>
      </c>
    </row>
    <row r="1695">
      <c r="A1695" s="24">
        <f t="shared" si="1"/>
        <v>1693</v>
      </c>
      <c r="B1695" s="24" t="s">
        <v>734</v>
      </c>
      <c r="C1695" s="340">
        <v>43111.0</v>
      </c>
      <c r="D1695" s="24" t="str">
        <f t="shared" si="117"/>
        <v>Jan-2018</v>
      </c>
      <c r="E1695" s="24" t="s">
        <v>20</v>
      </c>
      <c r="F1695" s="24" t="s">
        <v>35</v>
      </c>
      <c r="G1695" s="23" t="s">
        <v>493</v>
      </c>
      <c r="H1695" s="24" t="s">
        <v>44</v>
      </c>
      <c r="I1695" s="24" t="s">
        <v>9</v>
      </c>
      <c r="J1695" s="24" t="s">
        <v>24</v>
      </c>
      <c r="K1695" s="24" t="s">
        <v>24</v>
      </c>
      <c r="L1695" s="24" t="s">
        <v>98</v>
      </c>
    </row>
    <row r="1696">
      <c r="A1696" s="24">
        <f t="shared" si="1"/>
        <v>1694</v>
      </c>
      <c r="B1696" s="24" t="s">
        <v>734</v>
      </c>
      <c r="C1696" s="340">
        <v>43111.0</v>
      </c>
      <c r="D1696" s="24" t="str">
        <f t="shared" si="117"/>
        <v>Jan-2018</v>
      </c>
      <c r="E1696" s="24" t="s">
        <v>25</v>
      </c>
      <c r="F1696" s="24" t="s">
        <v>35</v>
      </c>
      <c r="G1696" s="23" t="s">
        <v>493</v>
      </c>
      <c r="H1696" s="24" t="s">
        <v>44</v>
      </c>
      <c r="I1696" s="24" t="s">
        <v>9</v>
      </c>
      <c r="J1696" s="24" t="s">
        <v>24</v>
      </c>
      <c r="K1696" s="24"/>
      <c r="L1696" s="24" t="s">
        <v>106</v>
      </c>
    </row>
    <row r="1697">
      <c r="A1697" s="24">
        <f t="shared" si="1"/>
        <v>1695</v>
      </c>
      <c r="B1697" s="24" t="s">
        <v>734</v>
      </c>
      <c r="C1697" s="340">
        <v>43111.0</v>
      </c>
      <c r="D1697" s="24" t="str">
        <f t="shared" si="117"/>
        <v>Jan-2018</v>
      </c>
      <c r="E1697" s="24" t="s">
        <v>20</v>
      </c>
      <c r="F1697" s="24" t="s">
        <v>35</v>
      </c>
      <c r="G1697" s="23" t="s">
        <v>431</v>
      </c>
      <c r="H1697" s="24" t="s">
        <v>23</v>
      </c>
      <c r="I1697" s="24" t="s">
        <v>9</v>
      </c>
      <c r="J1697" s="24" t="s">
        <v>30</v>
      </c>
      <c r="K1697" s="24" t="s">
        <v>30</v>
      </c>
      <c r="L1697" s="24" t="s">
        <v>69</v>
      </c>
    </row>
    <row r="1698">
      <c r="A1698" s="24">
        <f t="shared" si="1"/>
        <v>1696</v>
      </c>
      <c r="B1698" s="24" t="s">
        <v>734</v>
      </c>
      <c r="C1698" s="340">
        <v>43111.0</v>
      </c>
      <c r="D1698" s="24" t="str">
        <f t="shared" si="117"/>
        <v>Jan-2018</v>
      </c>
      <c r="E1698" s="24" t="s">
        <v>25</v>
      </c>
      <c r="F1698" s="24" t="s">
        <v>35</v>
      </c>
      <c r="G1698" s="23" t="s">
        <v>431</v>
      </c>
      <c r="H1698" s="24" t="s">
        <v>23</v>
      </c>
      <c r="I1698" s="24" t="s">
        <v>9</v>
      </c>
      <c r="J1698" s="24" t="s">
        <v>30</v>
      </c>
      <c r="K1698" s="24"/>
      <c r="L1698" s="24" t="s">
        <v>69</v>
      </c>
    </row>
    <row r="1699">
      <c r="A1699" s="24">
        <f t="shared" si="1"/>
        <v>1697</v>
      </c>
      <c r="B1699" s="24" t="s">
        <v>734</v>
      </c>
      <c r="C1699" s="340">
        <v>43111.0</v>
      </c>
      <c r="D1699" s="24" t="str">
        <f t="shared" si="117"/>
        <v>Jan-2018</v>
      </c>
      <c r="E1699" s="24" t="s">
        <v>146</v>
      </c>
      <c r="F1699" s="24" t="s">
        <v>35</v>
      </c>
      <c r="G1699" s="23" t="s">
        <v>665</v>
      </c>
      <c r="H1699" s="24" t="s">
        <v>86</v>
      </c>
      <c r="I1699" s="24" t="s">
        <v>9</v>
      </c>
      <c r="J1699" s="24" t="s">
        <v>30</v>
      </c>
      <c r="K1699" s="24" t="s">
        <v>30</v>
      </c>
      <c r="L1699" s="24" t="s">
        <v>69</v>
      </c>
    </row>
    <row r="1700">
      <c r="A1700" s="24">
        <f t="shared" si="1"/>
        <v>1698</v>
      </c>
      <c r="B1700" s="24" t="s">
        <v>734</v>
      </c>
      <c r="C1700" s="340">
        <v>43111.0</v>
      </c>
      <c r="D1700" s="24" t="str">
        <f t="shared" si="117"/>
        <v>Jan-2018</v>
      </c>
      <c r="E1700" s="24" t="s">
        <v>149</v>
      </c>
      <c r="F1700" s="24" t="s">
        <v>35</v>
      </c>
      <c r="G1700" s="23" t="s">
        <v>665</v>
      </c>
      <c r="H1700" s="24" t="s">
        <v>86</v>
      </c>
      <c r="I1700" s="24" t="s">
        <v>9</v>
      </c>
      <c r="J1700" s="24" t="s">
        <v>24</v>
      </c>
      <c r="K1700" s="24"/>
      <c r="L1700" s="24" t="s">
        <v>37</v>
      </c>
    </row>
    <row r="1701">
      <c r="A1701" s="24">
        <f t="shared" si="1"/>
        <v>1699</v>
      </c>
      <c r="B1701" s="24" t="s">
        <v>734</v>
      </c>
      <c r="C1701" s="340">
        <v>43111.0</v>
      </c>
      <c r="D1701" s="24" t="str">
        <f t="shared" ref="D1701:D1707" si="118">TEXT(C1693:C1701, "mmm") &amp; "-" &amp; TEXT(C1693:C1701, "yyyy") </f>
        <v>Jan-2018</v>
      </c>
      <c r="E1701" s="24" t="s">
        <v>222</v>
      </c>
      <c r="F1701" s="24" t="s">
        <v>35</v>
      </c>
      <c r="G1701" s="23" t="s">
        <v>665</v>
      </c>
      <c r="H1701" s="24" t="s">
        <v>86</v>
      </c>
      <c r="I1701" s="24" t="s">
        <v>9</v>
      </c>
      <c r="J1701" s="24" t="s">
        <v>30</v>
      </c>
      <c r="K1701" s="24"/>
      <c r="L1701" s="24" t="s">
        <v>29</v>
      </c>
    </row>
    <row r="1702">
      <c r="A1702" s="24">
        <f t="shared" si="1"/>
        <v>1700</v>
      </c>
      <c r="B1702" s="24" t="s">
        <v>734</v>
      </c>
      <c r="C1702" s="340">
        <v>43111.0</v>
      </c>
      <c r="D1702" s="24" t="str">
        <f t="shared" si="118"/>
        <v>Jan-2018</v>
      </c>
      <c r="E1702" s="24" t="s">
        <v>467</v>
      </c>
      <c r="F1702" s="24" t="s">
        <v>35</v>
      </c>
      <c r="G1702" s="23" t="s">
        <v>665</v>
      </c>
      <c r="H1702" s="24" t="s">
        <v>86</v>
      </c>
      <c r="I1702" s="24" t="s">
        <v>9</v>
      </c>
      <c r="J1702" s="24" t="s">
        <v>30</v>
      </c>
      <c r="K1702" s="24"/>
      <c r="L1702" s="24" t="s">
        <v>98</v>
      </c>
    </row>
    <row r="1703">
      <c r="A1703" s="24">
        <f t="shared" si="1"/>
        <v>1701</v>
      </c>
      <c r="B1703" s="24" t="s">
        <v>734</v>
      </c>
      <c r="C1703" s="340">
        <v>43111.0</v>
      </c>
      <c r="D1703" s="24" t="str">
        <f t="shared" si="118"/>
        <v>Jan-2018</v>
      </c>
      <c r="E1703" s="24" t="s">
        <v>146</v>
      </c>
      <c r="F1703" s="24" t="s">
        <v>35</v>
      </c>
      <c r="G1703" s="23" t="s">
        <v>296</v>
      </c>
      <c r="H1703" s="24" t="s">
        <v>9</v>
      </c>
      <c r="I1703" s="24" t="s">
        <v>9</v>
      </c>
      <c r="J1703" s="24" t="s">
        <v>30</v>
      </c>
      <c r="K1703" s="24" t="s">
        <v>24</v>
      </c>
      <c r="L1703" s="24" t="s">
        <v>37</v>
      </c>
    </row>
    <row r="1704">
      <c r="A1704" s="24">
        <f t="shared" si="1"/>
        <v>1702</v>
      </c>
      <c r="B1704" s="24" t="s">
        <v>734</v>
      </c>
      <c r="C1704" s="340">
        <v>43111.0</v>
      </c>
      <c r="D1704" s="24" t="str">
        <f t="shared" si="118"/>
        <v>Jan-2018</v>
      </c>
      <c r="E1704" s="24" t="s">
        <v>149</v>
      </c>
      <c r="F1704" s="24" t="s">
        <v>35</v>
      </c>
      <c r="G1704" s="23" t="s">
        <v>296</v>
      </c>
      <c r="H1704" s="24" t="s">
        <v>9</v>
      </c>
      <c r="I1704" s="24" t="s">
        <v>9</v>
      </c>
      <c r="J1704" s="24" t="s">
        <v>24</v>
      </c>
      <c r="K1704" s="24"/>
      <c r="L1704" s="24" t="s">
        <v>106</v>
      </c>
    </row>
    <row r="1705">
      <c r="A1705" s="24">
        <f t="shared" si="1"/>
        <v>1703</v>
      </c>
      <c r="B1705" s="24" t="s">
        <v>734</v>
      </c>
      <c r="C1705" s="340">
        <v>43111.0</v>
      </c>
      <c r="D1705" s="24" t="str">
        <f t="shared" si="118"/>
        <v>Jan-2018</v>
      </c>
      <c r="E1705" s="24" t="s">
        <v>222</v>
      </c>
      <c r="F1705" s="24" t="s">
        <v>35</v>
      </c>
      <c r="G1705" s="23" t="s">
        <v>296</v>
      </c>
      <c r="H1705" s="24" t="s">
        <v>9</v>
      </c>
      <c r="I1705" s="24" t="s">
        <v>9</v>
      </c>
      <c r="J1705" s="24" t="s">
        <v>30</v>
      </c>
      <c r="K1705" s="24"/>
      <c r="L1705" s="24" t="s">
        <v>69</v>
      </c>
    </row>
    <row r="1706">
      <c r="A1706" s="24">
        <f t="shared" si="1"/>
        <v>1704</v>
      </c>
      <c r="B1706" s="24" t="s">
        <v>734</v>
      </c>
      <c r="C1706" s="340">
        <v>43111.0</v>
      </c>
      <c r="D1706" s="24" t="str">
        <f t="shared" si="118"/>
        <v>Jan-2018</v>
      </c>
      <c r="E1706" s="24" t="s">
        <v>467</v>
      </c>
      <c r="F1706" s="24" t="s">
        <v>35</v>
      </c>
      <c r="G1706" s="23" t="s">
        <v>296</v>
      </c>
      <c r="H1706" s="24" t="s">
        <v>9</v>
      </c>
      <c r="I1706" s="24" t="s">
        <v>9</v>
      </c>
      <c r="J1706" s="24" t="s">
        <v>24</v>
      </c>
      <c r="K1706" s="24"/>
      <c r="L1706" s="24" t="s">
        <v>98</v>
      </c>
    </row>
    <row r="1707">
      <c r="A1707" s="24">
        <f t="shared" si="1"/>
        <v>1705</v>
      </c>
      <c r="B1707" s="24" t="s">
        <v>734</v>
      </c>
      <c r="C1707" s="340">
        <v>43111.0</v>
      </c>
      <c r="D1707" s="24" t="str">
        <f t="shared" si="118"/>
        <v>Jan-2018</v>
      </c>
      <c r="E1707" s="24" t="s">
        <v>480</v>
      </c>
      <c r="F1707" s="24" t="s">
        <v>35</v>
      </c>
      <c r="G1707" s="23" t="s">
        <v>296</v>
      </c>
      <c r="H1707" s="24" t="s">
        <v>9</v>
      </c>
      <c r="I1707" s="24" t="s">
        <v>9</v>
      </c>
      <c r="J1707" s="24" t="s">
        <v>24</v>
      </c>
      <c r="K1707" s="24"/>
      <c r="L1707" s="24" t="s">
        <v>98</v>
      </c>
    </row>
    <row r="1708">
      <c r="A1708" s="24">
        <f t="shared" si="1"/>
        <v>1706</v>
      </c>
      <c r="B1708" s="24" t="s">
        <v>738</v>
      </c>
      <c r="C1708" s="275">
        <v>43113.0</v>
      </c>
      <c r="D1708" s="24" t="str">
        <f t="shared" ref="D1708:D1715" si="119">TEXT(C1701:C1708, "mmm") &amp; "-" &amp; TEXT(C1701:C1708, "yyyy") </f>
        <v>Jan-2018</v>
      </c>
      <c r="E1708" s="24" t="s">
        <v>20</v>
      </c>
      <c r="F1708" s="24" t="s">
        <v>287</v>
      </c>
      <c r="G1708" s="23" t="s">
        <v>739</v>
      </c>
      <c r="H1708" s="24" t="s">
        <v>138</v>
      </c>
      <c r="I1708" s="24" t="s">
        <v>9</v>
      </c>
      <c r="J1708" s="24" t="s">
        <v>30</v>
      </c>
      <c r="K1708" s="24" t="s">
        <v>30</v>
      </c>
      <c r="L1708" s="24" t="s">
        <v>99</v>
      </c>
    </row>
    <row r="1709">
      <c r="A1709" s="24">
        <f t="shared" si="1"/>
        <v>1707</v>
      </c>
      <c r="B1709" s="24" t="s">
        <v>738</v>
      </c>
      <c r="C1709" s="275">
        <v>43113.0</v>
      </c>
      <c r="D1709" s="24" t="str">
        <f t="shared" si="119"/>
        <v>Jan-2018</v>
      </c>
      <c r="E1709" s="24" t="s">
        <v>25</v>
      </c>
      <c r="F1709" s="24" t="s">
        <v>287</v>
      </c>
      <c r="G1709" s="23" t="s">
        <v>739</v>
      </c>
      <c r="H1709" s="24" t="s">
        <v>138</v>
      </c>
      <c r="I1709" s="24" t="s">
        <v>9</v>
      </c>
      <c r="J1709" s="24" t="s">
        <v>30</v>
      </c>
      <c r="K1709" s="24"/>
      <c r="L1709" s="24" t="s">
        <v>98</v>
      </c>
    </row>
    <row r="1710">
      <c r="A1710" s="24">
        <f t="shared" si="1"/>
        <v>1708</v>
      </c>
      <c r="B1710" s="24" t="s">
        <v>738</v>
      </c>
      <c r="C1710" s="275">
        <v>43113.0</v>
      </c>
      <c r="D1710" s="24" t="str">
        <f t="shared" si="119"/>
        <v>Jan-2018</v>
      </c>
      <c r="E1710" s="24" t="s">
        <v>20</v>
      </c>
      <c r="F1710" s="24" t="s">
        <v>287</v>
      </c>
      <c r="G1710" s="23" t="s">
        <v>592</v>
      </c>
      <c r="H1710" s="24" t="s">
        <v>27</v>
      </c>
      <c r="I1710" s="24" t="s">
        <v>9</v>
      </c>
      <c r="J1710" s="24" t="s">
        <v>24</v>
      </c>
      <c r="K1710" s="24" t="s">
        <v>24</v>
      </c>
      <c r="L1710" s="24" t="s">
        <v>98</v>
      </c>
    </row>
    <row r="1711">
      <c r="A1711" s="24">
        <f t="shared" si="1"/>
        <v>1709</v>
      </c>
      <c r="B1711" s="24" t="s">
        <v>738</v>
      </c>
      <c r="C1711" s="275">
        <v>43113.0</v>
      </c>
      <c r="D1711" s="24" t="str">
        <f t="shared" si="119"/>
        <v>Jan-2018</v>
      </c>
      <c r="E1711" s="24" t="s">
        <v>25</v>
      </c>
      <c r="F1711" s="24" t="s">
        <v>287</v>
      </c>
      <c r="G1711" s="23" t="s">
        <v>592</v>
      </c>
      <c r="H1711" s="24" t="s">
        <v>27</v>
      </c>
      <c r="I1711" s="24" t="s">
        <v>9</v>
      </c>
      <c r="J1711" s="24" t="s">
        <v>24</v>
      </c>
      <c r="K1711" s="24"/>
      <c r="L1711" s="24" t="s">
        <v>106</v>
      </c>
    </row>
    <row r="1712">
      <c r="A1712" s="24">
        <f t="shared" si="1"/>
        <v>1710</v>
      </c>
      <c r="B1712" s="24" t="s">
        <v>738</v>
      </c>
      <c r="C1712" s="275">
        <v>43113.0</v>
      </c>
      <c r="D1712" s="24" t="str">
        <f t="shared" si="119"/>
        <v>Jan-2018</v>
      </c>
      <c r="E1712" s="24" t="s">
        <v>20</v>
      </c>
      <c r="F1712" s="24" t="s">
        <v>287</v>
      </c>
      <c r="G1712" s="23" t="s">
        <v>452</v>
      </c>
      <c r="H1712" s="24" t="s">
        <v>27</v>
      </c>
      <c r="I1712" s="24" t="s">
        <v>9</v>
      </c>
      <c r="J1712" s="24" t="s">
        <v>24</v>
      </c>
      <c r="K1712" s="24" t="s">
        <v>30</v>
      </c>
      <c r="L1712" s="24" t="s">
        <v>69</v>
      </c>
    </row>
    <row r="1713">
      <c r="A1713" s="24">
        <f t="shared" si="1"/>
        <v>1711</v>
      </c>
      <c r="B1713" s="24" t="s">
        <v>738</v>
      </c>
      <c r="C1713" s="275">
        <v>43113.0</v>
      </c>
      <c r="D1713" s="24" t="str">
        <f t="shared" si="119"/>
        <v>Jan-2018</v>
      </c>
      <c r="E1713" s="24" t="s">
        <v>25</v>
      </c>
      <c r="F1713" s="24" t="s">
        <v>287</v>
      </c>
      <c r="G1713" s="23" t="s">
        <v>452</v>
      </c>
      <c r="H1713" s="24" t="s">
        <v>27</v>
      </c>
      <c r="I1713" s="24" t="s">
        <v>9</v>
      </c>
      <c r="J1713" s="24" t="s">
        <v>30</v>
      </c>
      <c r="K1713" s="24"/>
      <c r="L1713" s="24" t="s">
        <v>106</v>
      </c>
    </row>
    <row r="1714">
      <c r="A1714" s="24">
        <f t="shared" si="1"/>
        <v>1712</v>
      </c>
      <c r="B1714" s="24" t="s">
        <v>738</v>
      </c>
      <c r="C1714" s="275">
        <v>43113.0</v>
      </c>
      <c r="D1714" s="24" t="str">
        <f t="shared" si="119"/>
        <v>Jan-2018</v>
      </c>
      <c r="E1714" s="24" t="s">
        <v>32</v>
      </c>
      <c r="F1714" s="24" t="s">
        <v>287</v>
      </c>
      <c r="G1714" s="23" t="s">
        <v>452</v>
      </c>
      <c r="H1714" s="24" t="s">
        <v>27</v>
      </c>
      <c r="I1714" s="24" t="s">
        <v>9</v>
      </c>
      <c r="J1714" s="24" t="s">
        <v>30</v>
      </c>
      <c r="K1714" s="24"/>
      <c r="L1714" s="24" t="s">
        <v>99</v>
      </c>
    </row>
    <row r="1715">
      <c r="A1715" s="24">
        <f t="shared" si="1"/>
        <v>1713</v>
      </c>
      <c r="B1715" s="24" t="s">
        <v>738</v>
      </c>
      <c r="C1715" s="275">
        <v>43113.0</v>
      </c>
      <c r="D1715" s="24" t="str">
        <f t="shared" si="119"/>
        <v>Jan-2018</v>
      </c>
      <c r="E1715" s="24" t="s">
        <v>20</v>
      </c>
      <c r="F1715" s="24" t="s">
        <v>287</v>
      </c>
      <c r="G1715" s="23" t="s">
        <v>743</v>
      </c>
      <c r="H1715" s="24" t="s">
        <v>27</v>
      </c>
      <c r="I1715" s="24" t="s">
        <v>9</v>
      </c>
      <c r="J1715" s="24" t="s">
        <v>30</v>
      </c>
      <c r="K1715" s="24" t="s">
        <v>30</v>
      </c>
      <c r="L1715" s="24" t="s">
        <v>98</v>
      </c>
    </row>
    <row r="1716">
      <c r="A1716" s="24">
        <f t="shared" si="1"/>
        <v>1714</v>
      </c>
      <c r="B1716" s="24" t="s">
        <v>738</v>
      </c>
      <c r="C1716" s="275">
        <v>43113.0</v>
      </c>
      <c r="D1716" s="24" t="str">
        <f t="shared" ref="D1716:D1723" si="120">TEXT(C1708:C1716, "mmm") &amp; "-" &amp; TEXT(C1708:C1716, "yyyy") </f>
        <v>Jan-2018</v>
      </c>
      <c r="E1716" s="24" t="s">
        <v>25</v>
      </c>
      <c r="F1716" s="24" t="s">
        <v>287</v>
      </c>
      <c r="G1716" s="23" t="s">
        <v>743</v>
      </c>
      <c r="H1716" s="24" t="s">
        <v>44</v>
      </c>
      <c r="I1716" s="24" t="s">
        <v>9</v>
      </c>
      <c r="J1716" s="24" t="s">
        <v>30</v>
      </c>
      <c r="K1716" s="24"/>
      <c r="L1716" s="24" t="s">
        <v>106</v>
      </c>
    </row>
    <row r="1717">
      <c r="A1717" s="24">
        <f t="shared" si="1"/>
        <v>1715</v>
      </c>
      <c r="B1717" s="24" t="s">
        <v>738</v>
      </c>
      <c r="C1717" s="275">
        <v>43113.0</v>
      </c>
      <c r="D1717" s="24" t="str">
        <f t="shared" si="120"/>
        <v>Jan-2018</v>
      </c>
      <c r="E1717" s="24" t="s">
        <v>20</v>
      </c>
      <c r="F1717" s="24" t="s">
        <v>287</v>
      </c>
      <c r="G1717" s="23" t="s">
        <v>460</v>
      </c>
      <c r="H1717" s="24" t="s">
        <v>27</v>
      </c>
      <c r="I1717" s="24" t="s">
        <v>9</v>
      </c>
      <c r="J1717" s="24" t="s">
        <v>30</v>
      </c>
      <c r="K1717" s="24" t="s">
        <v>30</v>
      </c>
      <c r="L1717" s="24" t="s">
        <v>98</v>
      </c>
    </row>
    <row r="1718">
      <c r="A1718" s="24">
        <f t="shared" si="1"/>
        <v>1716</v>
      </c>
      <c r="B1718" s="24" t="s">
        <v>738</v>
      </c>
      <c r="C1718" s="275">
        <v>43113.0</v>
      </c>
      <c r="D1718" s="24" t="str">
        <f t="shared" si="120"/>
        <v>Jan-2018</v>
      </c>
      <c r="E1718" s="24" t="s">
        <v>25</v>
      </c>
      <c r="F1718" s="24" t="s">
        <v>287</v>
      </c>
      <c r="G1718" s="23" t="s">
        <v>460</v>
      </c>
      <c r="H1718" s="24" t="s">
        <v>27</v>
      </c>
      <c r="I1718" s="24" t="s">
        <v>9</v>
      </c>
      <c r="J1718" s="24" t="s">
        <v>30</v>
      </c>
      <c r="K1718" s="24"/>
      <c r="L1718" s="24" t="s">
        <v>37</v>
      </c>
    </row>
    <row r="1719">
      <c r="A1719" s="24">
        <f t="shared" si="1"/>
        <v>1717</v>
      </c>
      <c r="B1719" s="24" t="s">
        <v>738</v>
      </c>
      <c r="C1719" s="275">
        <v>43113.0</v>
      </c>
      <c r="D1719" s="24" t="str">
        <f t="shared" si="120"/>
        <v>Jan-2018</v>
      </c>
      <c r="E1719" s="24" t="s">
        <v>20</v>
      </c>
      <c r="F1719" s="24" t="s">
        <v>287</v>
      </c>
      <c r="G1719" s="23" t="s">
        <v>66</v>
      </c>
      <c r="H1719" s="24" t="s">
        <v>27</v>
      </c>
      <c r="I1719" s="24" t="s">
        <v>9</v>
      </c>
      <c r="J1719" s="24" t="s">
        <v>30</v>
      </c>
      <c r="K1719" s="24" t="s">
        <v>30</v>
      </c>
      <c r="L1719" s="24" t="s">
        <v>69</v>
      </c>
    </row>
    <row r="1720">
      <c r="A1720" s="24">
        <f t="shared" si="1"/>
        <v>1718</v>
      </c>
      <c r="B1720" s="24" t="s">
        <v>738</v>
      </c>
      <c r="C1720" s="275">
        <v>43113.0</v>
      </c>
      <c r="D1720" s="24" t="str">
        <f t="shared" si="120"/>
        <v>Jan-2018</v>
      </c>
      <c r="E1720" s="24" t="s">
        <v>25</v>
      </c>
      <c r="F1720" s="24" t="s">
        <v>287</v>
      </c>
      <c r="G1720" s="23" t="s">
        <v>66</v>
      </c>
      <c r="H1720" s="24" t="s">
        <v>48</v>
      </c>
      <c r="I1720" s="24" t="s">
        <v>9</v>
      </c>
      <c r="J1720" s="24" t="s">
        <v>30</v>
      </c>
      <c r="K1720" s="24"/>
      <c r="L1720" s="24" t="s">
        <v>37</v>
      </c>
    </row>
    <row r="1721">
      <c r="A1721" s="24">
        <f t="shared" si="1"/>
        <v>1719</v>
      </c>
      <c r="B1721" s="24" t="s">
        <v>738</v>
      </c>
      <c r="C1721" s="275">
        <v>43113.0</v>
      </c>
      <c r="D1721" s="24" t="str">
        <f t="shared" si="120"/>
        <v>Jan-2018</v>
      </c>
      <c r="E1721" s="24" t="s">
        <v>20</v>
      </c>
      <c r="F1721" s="24" t="s">
        <v>35</v>
      </c>
      <c r="G1721" s="23" t="s">
        <v>744</v>
      </c>
      <c r="H1721" s="24" t="s">
        <v>27</v>
      </c>
      <c r="I1721" s="24" t="s">
        <v>9</v>
      </c>
      <c r="J1721" s="24" t="s">
        <v>30</v>
      </c>
      <c r="K1721" s="24" t="s">
        <v>24</v>
      </c>
      <c r="L1721" s="24" t="s">
        <v>98</v>
      </c>
    </row>
    <row r="1722">
      <c r="A1722" s="24">
        <f t="shared" si="1"/>
        <v>1720</v>
      </c>
      <c r="B1722" s="24" t="s">
        <v>738</v>
      </c>
      <c r="C1722" s="275">
        <v>43113.0</v>
      </c>
      <c r="D1722" s="24" t="str">
        <f t="shared" si="120"/>
        <v>Jan-2018</v>
      </c>
      <c r="E1722" s="24" t="s">
        <v>25</v>
      </c>
      <c r="F1722" s="24" t="s">
        <v>35</v>
      </c>
      <c r="G1722" s="23" t="s">
        <v>744</v>
      </c>
      <c r="H1722" s="24" t="s">
        <v>27</v>
      </c>
      <c r="I1722" s="24" t="s">
        <v>9</v>
      </c>
      <c r="J1722" s="24" t="s">
        <v>24</v>
      </c>
      <c r="K1722" s="24"/>
      <c r="L1722" s="24" t="s">
        <v>37</v>
      </c>
    </row>
    <row r="1723">
      <c r="A1723" s="24">
        <f t="shared" si="1"/>
        <v>1721</v>
      </c>
      <c r="B1723" s="24" t="s">
        <v>738</v>
      </c>
      <c r="C1723" s="275">
        <v>43113.0</v>
      </c>
      <c r="D1723" s="24" t="str">
        <f t="shared" si="120"/>
        <v>Jan-2018</v>
      </c>
      <c r="E1723" s="24" t="s">
        <v>32</v>
      </c>
      <c r="F1723" s="24" t="s">
        <v>35</v>
      </c>
      <c r="G1723" s="23" t="s">
        <v>744</v>
      </c>
      <c r="H1723" s="24" t="s">
        <v>27</v>
      </c>
      <c r="I1723" s="24" t="s">
        <v>9</v>
      </c>
      <c r="J1723" s="24" t="s">
        <v>24</v>
      </c>
      <c r="K1723" s="24"/>
      <c r="L1723" s="24" t="s">
        <v>69</v>
      </c>
    </row>
    <row r="1724">
      <c r="A1724" s="24">
        <f t="shared" si="1"/>
        <v>1722</v>
      </c>
      <c r="B1724" s="24" t="s">
        <v>745</v>
      </c>
      <c r="C1724" s="275">
        <v>43118.0</v>
      </c>
      <c r="D1724" s="24" t="str">
        <f t="shared" ref="D1724:D1731" si="121">TEXT(C1717:C1724, "mmm") &amp; "-" &amp; TEXT(C1717:C1724, "yyyy") </f>
        <v>Jan-2018</v>
      </c>
      <c r="E1724" s="24" t="s">
        <v>20</v>
      </c>
      <c r="F1724" s="24" t="s">
        <v>35</v>
      </c>
      <c r="G1724" s="23" t="s">
        <v>746</v>
      </c>
      <c r="H1724" s="24" t="s">
        <v>86</v>
      </c>
      <c r="I1724" s="24" t="s">
        <v>9</v>
      </c>
      <c r="J1724" s="24" t="s">
        <v>30</v>
      </c>
      <c r="K1724" s="24" t="s">
        <v>30</v>
      </c>
      <c r="L1724" s="24" t="s">
        <v>29</v>
      </c>
    </row>
    <row r="1725">
      <c r="A1725" s="24">
        <f t="shared" si="1"/>
        <v>1723</v>
      </c>
      <c r="B1725" s="24" t="s">
        <v>745</v>
      </c>
      <c r="C1725" s="275">
        <v>43118.0</v>
      </c>
      <c r="D1725" s="24" t="str">
        <f t="shared" si="121"/>
        <v>Jan-2018</v>
      </c>
      <c r="E1725" s="24" t="s">
        <v>25</v>
      </c>
      <c r="F1725" s="24" t="s">
        <v>35</v>
      </c>
      <c r="G1725" s="23" t="s">
        <v>746</v>
      </c>
      <c r="H1725" s="24" t="s">
        <v>86</v>
      </c>
      <c r="I1725" s="24" t="s">
        <v>9</v>
      </c>
      <c r="J1725" s="24" t="s">
        <v>30</v>
      </c>
      <c r="K1725" s="24"/>
      <c r="L1725" s="24" t="s">
        <v>98</v>
      </c>
    </row>
    <row r="1726">
      <c r="A1726" s="24">
        <f t="shared" si="1"/>
        <v>1724</v>
      </c>
      <c r="B1726" s="24" t="s">
        <v>745</v>
      </c>
      <c r="C1726" s="275">
        <v>43118.0</v>
      </c>
      <c r="D1726" s="24" t="str">
        <f t="shared" si="121"/>
        <v>Jan-2018</v>
      </c>
      <c r="E1726" s="24" t="s">
        <v>20</v>
      </c>
      <c r="F1726" s="24" t="s">
        <v>35</v>
      </c>
      <c r="G1726" s="23" t="s">
        <v>93</v>
      </c>
      <c r="H1726" s="24" t="s">
        <v>23</v>
      </c>
      <c r="I1726" s="24" t="s">
        <v>9</v>
      </c>
      <c r="J1726" s="24" t="s">
        <v>24</v>
      </c>
      <c r="K1726" s="24" t="s">
        <v>24</v>
      </c>
      <c r="L1726" s="24" t="s">
        <v>69</v>
      </c>
    </row>
    <row r="1727">
      <c r="A1727" s="24">
        <f t="shared" si="1"/>
        <v>1725</v>
      </c>
      <c r="B1727" s="24" t="s">
        <v>745</v>
      </c>
      <c r="C1727" s="275">
        <v>43118.0</v>
      </c>
      <c r="D1727" s="24" t="str">
        <f t="shared" si="121"/>
        <v>Jan-2018</v>
      </c>
      <c r="E1727" s="24" t="s">
        <v>25</v>
      </c>
      <c r="F1727" s="24" t="s">
        <v>35</v>
      </c>
      <c r="G1727" s="23" t="s">
        <v>93</v>
      </c>
      <c r="H1727" s="24" t="s">
        <v>23</v>
      </c>
      <c r="I1727" s="24" t="s">
        <v>9</v>
      </c>
      <c r="J1727" s="24" t="s">
        <v>24</v>
      </c>
      <c r="K1727" s="24"/>
      <c r="L1727" s="24" t="s">
        <v>106</v>
      </c>
    </row>
    <row r="1728">
      <c r="A1728" s="24">
        <f t="shared" si="1"/>
        <v>1726</v>
      </c>
      <c r="B1728" s="24" t="s">
        <v>745</v>
      </c>
      <c r="C1728" s="275">
        <v>43118.0</v>
      </c>
      <c r="D1728" s="24" t="str">
        <f t="shared" si="121"/>
        <v>Jan-2018</v>
      </c>
      <c r="E1728" s="24" t="s">
        <v>20</v>
      </c>
      <c r="F1728" s="24" t="s">
        <v>35</v>
      </c>
      <c r="G1728" s="23" t="s">
        <v>747</v>
      </c>
      <c r="H1728" s="24" t="s">
        <v>9</v>
      </c>
      <c r="I1728" s="24" t="s">
        <v>9</v>
      </c>
      <c r="J1728" s="24" t="s">
        <v>30</v>
      </c>
      <c r="K1728" s="24" t="s">
        <v>30</v>
      </c>
      <c r="L1728" s="24" t="s">
        <v>69</v>
      </c>
    </row>
    <row r="1729">
      <c r="A1729" s="24">
        <f t="shared" si="1"/>
        <v>1727</v>
      </c>
      <c r="B1729" s="24" t="s">
        <v>745</v>
      </c>
      <c r="C1729" s="275">
        <v>43118.0</v>
      </c>
      <c r="D1729" s="24" t="str">
        <f t="shared" si="121"/>
        <v>Jan-2018</v>
      </c>
      <c r="E1729" s="24" t="s">
        <v>25</v>
      </c>
      <c r="F1729" s="24" t="s">
        <v>35</v>
      </c>
      <c r="G1729" s="23" t="s">
        <v>747</v>
      </c>
      <c r="H1729" s="24" t="s">
        <v>9</v>
      </c>
      <c r="I1729" s="24" t="s">
        <v>9</v>
      </c>
      <c r="J1729" s="24" t="s">
        <v>30</v>
      </c>
      <c r="K1729" s="24"/>
      <c r="L1729" s="24" t="s">
        <v>69</v>
      </c>
    </row>
    <row r="1730">
      <c r="A1730" s="24">
        <f t="shared" si="1"/>
        <v>1728</v>
      </c>
      <c r="B1730" s="24" t="s">
        <v>745</v>
      </c>
      <c r="C1730" s="275">
        <v>43118.0</v>
      </c>
      <c r="D1730" s="24" t="str">
        <f t="shared" si="121"/>
        <v>Jan-2018</v>
      </c>
      <c r="E1730" s="24" t="s">
        <v>20</v>
      </c>
      <c r="F1730" s="24" t="s">
        <v>35</v>
      </c>
      <c r="G1730" s="23" t="s">
        <v>569</v>
      </c>
      <c r="H1730" s="24" t="s">
        <v>44</v>
      </c>
      <c r="I1730" s="24" t="s">
        <v>9</v>
      </c>
      <c r="J1730" s="24" t="s">
        <v>30</v>
      </c>
      <c r="K1730" s="24" t="s">
        <v>30</v>
      </c>
      <c r="L1730" s="24" t="s">
        <v>69</v>
      </c>
    </row>
    <row r="1731">
      <c r="A1731" s="24">
        <f t="shared" si="1"/>
        <v>1729</v>
      </c>
      <c r="B1731" s="24" t="s">
        <v>745</v>
      </c>
      <c r="C1731" s="275">
        <v>43118.0</v>
      </c>
      <c r="D1731" s="24" t="str">
        <f t="shared" si="121"/>
        <v>Jan-2018</v>
      </c>
      <c r="E1731" s="24" t="s">
        <v>25</v>
      </c>
      <c r="F1731" s="24" t="s">
        <v>35</v>
      </c>
      <c r="G1731" s="23" t="s">
        <v>569</v>
      </c>
      <c r="H1731" s="24" t="s">
        <v>44</v>
      </c>
      <c r="I1731" s="24" t="s">
        <v>9</v>
      </c>
      <c r="J1731" s="24" t="s">
        <v>30</v>
      </c>
      <c r="K1731" s="24"/>
      <c r="L1731" s="24" t="s">
        <v>98</v>
      </c>
    </row>
    <row r="1732">
      <c r="A1732" s="24">
        <f t="shared" si="1"/>
        <v>1730</v>
      </c>
      <c r="B1732" s="24" t="s">
        <v>745</v>
      </c>
      <c r="C1732" s="275">
        <v>43118.0</v>
      </c>
      <c r="D1732" s="24" t="str">
        <f t="shared" ref="D1732:D1739" si="122">TEXT(C1724:C1732, "mmm") &amp; "-" &amp; TEXT(C1724:C1732, "yyyy") </f>
        <v>Jan-2018</v>
      </c>
      <c r="E1732" s="24" t="s">
        <v>20</v>
      </c>
      <c r="F1732" s="24" t="s">
        <v>35</v>
      </c>
      <c r="G1732" s="23" t="s">
        <v>36</v>
      </c>
      <c r="H1732" s="24" t="s">
        <v>27</v>
      </c>
      <c r="I1732" s="24" t="s">
        <v>9</v>
      </c>
      <c r="J1732" s="24" t="s">
        <v>24</v>
      </c>
      <c r="K1732" s="24" t="s">
        <v>30</v>
      </c>
      <c r="L1732" s="24" t="s">
        <v>37</v>
      </c>
    </row>
    <row r="1733">
      <c r="A1733" s="24">
        <f t="shared" si="1"/>
        <v>1731</v>
      </c>
      <c r="B1733" s="24" t="s">
        <v>745</v>
      </c>
      <c r="C1733" s="275">
        <v>43118.0</v>
      </c>
      <c r="D1733" s="24" t="str">
        <f t="shared" si="122"/>
        <v>Jan-2018</v>
      </c>
      <c r="E1733" s="24" t="s">
        <v>25</v>
      </c>
      <c r="F1733" s="24" t="s">
        <v>35</v>
      </c>
      <c r="G1733" s="23" t="s">
        <v>36</v>
      </c>
      <c r="H1733" s="24" t="s">
        <v>27</v>
      </c>
      <c r="I1733" s="24" t="s">
        <v>9</v>
      </c>
      <c r="J1733" s="24" t="s">
        <v>30</v>
      </c>
      <c r="K1733" s="24"/>
      <c r="L1733" s="24" t="s">
        <v>69</v>
      </c>
    </row>
    <row r="1734">
      <c r="A1734" s="24">
        <f t="shared" si="1"/>
        <v>1732</v>
      </c>
      <c r="B1734" s="24" t="s">
        <v>745</v>
      </c>
      <c r="C1734" s="275">
        <v>43118.0</v>
      </c>
      <c r="D1734" s="24" t="str">
        <f t="shared" si="122"/>
        <v>Jan-2018</v>
      </c>
      <c r="E1734" s="24" t="s">
        <v>32</v>
      </c>
      <c r="F1734" s="24" t="s">
        <v>35</v>
      </c>
      <c r="G1734" s="23" t="s">
        <v>36</v>
      </c>
      <c r="H1734" s="24" t="s">
        <v>27</v>
      </c>
      <c r="I1734" s="24" t="s">
        <v>9</v>
      </c>
      <c r="J1734" s="24" t="s">
        <v>30</v>
      </c>
      <c r="K1734" s="24"/>
      <c r="L1734" s="24" t="s">
        <v>99</v>
      </c>
    </row>
    <row r="1735">
      <c r="A1735" s="24">
        <f t="shared" si="1"/>
        <v>1733</v>
      </c>
      <c r="B1735" s="24" t="s">
        <v>745</v>
      </c>
      <c r="C1735" s="275">
        <v>43118.0</v>
      </c>
      <c r="D1735" s="24" t="str">
        <f t="shared" si="122"/>
        <v>Jan-2018</v>
      </c>
      <c r="E1735" s="24" t="s">
        <v>146</v>
      </c>
      <c r="F1735" s="24" t="s">
        <v>35</v>
      </c>
      <c r="G1735" s="23" t="s">
        <v>361</v>
      </c>
      <c r="H1735" s="24" t="s">
        <v>44</v>
      </c>
      <c r="I1735" s="24" t="s">
        <v>9</v>
      </c>
      <c r="J1735" s="24" t="s">
        <v>30</v>
      </c>
      <c r="K1735" s="24" t="s">
        <v>24</v>
      </c>
      <c r="L1735" s="24" t="s">
        <v>69</v>
      </c>
    </row>
    <row r="1736">
      <c r="A1736" s="24">
        <f t="shared" si="1"/>
        <v>1734</v>
      </c>
      <c r="B1736" s="24" t="s">
        <v>745</v>
      </c>
      <c r="C1736" s="275">
        <v>43118.0</v>
      </c>
      <c r="D1736" s="24" t="str">
        <f t="shared" si="122"/>
        <v>Jan-2018</v>
      </c>
      <c r="E1736" s="24" t="s">
        <v>149</v>
      </c>
      <c r="F1736" s="24" t="s">
        <v>35</v>
      </c>
      <c r="G1736" s="23" t="s">
        <v>361</v>
      </c>
      <c r="H1736" s="24" t="s">
        <v>44</v>
      </c>
      <c r="I1736" s="24" t="s">
        <v>9</v>
      </c>
      <c r="J1736" s="24" t="s">
        <v>24</v>
      </c>
      <c r="K1736" s="24"/>
      <c r="L1736" s="24" t="s">
        <v>29</v>
      </c>
    </row>
    <row r="1737">
      <c r="A1737" s="24">
        <f t="shared" si="1"/>
        <v>1735</v>
      </c>
      <c r="B1737" s="24" t="s">
        <v>745</v>
      </c>
      <c r="C1737" s="275">
        <v>43118.0</v>
      </c>
      <c r="D1737" s="24" t="str">
        <f t="shared" si="122"/>
        <v>Jan-2018</v>
      </c>
      <c r="E1737" s="24" t="s">
        <v>222</v>
      </c>
      <c r="F1737" s="24" t="s">
        <v>35</v>
      </c>
      <c r="G1737" s="23" t="s">
        <v>361</v>
      </c>
      <c r="H1737" s="24" t="s">
        <v>44</v>
      </c>
      <c r="I1737" s="24" t="s">
        <v>9</v>
      </c>
      <c r="J1737" s="24" t="s">
        <v>30</v>
      </c>
      <c r="K1737" s="24"/>
      <c r="L1737" s="24" t="s">
        <v>37</v>
      </c>
    </row>
    <row r="1738">
      <c r="A1738" s="24">
        <f t="shared" si="1"/>
        <v>1736</v>
      </c>
      <c r="B1738" s="24" t="s">
        <v>745</v>
      </c>
      <c r="C1738" s="275">
        <v>43118.0</v>
      </c>
      <c r="D1738" s="24" t="str">
        <f t="shared" si="122"/>
        <v>Jan-2018</v>
      </c>
      <c r="E1738" s="24" t="s">
        <v>467</v>
      </c>
      <c r="F1738" s="24" t="s">
        <v>35</v>
      </c>
      <c r="G1738" s="23" t="s">
        <v>361</v>
      </c>
      <c r="H1738" s="24" t="s">
        <v>44</v>
      </c>
      <c r="I1738" s="24" t="s">
        <v>9</v>
      </c>
      <c r="J1738" s="24" t="s">
        <v>24</v>
      </c>
      <c r="K1738" s="24"/>
      <c r="L1738" s="24" t="s">
        <v>106</v>
      </c>
    </row>
    <row r="1739">
      <c r="A1739" s="24">
        <f t="shared" si="1"/>
        <v>1737</v>
      </c>
      <c r="B1739" s="24" t="s">
        <v>745</v>
      </c>
      <c r="C1739" s="275">
        <v>43118.0</v>
      </c>
      <c r="D1739" s="24" t="str">
        <f t="shared" si="122"/>
        <v>Jan-2018</v>
      </c>
      <c r="E1739" s="24" t="s">
        <v>480</v>
      </c>
      <c r="F1739" s="24" t="s">
        <v>35</v>
      </c>
      <c r="G1739" s="23" t="s">
        <v>361</v>
      </c>
      <c r="H1739" s="24" t="s">
        <v>44</v>
      </c>
      <c r="I1739" s="24" t="s">
        <v>9</v>
      </c>
      <c r="J1739" s="24" t="s">
        <v>24</v>
      </c>
      <c r="K1739" s="24"/>
      <c r="L1739" s="24" t="s">
        <v>98</v>
      </c>
    </row>
    <row r="1740">
      <c r="A1740" s="24">
        <f t="shared" si="1"/>
        <v>1738</v>
      </c>
      <c r="B1740" s="24" t="s">
        <v>749</v>
      </c>
      <c r="C1740" s="275">
        <v>43127.0</v>
      </c>
      <c r="D1740" s="24" t="str">
        <f t="shared" ref="D1740:D1747" si="123">TEXT(C1733:C1740, "mmm") &amp; "-" &amp; TEXT(C1733:C1740, "yyyy") </f>
        <v>Jan-2018</v>
      </c>
      <c r="E1740" s="24" t="s">
        <v>20</v>
      </c>
      <c r="F1740" s="24" t="s">
        <v>287</v>
      </c>
      <c r="G1740" s="23" t="s">
        <v>750</v>
      </c>
      <c r="H1740" s="24" t="s">
        <v>44</v>
      </c>
      <c r="I1740" s="24" t="s">
        <v>9</v>
      </c>
      <c r="J1740" s="24" t="s">
        <v>30</v>
      </c>
      <c r="K1740" s="24" t="s">
        <v>30</v>
      </c>
      <c r="L1740" s="24" t="s">
        <v>98</v>
      </c>
    </row>
    <row r="1741">
      <c r="A1741" s="24">
        <f t="shared" si="1"/>
        <v>1739</v>
      </c>
      <c r="B1741" s="24" t="s">
        <v>749</v>
      </c>
      <c r="C1741" s="275">
        <v>43127.0</v>
      </c>
      <c r="D1741" s="24" t="str">
        <f t="shared" si="123"/>
        <v>Jan-2018</v>
      </c>
      <c r="E1741" s="24" t="s">
        <v>25</v>
      </c>
      <c r="F1741" s="24" t="s">
        <v>287</v>
      </c>
      <c r="G1741" s="23" t="s">
        <v>750</v>
      </c>
      <c r="H1741" s="24" t="s">
        <v>44</v>
      </c>
      <c r="I1741" s="24" t="s">
        <v>9</v>
      </c>
      <c r="J1741" s="24" t="s">
        <v>30</v>
      </c>
      <c r="K1741" s="24"/>
      <c r="L1741" s="24" t="s">
        <v>99</v>
      </c>
    </row>
    <row r="1742">
      <c r="A1742" s="24">
        <f t="shared" si="1"/>
        <v>1740</v>
      </c>
      <c r="B1742" s="24" t="s">
        <v>749</v>
      </c>
      <c r="C1742" s="275">
        <v>43127.0</v>
      </c>
      <c r="D1742" s="24" t="str">
        <f t="shared" si="123"/>
        <v>Jan-2018</v>
      </c>
      <c r="E1742" s="24" t="s">
        <v>20</v>
      </c>
      <c r="F1742" s="24" t="s">
        <v>287</v>
      </c>
      <c r="G1742" s="23" t="s">
        <v>726</v>
      </c>
      <c r="H1742" s="24" t="s">
        <v>216</v>
      </c>
      <c r="I1742" s="24" t="s">
        <v>9</v>
      </c>
      <c r="J1742" s="24" t="s">
        <v>30</v>
      </c>
      <c r="K1742" s="24" t="s">
        <v>30</v>
      </c>
      <c r="L1742" s="24" t="s">
        <v>37</v>
      </c>
    </row>
    <row r="1743">
      <c r="A1743" s="24">
        <f t="shared" si="1"/>
        <v>1741</v>
      </c>
      <c r="B1743" s="24" t="s">
        <v>749</v>
      </c>
      <c r="C1743" s="275">
        <v>43127.0</v>
      </c>
      <c r="D1743" s="24" t="str">
        <f t="shared" si="123"/>
        <v>Jan-2018</v>
      </c>
      <c r="E1743" s="24" t="s">
        <v>25</v>
      </c>
      <c r="F1743" s="24" t="s">
        <v>287</v>
      </c>
      <c r="G1743" s="23" t="s">
        <v>726</v>
      </c>
      <c r="H1743" s="24" t="s">
        <v>216</v>
      </c>
      <c r="I1743" s="24" t="s">
        <v>9</v>
      </c>
      <c r="J1743" s="24" t="s">
        <v>30</v>
      </c>
      <c r="K1743" s="24"/>
      <c r="L1743" s="24" t="s">
        <v>99</v>
      </c>
    </row>
    <row r="1744">
      <c r="A1744" s="24">
        <f t="shared" si="1"/>
        <v>1742</v>
      </c>
      <c r="B1744" s="24" t="s">
        <v>749</v>
      </c>
      <c r="C1744" s="275">
        <v>43127.0</v>
      </c>
      <c r="D1744" s="24" t="str">
        <f t="shared" si="123"/>
        <v>Jan-2018</v>
      </c>
      <c r="E1744" s="24" t="s">
        <v>20</v>
      </c>
      <c r="F1744" s="24" t="s">
        <v>287</v>
      </c>
      <c r="G1744" s="23" t="s">
        <v>528</v>
      </c>
      <c r="H1744" s="24" t="s">
        <v>27</v>
      </c>
      <c r="I1744" s="24" t="s">
        <v>9</v>
      </c>
      <c r="J1744" s="24" t="s">
        <v>30</v>
      </c>
      <c r="K1744" s="24" t="s">
        <v>30</v>
      </c>
      <c r="L1744" s="24" t="s">
        <v>98</v>
      </c>
    </row>
    <row r="1745">
      <c r="A1745" s="24">
        <f t="shared" si="1"/>
        <v>1743</v>
      </c>
      <c r="B1745" s="24" t="s">
        <v>749</v>
      </c>
      <c r="C1745" s="275">
        <v>43127.0</v>
      </c>
      <c r="D1745" s="24" t="str">
        <f t="shared" si="123"/>
        <v>Jan-2018</v>
      </c>
      <c r="E1745" s="24" t="s">
        <v>25</v>
      </c>
      <c r="F1745" s="24" t="s">
        <v>287</v>
      </c>
      <c r="G1745" s="23" t="s">
        <v>528</v>
      </c>
      <c r="H1745" s="24" t="s">
        <v>27</v>
      </c>
      <c r="I1745" s="24" t="s">
        <v>9</v>
      </c>
      <c r="J1745" s="24" t="s">
        <v>30</v>
      </c>
      <c r="K1745" s="24"/>
      <c r="L1745" s="24" t="s">
        <v>98</v>
      </c>
    </row>
    <row r="1746">
      <c r="A1746" s="24">
        <f t="shared" si="1"/>
        <v>1744</v>
      </c>
      <c r="B1746" s="24" t="s">
        <v>749</v>
      </c>
      <c r="C1746" s="275">
        <v>43127.0</v>
      </c>
      <c r="D1746" s="24" t="str">
        <f t="shared" si="123"/>
        <v>Jan-2018</v>
      </c>
      <c r="E1746" s="24" t="s">
        <v>20</v>
      </c>
      <c r="F1746" s="24" t="s">
        <v>287</v>
      </c>
      <c r="G1746" s="23" t="s">
        <v>754</v>
      </c>
      <c r="H1746" s="24" t="s">
        <v>27</v>
      </c>
      <c r="I1746" s="24" t="s">
        <v>9</v>
      </c>
      <c r="J1746" s="24" t="s">
        <v>30</v>
      </c>
      <c r="K1746" s="24" t="s">
        <v>24</v>
      </c>
      <c r="L1746" s="24" t="s">
        <v>69</v>
      </c>
    </row>
    <row r="1747">
      <c r="A1747" s="24">
        <f t="shared" si="1"/>
        <v>1745</v>
      </c>
      <c r="B1747" s="24" t="s">
        <v>749</v>
      </c>
      <c r="C1747" s="275">
        <v>43127.0</v>
      </c>
      <c r="D1747" s="24" t="str">
        <f t="shared" si="123"/>
        <v>Jan-2018</v>
      </c>
      <c r="E1747" s="24" t="s">
        <v>25</v>
      </c>
      <c r="F1747" s="24" t="s">
        <v>287</v>
      </c>
      <c r="G1747" s="23" t="s">
        <v>754</v>
      </c>
      <c r="H1747" s="24" t="s">
        <v>27</v>
      </c>
      <c r="I1747" s="24" t="s">
        <v>9</v>
      </c>
      <c r="J1747" s="24" t="s">
        <v>24</v>
      </c>
      <c r="K1747" s="24"/>
      <c r="L1747" s="24" t="s">
        <v>99</v>
      </c>
    </row>
    <row r="1748">
      <c r="A1748" s="24">
        <f t="shared" si="1"/>
        <v>1746</v>
      </c>
      <c r="B1748" s="24" t="s">
        <v>749</v>
      </c>
      <c r="C1748" s="275">
        <v>43127.0</v>
      </c>
      <c r="D1748" s="24" t="str">
        <f t="shared" ref="D1748:D1766" si="124">TEXT(C1740:C1748, "mmm") &amp; "-" &amp; TEXT(C1740:C1748, "yyyy") </f>
        <v>Jan-2018</v>
      </c>
      <c r="E1748" s="24" t="s">
        <v>32</v>
      </c>
      <c r="F1748" s="24" t="s">
        <v>287</v>
      </c>
      <c r="G1748" s="23" t="s">
        <v>754</v>
      </c>
      <c r="H1748" s="24" t="s">
        <v>27</v>
      </c>
      <c r="I1748" s="24" t="s">
        <v>9</v>
      </c>
      <c r="J1748" s="24" t="s">
        <v>24</v>
      </c>
      <c r="K1748" s="24"/>
      <c r="L1748" s="24" t="s">
        <v>106</v>
      </c>
    </row>
    <row r="1749">
      <c r="A1749" s="24">
        <f t="shared" si="1"/>
        <v>1747</v>
      </c>
      <c r="B1749" s="24" t="s">
        <v>749</v>
      </c>
      <c r="C1749" s="275">
        <v>43127.0</v>
      </c>
      <c r="D1749" s="24" t="str">
        <f t="shared" si="124"/>
        <v>Jan-2018</v>
      </c>
      <c r="E1749" s="24" t="s">
        <v>20</v>
      </c>
      <c r="F1749" s="24" t="s">
        <v>287</v>
      </c>
      <c r="G1749" s="23" t="s">
        <v>756</v>
      </c>
      <c r="H1749" s="24" t="s">
        <v>9</v>
      </c>
      <c r="I1749" s="24" t="s">
        <v>9</v>
      </c>
      <c r="J1749" s="24" t="s">
        <v>30</v>
      </c>
      <c r="K1749" s="24" t="s">
        <v>30</v>
      </c>
      <c r="L1749" s="24" t="s">
        <v>98</v>
      </c>
    </row>
    <row r="1750">
      <c r="A1750" s="24">
        <f t="shared" si="1"/>
        <v>1748</v>
      </c>
      <c r="B1750" s="24" t="s">
        <v>749</v>
      </c>
      <c r="C1750" s="275">
        <v>43127.0</v>
      </c>
      <c r="D1750" s="24" t="str">
        <f t="shared" si="124"/>
        <v>Jan-2018</v>
      </c>
      <c r="E1750" s="24" t="s">
        <v>25</v>
      </c>
      <c r="F1750" s="24" t="s">
        <v>287</v>
      </c>
      <c r="G1750" s="23" t="s">
        <v>756</v>
      </c>
      <c r="H1750" s="24" t="s">
        <v>9</v>
      </c>
      <c r="I1750" s="24" t="s">
        <v>9</v>
      </c>
      <c r="J1750" s="24" t="s">
        <v>30</v>
      </c>
      <c r="K1750" s="24"/>
      <c r="L1750" s="24" t="s">
        <v>98</v>
      </c>
    </row>
    <row r="1751">
      <c r="A1751" s="24">
        <f t="shared" si="1"/>
        <v>1749</v>
      </c>
      <c r="B1751" s="24" t="s">
        <v>749</v>
      </c>
      <c r="C1751" s="275">
        <v>43127.0</v>
      </c>
      <c r="D1751" s="24" t="str">
        <f t="shared" si="124"/>
        <v>Jan-2018</v>
      </c>
      <c r="E1751" s="24" t="s">
        <v>20</v>
      </c>
      <c r="F1751" s="24" t="s">
        <v>287</v>
      </c>
      <c r="G1751" s="23" t="s">
        <v>757</v>
      </c>
      <c r="H1751" s="24" t="s">
        <v>9</v>
      </c>
      <c r="I1751" s="24" t="s">
        <v>9</v>
      </c>
      <c r="J1751" s="24" t="s">
        <v>30</v>
      </c>
      <c r="K1751" s="24" t="s">
        <v>30</v>
      </c>
      <c r="L1751" s="24" t="s">
        <v>98</v>
      </c>
    </row>
    <row r="1752">
      <c r="A1752" s="24">
        <f t="shared" si="1"/>
        <v>1750</v>
      </c>
      <c r="B1752" s="24" t="s">
        <v>749</v>
      </c>
      <c r="C1752" s="275">
        <v>43127.0</v>
      </c>
      <c r="D1752" s="24" t="str">
        <f t="shared" si="124"/>
        <v>Jan-2018</v>
      </c>
      <c r="E1752" s="24" t="s">
        <v>25</v>
      </c>
      <c r="F1752" s="24" t="s">
        <v>287</v>
      </c>
      <c r="G1752" s="23" t="s">
        <v>757</v>
      </c>
      <c r="H1752" s="24" t="s">
        <v>27</v>
      </c>
      <c r="I1752" s="24" t="s">
        <v>9</v>
      </c>
      <c r="J1752" s="24" t="s">
        <v>30</v>
      </c>
      <c r="K1752" s="24"/>
      <c r="L1752" s="24" t="s">
        <v>98</v>
      </c>
    </row>
    <row r="1753">
      <c r="A1753" s="24">
        <f t="shared" si="1"/>
        <v>1751</v>
      </c>
      <c r="B1753" s="24" t="s">
        <v>749</v>
      </c>
      <c r="C1753" s="275">
        <v>43127.0</v>
      </c>
      <c r="D1753" s="24" t="str">
        <f t="shared" si="124"/>
        <v>Jan-2018</v>
      </c>
      <c r="E1753" s="24" t="s">
        <v>20</v>
      </c>
      <c r="F1753" s="24" t="s">
        <v>287</v>
      </c>
      <c r="G1753" s="23" t="s">
        <v>190</v>
      </c>
      <c r="H1753" s="24" t="s">
        <v>9</v>
      </c>
      <c r="I1753" s="24" t="s">
        <v>9</v>
      </c>
      <c r="J1753" s="24" t="s">
        <v>24</v>
      </c>
      <c r="K1753" s="24" t="s">
        <v>24</v>
      </c>
      <c r="L1753" s="24" t="s">
        <v>98</v>
      </c>
    </row>
    <row r="1754">
      <c r="A1754" s="24">
        <f t="shared" si="1"/>
        <v>1752</v>
      </c>
      <c r="B1754" s="24" t="s">
        <v>749</v>
      </c>
      <c r="C1754" s="275">
        <v>43127.0</v>
      </c>
      <c r="D1754" s="24" t="str">
        <f t="shared" si="124"/>
        <v>Jan-2018</v>
      </c>
      <c r="E1754" s="24" t="s">
        <v>25</v>
      </c>
      <c r="F1754" s="24" t="s">
        <v>287</v>
      </c>
      <c r="G1754" s="23" t="s">
        <v>190</v>
      </c>
      <c r="H1754" s="24" t="s">
        <v>9</v>
      </c>
      <c r="I1754" s="24" t="s">
        <v>9</v>
      </c>
      <c r="J1754" s="24" t="s">
        <v>24</v>
      </c>
      <c r="K1754" s="24"/>
      <c r="L1754" s="24" t="s">
        <v>106</v>
      </c>
    </row>
    <row r="1755">
      <c r="A1755" s="24">
        <f t="shared" si="1"/>
        <v>1753</v>
      </c>
      <c r="B1755" s="24" t="s">
        <v>749</v>
      </c>
      <c r="C1755" s="275">
        <v>43127.0</v>
      </c>
      <c r="D1755" s="24" t="str">
        <f t="shared" si="124"/>
        <v>Jan-2018</v>
      </c>
      <c r="E1755" s="24" t="s">
        <v>20</v>
      </c>
      <c r="F1755" s="24" t="s">
        <v>287</v>
      </c>
      <c r="G1755" s="23" t="s">
        <v>758</v>
      </c>
      <c r="H1755" s="24" t="s">
        <v>27</v>
      </c>
      <c r="I1755" s="24" t="s">
        <v>9</v>
      </c>
      <c r="J1755" s="24" t="s">
        <v>24</v>
      </c>
      <c r="K1755" s="24" t="s">
        <v>24</v>
      </c>
      <c r="L1755" s="24" t="s">
        <v>98</v>
      </c>
    </row>
    <row r="1756">
      <c r="A1756" s="24">
        <f t="shared" si="1"/>
        <v>1754</v>
      </c>
      <c r="B1756" s="24" t="s">
        <v>749</v>
      </c>
      <c r="C1756" s="275">
        <v>43127.0</v>
      </c>
      <c r="D1756" s="24" t="str">
        <f t="shared" si="124"/>
        <v>Jan-2018</v>
      </c>
      <c r="E1756" s="24" t="s">
        <v>25</v>
      </c>
      <c r="F1756" s="24" t="s">
        <v>287</v>
      </c>
      <c r="G1756" s="23" t="s">
        <v>758</v>
      </c>
      <c r="H1756" s="24" t="s">
        <v>27</v>
      </c>
      <c r="I1756" s="24" t="s">
        <v>9</v>
      </c>
      <c r="J1756" s="24" t="s">
        <v>24</v>
      </c>
      <c r="K1756" s="24"/>
      <c r="L1756" s="24" t="s">
        <v>106</v>
      </c>
    </row>
    <row r="1757">
      <c r="A1757" s="24">
        <f t="shared" si="1"/>
        <v>1755</v>
      </c>
      <c r="B1757" s="24" t="s">
        <v>749</v>
      </c>
      <c r="C1757" s="275">
        <v>43127.0</v>
      </c>
      <c r="D1757" s="24" t="str">
        <f t="shared" si="124"/>
        <v>Jan-2018</v>
      </c>
      <c r="E1757" s="24" t="s">
        <v>20</v>
      </c>
      <c r="F1757" s="24" t="s">
        <v>35</v>
      </c>
      <c r="G1757" s="23" t="s">
        <v>361</v>
      </c>
      <c r="H1757" s="24" t="s">
        <v>44</v>
      </c>
      <c r="I1757" s="24" t="s">
        <v>9</v>
      </c>
      <c r="J1757" s="24" t="s">
        <v>30</v>
      </c>
      <c r="K1757" s="24" t="s">
        <v>30</v>
      </c>
      <c r="L1757" s="24" t="s">
        <v>69</v>
      </c>
    </row>
    <row r="1758">
      <c r="A1758" s="24">
        <f t="shared" si="1"/>
        <v>1756</v>
      </c>
      <c r="B1758" s="24" t="s">
        <v>749</v>
      </c>
      <c r="C1758" s="275">
        <v>43127.0</v>
      </c>
      <c r="D1758" s="24" t="str">
        <f t="shared" si="124"/>
        <v>Jan-2018</v>
      </c>
      <c r="E1758" s="24" t="s">
        <v>25</v>
      </c>
      <c r="F1758" s="24" t="s">
        <v>35</v>
      </c>
      <c r="G1758" s="23" t="s">
        <v>361</v>
      </c>
      <c r="H1758" s="24" t="s">
        <v>44</v>
      </c>
      <c r="I1758" s="24" t="s">
        <v>9</v>
      </c>
      <c r="J1758" s="24" t="s">
        <v>30</v>
      </c>
      <c r="K1758" s="24"/>
      <c r="L1758" s="24" t="s">
        <v>106</v>
      </c>
    </row>
    <row r="1759">
      <c r="A1759" s="24">
        <f t="shared" si="1"/>
        <v>1757</v>
      </c>
      <c r="B1759" s="24" t="s">
        <v>749</v>
      </c>
      <c r="C1759" s="275">
        <v>43127.0</v>
      </c>
      <c r="D1759" s="24" t="str">
        <f t="shared" si="124"/>
        <v>Jan-2018</v>
      </c>
      <c r="E1759" s="24" t="s">
        <v>20</v>
      </c>
      <c r="F1759" s="24" t="s">
        <v>35</v>
      </c>
      <c r="G1759" s="23" t="s">
        <v>360</v>
      </c>
      <c r="H1759" s="24" t="s">
        <v>216</v>
      </c>
      <c r="I1759" s="24" t="s">
        <v>9</v>
      </c>
      <c r="J1759" s="24" t="s">
        <v>24</v>
      </c>
      <c r="K1759" s="24" t="s">
        <v>30</v>
      </c>
      <c r="L1759" s="24" t="s">
        <v>37</v>
      </c>
    </row>
    <row r="1760">
      <c r="A1760" s="24">
        <f t="shared" si="1"/>
        <v>1758</v>
      </c>
      <c r="B1760" s="24" t="s">
        <v>749</v>
      </c>
      <c r="C1760" s="275">
        <v>43127.0</v>
      </c>
      <c r="D1760" s="24" t="str">
        <f t="shared" si="124"/>
        <v>Jan-2018</v>
      </c>
      <c r="E1760" s="24" t="s">
        <v>25</v>
      </c>
      <c r="F1760" s="24" t="s">
        <v>35</v>
      </c>
      <c r="G1760" s="23" t="s">
        <v>360</v>
      </c>
      <c r="H1760" s="24" t="s">
        <v>216</v>
      </c>
      <c r="I1760" s="24" t="s">
        <v>9</v>
      </c>
      <c r="J1760" s="24" t="s">
        <v>30</v>
      </c>
      <c r="K1760" s="24"/>
      <c r="L1760" s="24" t="s">
        <v>69</v>
      </c>
    </row>
    <row r="1761">
      <c r="A1761" s="24">
        <f t="shared" si="1"/>
        <v>1759</v>
      </c>
      <c r="B1761" s="24" t="s">
        <v>749</v>
      </c>
      <c r="C1761" s="275">
        <v>43127.0</v>
      </c>
      <c r="D1761" s="24" t="str">
        <f t="shared" si="124"/>
        <v>Jan-2018</v>
      </c>
      <c r="E1761" s="24" t="s">
        <v>32</v>
      </c>
      <c r="F1761" s="24" t="s">
        <v>35</v>
      </c>
      <c r="G1761" s="23" t="s">
        <v>360</v>
      </c>
      <c r="H1761" s="24" t="s">
        <v>216</v>
      </c>
      <c r="I1761" s="24" t="s">
        <v>9</v>
      </c>
      <c r="J1761" s="24" t="s">
        <v>30</v>
      </c>
      <c r="K1761" s="24"/>
      <c r="L1761" s="24" t="s">
        <v>99</v>
      </c>
    </row>
    <row r="1762">
      <c r="A1762" s="24">
        <f t="shared" si="1"/>
        <v>1760</v>
      </c>
      <c r="B1762" s="24" t="s">
        <v>749</v>
      </c>
      <c r="C1762" s="275">
        <v>43127.0</v>
      </c>
      <c r="D1762" s="24" t="str">
        <f t="shared" si="124"/>
        <v>Jan-2018</v>
      </c>
      <c r="E1762" s="24" t="s">
        <v>146</v>
      </c>
      <c r="F1762" s="24" t="s">
        <v>35</v>
      </c>
      <c r="G1762" s="23" t="s">
        <v>452</v>
      </c>
      <c r="H1762" s="24" t="s">
        <v>27</v>
      </c>
      <c r="I1762" s="24" t="s">
        <v>9</v>
      </c>
      <c r="J1762" s="24" t="s">
        <v>24</v>
      </c>
      <c r="K1762" s="24" t="s">
        <v>24</v>
      </c>
      <c r="L1762" s="24" t="s">
        <v>69</v>
      </c>
    </row>
    <row r="1763">
      <c r="A1763" s="24">
        <f t="shared" si="1"/>
        <v>1761</v>
      </c>
      <c r="B1763" s="24" t="s">
        <v>749</v>
      </c>
      <c r="C1763" s="275">
        <v>43127.0</v>
      </c>
      <c r="D1763" s="24" t="str">
        <f t="shared" si="124"/>
        <v>Jan-2018</v>
      </c>
      <c r="E1763" s="24" t="s">
        <v>149</v>
      </c>
      <c r="F1763" s="24" t="s">
        <v>35</v>
      </c>
      <c r="G1763" s="23" t="s">
        <v>452</v>
      </c>
      <c r="H1763" s="24" t="s">
        <v>27</v>
      </c>
      <c r="I1763" s="24" t="s">
        <v>9</v>
      </c>
      <c r="J1763" s="24" t="s">
        <v>30</v>
      </c>
      <c r="K1763" s="24"/>
      <c r="L1763" s="24" t="s">
        <v>106</v>
      </c>
    </row>
    <row r="1764">
      <c r="A1764" s="24">
        <f t="shared" si="1"/>
        <v>1762</v>
      </c>
      <c r="B1764" s="24" t="s">
        <v>749</v>
      </c>
      <c r="C1764" s="275">
        <v>43127.0</v>
      </c>
      <c r="D1764" s="24" t="str">
        <f t="shared" si="124"/>
        <v>Jan-2018</v>
      </c>
      <c r="E1764" s="24" t="s">
        <v>222</v>
      </c>
      <c r="F1764" s="24" t="s">
        <v>35</v>
      </c>
      <c r="G1764" s="23" t="s">
        <v>452</v>
      </c>
      <c r="H1764" s="24" t="s">
        <v>27</v>
      </c>
      <c r="I1764" s="24" t="s">
        <v>9</v>
      </c>
      <c r="J1764" s="24" t="s">
        <v>24</v>
      </c>
      <c r="K1764" s="24"/>
      <c r="L1764" s="24" t="s">
        <v>29</v>
      </c>
    </row>
    <row r="1765">
      <c r="A1765" s="24">
        <f t="shared" si="1"/>
        <v>1763</v>
      </c>
      <c r="B1765" s="24" t="s">
        <v>749</v>
      </c>
      <c r="C1765" s="275">
        <v>43127.0</v>
      </c>
      <c r="D1765" s="24" t="str">
        <f t="shared" si="124"/>
        <v>Jan-2018</v>
      </c>
      <c r="E1765" s="24" t="s">
        <v>467</v>
      </c>
      <c r="F1765" s="24" t="s">
        <v>35</v>
      </c>
      <c r="G1765" s="23" t="s">
        <v>452</v>
      </c>
      <c r="H1765" s="24" t="s">
        <v>27</v>
      </c>
      <c r="I1765" s="24" t="s">
        <v>9</v>
      </c>
      <c r="J1765" s="24" t="s">
        <v>30</v>
      </c>
      <c r="K1765" s="24"/>
      <c r="L1765" s="24" t="s">
        <v>98</v>
      </c>
    </row>
    <row r="1766">
      <c r="A1766" s="24">
        <f t="shared" si="1"/>
        <v>1764</v>
      </c>
      <c r="B1766" s="24" t="s">
        <v>749</v>
      </c>
      <c r="C1766" s="275">
        <v>43127.0</v>
      </c>
      <c r="D1766" s="24" t="str">
        <f t="shared" si="124"/>
        <v>Jan-2018</v>
      </c>
      <c r="E1766" s="24" t="s">
        <v>480</v>
      </c>
      <c r="F1766" s="24" t="s">
        <v>35</v>
      </c>
      <c r="G1766" s="23" t="s">
        <v>452</v>
      </c>
      <c r="H1766" s="24" t="s">
        <v>27</v>
      </c>
      <c r="I1766" s="24" t="s">
        <v>9</v>
      </c>
      <c r="J1766" s="24" t="s">
        <v>24</v>
      </c>
      <c r="K1766" s="24"/>
      <c r="L1766" s="24" t="s">
        <v>99</v>
      </c>
    </row>
    <row r="1767">
      <c r="A1767" s="24">
        <f t="shared" si="1"/>
        <v>1765</v>
      </c>
      <c r="B1767" s="24" t="s">
        <v>759</v>
      </c>
      <c r="C1767" s="275">
        <v>43134.0</v>
      </c>
      <c r="D1767" s="24" t="str">
        <f t="shared" ref="D1767:D1774" si="125">TEXT(C1760:C1767, "mmm") &amp; "-" &amp; TEXT(C1760:C1767, "yyyy") </f>
        <v>Feb-2018</v>
      </c>
      <c r="E1767" s="24" t="s">
        <v>20</v>
      </c>
      <c r="F1767" s="24" t="s">
        <v>287</v>
      </c>
      <c r="G1767" s="23" t="s">
        <v>325</v>
      </c>
      <c r="H1767" s="24" t="s">
        <v>86</v>
      </c>
      <c r="I1767" s="24" t="s">
        <v>9</v>
      </c>
      <c r="J1767" s="24" t="s">
        <v>30</v>
      </c>
      <c r="K1767" s="24" t="s">
        <v>30</v>
      </c>
      <c r="L1767" s="24" t="s">
        <v>99</v>
      </c>
    </row>
    <row r="1768">
      <c r="A1768" s="24">
        <f t="shared" si="1"/>
        <v>1766</v>
      </c>
      <c r="B1768" s="24" t="s">
        <v>759</v>
      </c>
      <c r="C1768" s="275">
        <v>43134.0</v>
      </c>
      <c r="D1768" s="24" t="str">
        <f t="shared" si="125"/>
        <v>Feb-2018</v>
      </c>
      <c r="E1768" s="24" t="s">
        <v>25</v>
      </c>
      <c r="F1768" s="24" t="s">
        <v>287</v>
      </c>
      <c r="G1768" s="23" t="s">
        <v>325</v>
      </c>
      <c r="H1768" s="24" t="s">
        <v>86</v>
      </c>
      <c r="I1768" s="24" t="s">
        <v>9</v>
      </c>
      <c r="J1768" s="24" t="s">
        <v>30</v>
      </c>
      <c r="K1768" s="24"/>
      <c r="L1768" s="24" t="s">
        <v>98</v>
      </c>
    </row>
    <row r="1769">
      <c r="A1769" s="24">
        <f t="shared" si="1"/>
        <v>1767</v>
      </c>
      <c r="B1769" s="24" t="s">
        <v>759</v>
      </c>
      <c r="C1769" s="275">
        <v>43134.0</v>
      </c>
      <c r="D1769" s="24" t="str">
        <f t="shared" si="125"/>
        <v>Feb-2018</v>
      </c>
      <c r="E1769" s="24" t="s">
        <v>20</v>
      </c>
      <c r="F1769" s="24" t="s">
        <v>287</v>
      </c>
      <c r="G1769" s="23" t="s">
        <v>762</v>
      </c>
      <c r="H1769" s="24" t="s">
        <v>86</v>
      </c>
      <c r="I1769" s="24" t="s">
        <v>9</v>
      </c>
      <c r="J1769" s="24" t="s">
        <v>30</v>
      </c>
      <c r="K1769" s="24" t="s">
        <v>30</v>
      </c>
      <c r="L1769" s="24" t="s">
        <v>29</v>
      </c>
    </row>
    <row r="1770">
      <c r="A1770" s="24">
        <f t="shared" si="1"/>
        <v>1768</v>
      </c>
      <c r="B1770" s="24" t="s">
        <v>759</v>
      </c>
      <c r="C1770" s="275">
        <v>43134.0</v>
      </c>
      <c r="D1770" s="24" t="str">
        <f t="shared" si="125"/>
        <v>Feb-2018</v>
      </c>
      <c r="E1770" s="24" t="s">
        <v>25</v>
      </c>
      <c r="F1770" s="24" t="s">
        <v>287</v>
      </c>
      <c r="G1770" s="23" t="s">
        <v>762</v>
      </c>
      <c r="H1770" s="24" t="s">
        <v>86</v>
      </c>
      <c r="I1770" s="24" t="s">
        <v>9</v>
      </c>
      <c r="J1770" s="24" t="s">
        <v>30</v>
      </c>
      <c r="K1770" s="24"/>
      <c r="L1770" s="24" t="s">
        <v>98</v>
      </c>
    </row>
    <row r="1771">
      <c r="A1771" s="24">
        <f t="shared" si="1"/>
        <v>1769</v>
      </c>
      <c r="B1771" s="24" t="s">
        <v>759</v>
      </c>
      <c r="C1771" s="275">
        <v>43134.0</v>
      </c>
      <c r="D1771" s="24" t="str">
        <f t="shared" si="125"/>
        <v>Feb-2018</v>
      </c>
      <c r="E1771" s="24" t="s">
        <v>20</v>
      </c>
      <c r="F1771" s="24" t="s">
        <v>287</v>
      </c>
      <c r="G1771" s="23" t="s">
        <v>120</v>
      </c>
      <c r="H1771" s="24" t="s">
        <v>9</v>
      </c>
      <c r="I1771" s="24" t="s">
        <v>9</v>
      </c>
      <c r="J1771" s="24" t="s">
        <v>30</v>
      </c>
      <c r="K1771" s="24" t="s">
        <v>30</v>
      </c>
      <c r="L1771" s="24" t="s">
        <v>98</v>
      </c>
    </row>
    <row r="1772">
      <c r="A1772" s="24">
        <f t="shared" si="1"/>
        <v>1770</v>
      </c>
      <c r="B1772" s="24" t="s">
        <v>759</v>
      </c>
      <c r="C1772" s="275">
        <v>43134.0</v>
      </c>
      <c r="D1772" s="24" t="str">
        <f t="shared" si="125"/>
        <v>Feb-2018</v>
      </c>
      <c r="E1772" s="24" t="s">
        <v>25</v>
      </c>
      <c r="F1772" s="24" t="s">
        <v>287</v>
      </c>
      <c r="G1772" s="23" t="s">
        <v>120</v>
      </c>
      <c r="H1772" s="24" t="s">
        <v>9</v>
      </c>
      <c r="I1772" s="24" t="s">
        <v>9</v>
      </c>
      <c r="J1772" s="24" t="s">
        <v>24</v>
      </c>
      <c r="K1772" s="24"/>
      <c r="L1772" s="24" t="s">
        <v>98</v>
      </c>
    </row>
    <row r="1773">
      <c r="A1773" s="24">
        <f t="shared" si="1"/>
        <v>1771</v>
      </c>
      <c r="B1773" s="24" t="s">
        <v>759</v>
      </c>
      <c r="C1773" s="275">
        <v>43134.0</v>
      </c>
      <c r="D1773" s="24" t="str">
        <f t="shared" si="125"/>
        <v>Feb-2018</v>
      </c>
      <c r="E1773" s="24" t="s">
        <v>32</v>
      </c>
      <c r="F1773" s="24" t="s">
        <v>287</v>
      </c>
      <c r="G1773" s="23" t="s">
        <v>120</v>
      </c>
      <c r="H1773" s="24" t="s">
        <v>9</v>
      </c>
      <c r="I1773" s="24" t="s">
        <v>9</v>
      </c>
      <c r="J1773" s="24" t="s">
        <v>30</v>
      </c>
      <c r="K1773" s="24"/>
      <c r="L1773" s="24" t="s">
        <v>99</v>
      </c>
    </row>
    <row r="1774">
      <c r="A1774" s="24">
        <f t="shared" si="1"/>
        <v>1772</v>
      </c>
      <c r="B1774" s="24" t="s">
        <v>759</v>
      </c>
      <c r="C1774" s="275">
        <v>43134.0</v>
      </c>
      <c r="D1774" s="24" t="str">
        <f t="shared" si="125"/>
        <v>Feb-2018</v>
      </c>
      <c r="E1774" s="24" t="s">
        <v>20</v>
      </c>
      <c r="F1774" s="24" t="s">
        <v>287</v>
      </c>
      <c r="G1774" s="23" t="s">
        <v>1342</v>
      </c>
      <c r="H1774" s="24" t="s">
        <v>27</v>
      </c>
      <c r="I1774" s="24" t="s">
        <v>9</v>
      </c>
      <c r="J1774" s="24" t="s">
        <v>30</v>
      </c>
      <c r="K1774" s="24" t="s">
        <v>30</v>
      </c>
      <c r="L1774" s="24" t="s">
        <v>69</v>
      </c>
    </row>
    <row r="1775">
      <c r="A1775" s="24">
        <f t="shared" si="1"/>
        <v>1773</v>
      </c>
      <c r="B1775" s="24" t="s">
        <v>759</v>
      </c>
      <c r="C1775" s="275">
        <v>43134.0</v>
      </c>
      <c r="D1775" s="24" t="str">
        <f t="shared" ref="D1775:D1789" si="126">TEXT(C1767:C1775, "mmm") &amp; "-" &amp; TEXT(C1767:C1775, "yyyy") </f>
        <v>Feb-2018</v>
      </c>
      <c r="E1775" s="24" t="s">
        <v>25</v>
      </c>
      <c r="F1775" s="24" t="s">
        <v>287</v>
      </c>
      <c r="G1775" s="23" t="s">
        <v>1342</v>
      </c>
      <c r="H1775" s="24" t="s">
        <v>27</v>
      </c>
      <c r="I1775" s="24" t="s">
        <v>9</v>
      </c>
      <c r="J1775" s="24" t="s">
        <v>30</v>
      </c>
      <c r="K1775" s="24"/>
      <c r="L1775" s="24" t="s">
        <v>29</v>
      </c>
    </row>
    <row r="1776">
      <c r="A1776" s="24">
        <f t="shared" si="1"/>
        <v>1774</v>
      </c>
      <c r="B1776" s="24" t="s">
        <v>759</v>
      </c>
      <c r="C1776" s="275">
        <v>43134.0</v>
      </c>
      <c r="D1776" s="24" t="str">
        <f t="shared" si="126"/>
        <v>Feb-2018</v>
      </c>
      <c r="E1776" s="24" t="s">
        <v>20</v>
      </c>
      <c r="F1776" s="24" t="s">
        <v>287</v>
      </c>
      <c r="G1776" s="23" t="s">
        <v>765</v>
      </c>
      <c r="H1776" s="24" t="s">
        <v>9</v>
      </c>
      <c r="I1776" s="24" t="s">
        <v>9</v>
      </c>
      <c r="J1776" s="24" t="s">
        <v>30</v>
      </c>
      <c r="K1776" s="24" t="s">
        <v>30</v>
      </c>
      <c r="L1776" s="24" t="s">
        <v>98</v>
      </c>
    </row>
    <row r="1777">
      <c r="A1777" s="24">
        <f t="shared" si="1"/>
        <v>1775</v>
      </c>
      <c r="B1777" s="24" t="s">
        <v>759</v>
      </c>
      <c r="C1777" s="275">
        <v>43134.0</v>
      </c>
      <c r="D1777" s="24" t="str">
        <f t="shared" si="126"/>
        <v>Feb-2018</v>
      </c>
      <c r="E1777" s="24" t="s">
        <v>25</v>
      </c>
      <c r="F1777" s="24" t="s">
        <v>287</v>
      </c>
      <c r="G1777" s="23" t="s">
        <v>765</v>
      </c>
      <c r="H1777" s="24" t="s">
        <v>9</v>
      </c>
      <c r="I1777" s="24" t="s">
        <v>9</v>
      </c>
      <c r="J1777" s="24" t="s">
        <v>30</v>
      </c>
      <c r="K1777" s="24"/>
      <c r="L1777" s="24" t="s">
        <v>106</v>
      </c>
    </row>
    <row r="1778">
      <c r="A1778" s="24">
        <f t="shared" si="1"/>
        <v>1776</v>
      </c>
      <c r="B1778" s="24" t="s">
        <v>759</v>
      </c>
      <c r="C1778" s="275">
        <v>43134.0</v>
      </c>
      <c r="D1778" s="24" t="str">
        <f t="shared" si="126"/>
        <v>Feb-2018</v>
      </c>
      <c r="E1778" s="24" t="s">
        <v>20</v>
      </c>
      <c r="F1778" s="24" t="s">
        <v>287</v>
      </c>
      <c r="G1778" s="23" t="s">
        <v>226</v>
      </c>
      <c r="H1778" s="24" t="s">
        <v>9</v>
      </c>
      <c r="I1778" s="24" t="s">
        <v>9</v>
      </c>
      <c r="J1778" s="24" t="s">
        <v>30</v>
      </c>
      <c r="K1778" s="24" t="s">
        <v>30</v>
      </c>
      <c r="L1778" s="24" t="s">
        <v>69</v>
      </c>
    </row>
    <row r="1779">
      <c r="A1779" s="24">
        <f t="shared" si="1"/>
        <v>1777</v>
      </c>
      <c r="B1779" s="24" t="s">
        <v>759</v>
      </c>
      <c r="C1779" s="275">
        <v>43134.0</v>
      </c>
      <c r="D1779" s="24" t="str">
        <f t="shared" si="126"/>
        <v>Feb-2018</v>
      </c>
      <c r="E1779" s="24" t="s">
        <v>25</v>
      </c>
      <c r="F1779" s="24" t="s">
        <v>287</v>
      </c>
      <c r="G1779" s="23" t="s">
        <v>226</v>
      </c>
      <c r="H1779" s="24" t="s">
        <v>9</v>
      </c>
      <c r="I1779" s="24" t="s">
        <v>9</v>
      </c>
      <c r="J1779" s="24" t="s">
        <v>30</v>
      </c>
      <c r="K1779" s="24"/>
      <c r="L1779" s="24" t="s">
        <v>106</v>
      </c>
    </row>
    <row r="1780">
      <c r="A1780" s="24">
        <f t="shared" si="1"/>
        <v>1778</v>
      </c>
      <c r="B1780" s="24" t="s">
        <v>759</v>
      </c>
      <c r="C1780" s="275">
        <v>43134.0</v>
      </c>
      <c r="D1780" s="24" t="str">
        <f t="shared" si="126"/>
        <v>Feb-2018</v>
      </c>
      <c r="E1780" s="24" t="s">
        <v>20</v>
      </c>
      <c r="F1780" s="24" t="s">
        <v>35</v>
      </c>
      <c r="G1780" s="23" t="s">
        <v>766</v>
      </c>
      <c r="H1780" s="24" t="s">
        <v>9</v>
      </c>
      <c r="I1780" s="24" t="s">
        <v>9</v>
      </c>
      <c r="J1780" s="24" t="s">
        <v>30</v>
      </c>
      <c r="K1780" s="24" t="s">
        <v>30</v>
      </c>
      <c r="L1780" s="24" t="s">
        <v>37</v>
      </c>
    </row>
    <row r="1781">
      <c r="A1781" s="24">
        <f t="shared" si="1"/>
        <v>1779</v>
      </c>
      <c r="B1781" s="24" t="s">
        <v>759</v>
      </c>
      <c r="C1781" s="275">
        <v>43134.0</v>
      </c>
      <c r="D1781" s="24" t="str">
        <f t="shared" si="126"/>
        <v>Feb-2018</v>
      </c>
      <c r="E1781" s="24" t="s">
        <v>25</v>
      </c>
      <c r="F1781" s="24" t="s">
        <v>35</v>
      </c>
      <c r="G1781" s="23" t="s">
        <v>766</v>
      </c>
      <c r="H1781" s="24" t="s">
        <v>9</v>
      </c>
      <c r="I1781" s="24" t="s">
        <v>9</v>
      </c>
      <c r="J1781" s="24" t="s">
        <v>30</v>
      </c>
      <c r="K1781" s="24"/>
      <c r="L1781" s="24" t="s">
        <v>98</v>
      </c>
    </row>
    <row r="1782">
      <c r="A1782" s="24">
        <f t="shared" si="1"/>
        <v>1780</v>
      </c>
      <c r="B1782" s="24" t="s">
        <v>759</v>
      </c>
      <c r="C1782" s="275">
        <v>43134.0</v>
      </c>
      <c r="D1782" s="24" t="str">
        <f t="shared" si="126"/>
        <v>Feb-2018</v>
      </c>
      <c r="E1782" s="24" t="s">
        <v>20</v>
      </c>
      <c r="F1782" s="24" t="s">
        <v>35</v>
      </c>
      <c r="G1782" s="23" t="s">
        <v>219</v>
      </c>
      <c r="H1782" s="24" t="s">
        <v>97</v>
      </c>
      <c r="I1782" s="24" t="s">
        <v>9</v>
      </c>
      <c r="J1782" s="24" t="s">
        <v>30</v>
      </c>
      <c r="K1782" s="24" t="s">
        <v>30</v>
      </c>
      <c r="L1782" s="24" t="s">
        <v>98</v>
      </c>
    </row>
    <row r="1783">
      <c r="A1783" s="24">
        <f t="shared" si="1"/>
        <v>1781</v>
      </c>
      <c r="B1783" s="24" t="s">
        <v>759</v>
      </c>
      <c r="C1783" s="275">
        <v>43134.0</v>
      </c>
      <c r="D1783" s="24" t="str">
        <f t="shared" si="126"/>
        <v>Feb-2018</v>
      </c>
      <c r="E1783" s="24" t="s">
        <v>25</v>
      </c>
      <c r="F1783" s="24" t="s">
        <v>35</v>
      </c>
      <c r="G1783" s="23" t="s">
        <v>219</v>
      </c>
      <c r="H1783" s="24" t="s">
        <v>97</v>
      </c>
      <c r="I1783" s="24" t="s">
        <v>9</v>
      </c>
      <c r="J1783" s="24" t="s">
        <v>30</v>
      </c>
      <c r="K1783" s="24"/>
      <c r="L1783" s="24" t="s">
        <v>37</v>
      </c>
    </row>
    <row r="1784">
      <c r="A1784" s="24">
        <f t="shared" si="1"/>
        <v>1782</v>
      </c>
      <c r="B1784" s="24" t="s">
        <v>759</v>
      </c>
      <c r="C1784" s="275">
        <v>43134.0</v>
      </c>
      <c r="D1784" s="24" t="str">
        <f t="shared" si="126"/>
        <v>Feb-2018</v>
      </c>
      <c r="E1784" s="24" t="s">
        <v>20</v>
      </c>
      <c r="F1784" s="24" t="s">
        <v>35</v>
      </c>
      <c r="G1784" s="23" t="s">
        <v>47</v>
      </c>
      <c r="H1784" s="24" t="s">
        <v>48</v>
      </c>
      <c r="I1784" s="24" t="s">
        <v>9</v>
      </c>
      <c r="J1784" s="24" t="s">
        <v>30</v>
      </c>
      <c r="K1784" s="24" t="s">
        <v>30</v>
      </c>
      <c r="L1784" s="24" t="s">
        <v>29</v>
      </c>
    </row>
    <row r="1785">
      <c r="A1785" s="24">
        <f t="shared" si="1"/>
        <v>1783</v>
      </c>
      <c r="B1785" s="24" t="s">
        <v>759</v>
      </c>
      <c r="C1785" s="275">
        <v>43134.0</v>
      </c>
      <c r="D1785" s="24" t="str">
        <f t="shared" si="126"/>
        <v>Feb-2018</v>
      </c>
      <c r="E1785" s="24" t="s">
        <v>25</v>
      </c>
      <c r="F1785" s="24" t="s">
        <v>35</v>
      </c>
      <c r="G1785" s="23" t="s">
        <v>47</v>
      </c>
      <c r="H1785" s="24" t="s">
        <v>48</v>
      </c>
      <c r="I1785" s="24" t="s">
        <v>9</v>
      </c>
      <c r="J1785" s="24" t="s">
        <v>24</v>
      </c>
      <c r="K1785" s="24"/>
      <c r="L1785" s="24" t="s">
        <v>99</v>
      </c>
    </row>
    <row r="1786">
      <c r="A1786" s="24">
        <f t="shared" si="1"/>
        <v>1784</v>
      </c>
      <c r="B1786" s="24" t="s">
        <v>759</v>
      </c>
      <c r="C1786" s="275">
        <v>43134.0</v>
      </c>
      <c r="D1786" s="24" t="str">
        <f t="shared" si="126"/>
        <v>Feb-2018</v>
      </c>
      <c r="E1786" s="24" t="s">
        <v>32</v>
      </c>
      <c r="F1786" s="24" t="s">
        <v>35</v>
      </c>
      <c r="G1786" s="23" t="s">
        <v>47</v>
      </c>
      <c r="H1786" s="24" t="s">
        <v>48</v>
      </c>
      <c r="I1786" s="24" t="s">
        <v>9</v>
      </c>
      <c r="J1786" s="24" t="s">
        <v>30</v>
      </c>
      <c r="K1786" s="24"/>
      <c r="L1786" s="24" t="s">
        <v>106</v>
      </c>
    </row>
    <row r="1787">
      <c r="A1787" s="24">
        <f t="shared" si="1"/>
        <v>1785</v>
      </c>
      <c r="B1787" s="24" t="s">
        <v>759</v>
      </c>
      <c r="C1787" s="275">
        <v>43134.0</v>
      </c>
      <c r="D1787" s="24" t="str">
        <f t="shared" si="126"/>
        <v>Feb-2018</v>
      </c>
      <c r="E1787" s="24" t="s">
        <v>20</v>
      </c>
      <c r="F1787" s="24" t="s">
        <v>35</v>
      </c>
      <c r="G1787" s="23" t="s">
        <v>190</v>
      </c>
      <c r="H1787" s="24" t="s">
        <v>9</v>
      </c>
      <c r="I1787" s="24" t="s">
        <v>9</v>
      </c>
      <c r="J1787" s="24" t="s">
        <v>24</v>
      </c>
      <c r="K1787" s="24" t="s">
        <v>24</v>
      </c>
      <c r="L1787" s="24" t="s">
        <v>98</v>
      </c>
    </row>
    <row r="1788">
      <c r="A1788" s="24">
        <f t="shared" si="1"/>
        <v>1786</v>
      </c>
      <c r="B1788" s="24" t="s">
        <v>759</v>
      </c>
      <c r="C1788" s="275">
        <v>43134.0</v>
      </c>
      <c r="D1788" s="24" t="str">
        <f t="shared" si="126"/>
        <v>Feb-2018</v>
      </c>
      <c r="E1788" s="24" t="s">
        <v>25</v>
      </c>
      <c r="F1788" s="24" t="s">
        <v>35</v>
      </c>
      <c r="G1788" s="23" t="s">
        <v>190</v>
      </c>
      <c r="H1788" s="24" t="s">
        <v>9</v>
      </c>
      <c r="I1788" s="24" t="s">
        <v>9</v>
      </c>
      <c r="J1788" s="24" t="s">
        <v>30</v>
      </c>
      <c r="K1788" s="24"/>
      <c r="L1788" s="24" t="s">
        <v>69</v>
      </c>
    </row>
    <row r="1789">
      <c r="A1789" s="24">
        <f t="shared" si="1"/>
        <v>1787</v>
      </c>
      <c r="B1789" s="24" t="s">
        <v>759</v>
      </c>
      <c r="C1789" s="275">
        <v>43134.0</v>
      </c>
      <c r="D1789" s="24" t="str">
        <f t="shared" si="126"/>
        <v>Feb-2018</v>
      </c>
      <c r="E1789" s="24" t="s">
        <v>32</v>
      </c>
      <c r="F1789" s="24" t="s">
        <v>35</v>
      </c>
      <c r="G1789" s="23" t="s">
        <v>190</v>
      </c>
      <c r="H1789" s="24" t="s">
        <v>9</v>
      </c>
      <c r="I1789" s="24" t="s">
        <v>9</v>
      </c>
      <c r="J1789" s="24" t="s">
        <v>24</v>
      </c>
      <c r="K1789" s="24"/>
      <c r="L1789" s="24" t="s">
        <v>37</v>
      </c>
    </row>
    <row r="1790">
      <c r="A1790" s="24">
        <f t="shared" si="1"/>
        <v>1788</v>
      </c>
      <c r="B1790" s="24" t="s">
        <v>767</v>
      </c>
      <c r="C1790" s="275">
        <v>43136.0</v>
      </c>
      <c r="D1790" s="24" t="str">
        <f t="shared" ref="D1790:D1797" si="127">TEXT(C1783:C1790, "mmm") &amp; "-" &amp; TEXT(C1783:C1790, "yyyy") </f>
        <v>Feb-2018</v>
      </c>
      <c r="E1790" s="24" t="s">
        <v>20</v>
      </c>
      <c r="F1790" s="24" t="s">
        <v>35</v>
      </c>
      <c r="G1790" s="23" t="s">
        <v>112</v>
      </c>
      <c r="H1790" s="24" t="s">
        <v>86</v>
      </c>
      <c r="I1790" s="24" t="s">
        <v>9</v>
      </c>
      <c r="J1790" s="24" t="s">
        <v>24</v>
      </c>
      <c r="K1790" s="24" t="s">
        <v>24</v>
      </c>
      <c r="L1790" s="24" t="s">
        <v>69</v>
      </c>
    </row>
    <row r="1791">
      <c r="A1791" s="24">
        <f t="shared" si="1"/>
        <v>1789</v>
      </c>
      <c r="B1791" s="24" t="s">
        <v>767</v>
      </c>
      <c r="C1791" s="275">
        <v>43136.0</v>
      </c>
      <c r="D1791" s="24" t="str">
        <f t="shared" si="127"/>
        <v>Feb-2018</v>
      </c>
      <c r="E1791" s="24" t="s">
        <v>25</v>
      </c>
      <c r="F1791" s="24" t="s">
        <v>35</v>
      </c>
      <c r="G1791" s="23" t="s">
        <v>112</v>
      </c>
      <c r="H1791" s="24" t="s">
        <v>86</v>
      </c>
      <c r="I1791" s="24" t="s">
        <v>9</v>
      </c>
      <c r="J1791" s="24" t="s">
        <v>30</v>
      </c>
      <c r="K1791" s="24"/>
      <c r="L1791" s="24" t="s">
        <v>69</v>
      </c>
    </row>
    <row r="1792">
      <c r="A1792" s="24">
        <f t="shared" si="1"/>
        <v>1790</v>
      </c>
      <c r="B1792" s="24" t="s">
        <v>767</v>
      </c>
      <c r="C1792" s="275">
        <v>43136.0</v>
      </c>
      <c r="D1792" s="24" t="str">
        <f t="shared" si="127"/>
        <v>Feb-2018</v>
      </c>
      <c r="E1792" s="24" t="s">
        <v>32</v>
      </c>
      <c r="F1792" s="24" t="s">
        <v>35</v>
      </c>
      <c r="G1792" s="23" t="s">
        <v>112</v>
      </c>
      <c r="H1792" s="24" t="s">
        <v>86</v>
      </c>
      <c r="I1792" s="24" t="s">
        <v>9</v>
      </c>
      <c r="J1792" s="24" t="s">
        <v>24</v>
      </c>
      <c r="K1792" s="24"/>
      <c r="L1792" s="24" t="s">
        <v>98</v>
      </c>
    </row>
    <row r="1793">
      <c r="A1793" s="24">
        <f t="shared" si="1"/>
        <v>1791</v>
      </c>
      <c r="B1793" s="24" t="s">
        <v>767</v>
      </c>
      <c r="C1793" s="275">
        <v>43136.0</v>
      </c>
      <c r="D1793" s="24" t="str">
        <f t="shared" si="127"/>
        <v>Feb-2018</v>
      </c>
      <c r="E1793" s="24" t="s">
        <v>20</v>
      </c>
      <c r="F1793" s="24" t="s">
        <v>35</v>
      </c>
      <c r="G1793" s="23" t="s">
        <v>245</v>
      </c>
      <c r="H1793" s="24" t="s">
        <v>27</v>
      </c>
      <c r="I1793" s="24" t="s">
        <v>9</v>
      </c>
      <c r="J1793" s="24" t="s">
        <v>30</v>
      </c>
      <c r="K1793" s="24" t="s">
        <v>30</v>
      </c>
      <c r="L1793" s="24" t="s">
        <v>69</v>
      </c>
    </row>
    <row r="1794">
      <c r="A1794" s="24">
        <f t="shared" si="1"/>
        <v>1792</v>
      </c>
      <c r="B1794" s="24" t="s">
        <v>767</v>
      </c>
      <c r="C1794" s="275">
        <v>43136.0</v>
      </c>
      <c r="D1794" s="24" t="str">
        <f t="shared" si="127"/>
        <v>Feb-2018</v>
      </c>
      <c r="E1794" s="24" t="s">
        <v>25</v>
      </c>
      <c r="F1794" s="24" t="s">
        <v>35</v>
      </c>
      <c r="G1794" s="23" t="s">
        <v>245</v>
      </c>
      <c r="H1794" s="24" t="s">
        <v>27</v>
      </c>
      <c r="I1794" s="24" t="s">
        <v>9</v>
      </c>
      <c r="J1794" s="24" t="s">
        <v>30</v>
      </c>
      <c r="K1794" s="24"/>
      <c r="L1794" s="24" t="s">
        <v>106</v>
      </c>
    </row>
    <row r="1795">
      <c r="A1795" s="24">
        <f t="shared" si="1"/>
        <v>1793</v>
      </c>
      <c r="B1795" s="24" t="s">
        <v>767</v>
      </c>
      <c r="C1795" s="275">
        <v>43136.0</v>
      </c>
      <c r="D1795" s="24" t="str">
        <f t="shared" si="127"/>
        <v>Feb-2018</v>
      </c>
      <c r="E1795" s="24" t="s">
        <v>20</v>
      </c>
      <c r="F1795" s="24" t="s">
        <v>35</v>
      </c>
      <c r="G1795" s="23" t="s">
        <v>770</v>
      </c>
      <c r="H1795" s="24" t="s">
        <v>23</v>
      </c>
      <c r="I1795" s="24" t="s">
        <v>9</v>
      </c>
      <c r="J1795" s="24" t="s">
        <v>30</v>
      </c>
      <c r="K1795" s="24" t="s">
        <v>30</v>
      </c>
      <c r="L1795" s="24" t="s">
        <v>37</v>
      </c>
    </row>
    <row r="1796">
      <c r="A1796" s="24">
        <f t="shared" si="1"/>
        <v>1794</v>
      </c>
      <c r="B1796" s="24" t="s">
        <v>767</v>
      </c>
      <c r="C1796" s="275">
        <v>43136.0</v>
      </c>
      <c r="D1796" s="24" t="str">
        <f t="shared" si="127"/>
        <v>Feb-2018</v>
      </c>
      <c r="E1796" s="24" t="s">
        <v>25</v>
      </c>
      <c r="F1796" s="24" t="s">
        <v>35</v>
      </c>
      <c r="G1796" s="23" t="s">
        <v>770</v>
      </c>
      <c r="H1796" s="24" t="s">
        <v>23</v>
      </c>
      <c r="I1796" s="24" t="s">
        <v>9</v>
      </c>
      <c r="J1796" s="24" t="s">
        <v>30</v>
      </c>
      <c r="K1796" s="24"/>
      <c r="L1796" s="24" t="s">
        <v>99</v>
      </c>
    </row>
    <row r="1797">
      <c r="A1797" s="24">
        <f t="shared" si="1"/>
        <v>1795</v>
      </c>
      <c r="B1797" s="24" t="s">
        <v>767</v>
      </c>
      <c r="C1797" s="275">
        <v>43136.0</v>
      </c>
      <c r="D1797" s="24" t="str">
        <f t="shared" si="127"/>
        <v>Feb-2018</v>
      </c>
      <c r="E1797" s="24" t="s">
        <v>20</v>
      </c>
      <c r="F1797" s="24" t="s">
        <v>35</v>
      </c>
      <c r="G1797" s="23" t="s">
        <v>771</v>
      </c>
      <c r="H1797" s="24" t="s">
        <v>64</v>
      </c>
      <c r="I1797" s="24" t="s">
        <v>9</v>
      </c>
      <c r="J1797" s="24" t="s">
        <v>24</v>
      </c>
      <c r="K1797" s="24" t="s">
        <v>24</v>
      </c>
      <c r="L1797" s="24" t="s">
        <v>69</v>
      </c>
    </row>
    <row r="1798">
      <c r="A1798" s="24">
        <f t="shared" si="1"/>
        <v>1796</v>
      </c>
      <c r="B1798" s="24" t="s">
        <v>767</v>
      </c>
      <c r="C1798" s="275">
        <v>43136.0</v>
      </c>
      <c r="D1798" s="24" t="str">
        <f>TEXT(C1790:C1798, "mmm") &amp; "-" &amp; TEXT(C1790:C1798, "yyyy") </f>
        <v>Feb-2018</v>
      </c>
      <c r="E1798" s="24" t="s">
        <v>25</v>
      </c>
      <c r="F1798" s="24" t="s">
        <v>35</v>
      </c>
      <c r="G1798" s="23" t="s">
        <v>771</v>
      </c>
      <c r="H1798" s="24" t="s">
        <v>64</v>
      </c>
      <c r="I1798" s="24" t="s">
        <v>9</v>
      </c>
      <c r="J1798" s="24" t="s">
        <v>24</v>
      </c>
      <c r="K1798" s="24"/>
      <c r="L1798" s="24" t="s">
        <v>106</v>
      </c>
    </row>
    <row r="1799">
      <c r="A1799" s="24">
        <f t="shared" si="1"/>
        <v>1797</v>
      </c>
      <c r="B1799" s="24" t="s">
        <v>772</v>
      </c>
      <c r="C1799" s="275">
        <v>43141.0</v>
      </c>
      <c r="D1799" s="24" t="str">
        <f t="shared" ref="D1799:D1806" si="128">TEXT(C1792:C1799, "mmm") &amp; "-" &amp; TEXT(C1792:C1799, "yyyy") </f>
        <v>Feb-2018</v>
      </c>
      <c r="E1799" s="24" t="s">
        <v>20</v>
      </c>
      <c r="F1799" s="24" t="s">
        <v>35</v>
      </c>
      <c r="G1799" s="23" t="s">
        <v>239</v>
      </c>
      <c r="H1799" s="24" t="s">
        <v>27</v>
      </c>
      <c r="I1799" s="24" t="s">
        <v>9</v>
      </c>
      <c r="J1799" s="24" t="s">
        <v>24</v>
      </c>
      <c r="K1799" s="24" t="s">
        <v>24</v>
      </c>
      <c r="L1799" s="24" t="s">
        <v>106</v>
      </c>
    </row>
    <row r="1800">
      <c r="A1800" s="24">
        <f t="shared" si="1"/>
        <v>1798</v>
      </c>
      <c r="B1800" s="24" t="s">
        <v>772</v>
      </c>
      <c r="C1800" s="275">
        <v>43141.0</v>
      </c>
      <c r="D1800" s="24" t="str">
        <f t="shared" si="128"/>
        <v>Feb-2018</v>
      </c>
      <c r="E1800" s="24" t="s">
        <v>25</v>
      </c>
      <c r="F1800" s="24" t="s">
        <v>35</v>
      </c>
      <c r="G1800" s="23" t="s">
        <v>239</v>
      </c>
      <c r="H1800" s="24" t="s">
        <v>27</v>
      </c>
      <c r="I1800" s="24" t="s">
        <v>9</v>
      </c>
      <c r="J1800" s="24" t="s">
        <v>24</v>
      </c>
      <c r="K1800" s="24"/>
      <c r="L1800" s="24" t="s">
        <v>69</v>
      </c>
    </row>
    <row r="1801">
      <c r="A1801" s="24">
        <f t="shared" si="1"/>
        <v>1799</v>
      </c>
      <c r="B1801" s="24" t="s">
        <v>772</v>
      </c>
      <c r="C1801" s="275">
        <v>43141.0</v>
      </c>
      <c r="D1801" s="24" t="str">
        <f t="shared" si="128"/>
        <v>Feb-2018</v>
      </c>
      <c r="E1801" s="24" t="s">
        <v>20</v>
      </c>
      <c r="F1801" s="24" t="s">
        <v>35</v>
      </c>
      <c r="G1801" s="23" t="s">
        <v>190</v>
      </c>
      <c r="H1801" s="24" t="s">
        <v>9</v>
      </c>
      <c r="I1801" s="24" t="s">
        <v>9</v>
      </c>
      <c r="J1801" s="24" t="s">
        <v>24</v>
      </c>
      <c r="K1801" s="24" t="s">
        <v>24</v>
      </c>
      <c r="L1801" s="24" t="s">
        <v>98</v>
      </c>
    </row>
    <row r="1802">
      <c r="A1802" s="24">
        <f t="shared" si="1"/>
        <v>1800</v>
      </c>
      <c r="B1802" s="24" t="s">
        <v>772</v>
      </c>
      <c r="C1802" s="275">
        <v>43141.0</v>
      </c>
      <c r="D1802" s="24" t="str">
        <f t="shared" si="128"/>
        <v>Feb-2018</v>
      </c>
      <c r="E1802" s="24" t="s">
        <v>25</v>
      </c>
      <c r="F1802" s="24" t="s">
        <v>35</v>
      </c>
      <c r="G1802" s="23" t="s">
        <v>190</v>
      </c>
      <c r="H1802" s="24" t="s">
        <v>9</v>
      </c>
      <c r="I1802" s="24" t="s">
        <v>9</v>
      </c>
      <c r="J1802" s="24" t="s">
        <v>24</v>
      </c>
      <c r="K1802" s="24"/>
      <c r="L1802" s="24" t="s">
        <v>99</v>
      </c>
    </row>
    <row r="1803">
      <c r="A1803" s="24">
        <f t="shared" si="1"/>
        <v>1801</v>
      </c>
      <c r="B1803" s="24" t="s">
        <v>772</v>
      </c>
      <c r="C1803" s="275">
        <v>43141.0</v>
      </c>
      <c r="D1803" s="24" t="str">
        <f t="shared" si="128"/>
        <v>Feb-2018</v>
      </c>
      <c r="E1803" s="24" t="s">
        <v>20</v>
      </c>
      <c r="F1803" s="24" t="s">
        <v>35</v>
      </c>
      <c r="G1803" s="23" t="s">
        <v>774</v>
      </c>
      <c r="H1803" s="24" t="s">
        <v>23</v>
      </c>
      <c r="I1803" s="24" t="s">
        <v>9</v>
      </c>
      <c r="J1803" s="24" t="s">
        <v>24</v>
      </c>
      <c r="K1803" s="24" t="s">
        <v>30</v>
      </c>
      <c r="L1803" s="24" t="s">
        <v>99</v>
      </c>
    </row>
    <row r="1804">
      <c r="A1804" s="24">
        <f t="shared" si="1"/>
        <v>1802</v>
      </c>
      <c r="B1804" s="24" t="s">
        <v>772</v>
      </c>
      <c r="C1804" s="275">
        <v>43141.0</v>
      </c>
      <c r="D1804" s="24" t="str">
        <f t="shared" si="128"/>
        <v>Feb-2018</v>
      </c>
      <c r="E1804" s="24" t="s">
        <v>25</v>
      </c>
      <c r="F1804" s="24" t="s">
        <v>35</v>
      </c>
      <c r="G1804" s="23" t="s">
        <v>774</v>
      </c>
      <c r="H1804" s="24" t="s">
        <v>23</v>
      </c>
      <c r="I1804" s="24" t="s">
        <v>9</v>
      </c>
      <c r="J1804" s="24" t="s">
        <v>30</v>
      </c>
      <c r="K1804" s="24"/>
      <c r="L1804" s="24" t="s">
        <v>106</v>
      </c>
    </row>
    <row r="1805">
      <c r="A1805" s="24">
        <f t="shared" si="1"/>
        <v>1803</v>
      </c>
      <c r="B1805" s="24" t="s">
        <v>772</v>
      </c>
      <c r="C1805" s="275">
        <v>43141.0</v>
      </c>
      <c r="D1805" s="24" t="str">
        <f t="shared" si="128"/>
        <v>Feb-2018</v>
      </c>
      <c r="E1805" s="24" t="s">
        <v>32</v>
      </c>
      <c r="F1805" s="24" t="s">
        <v>35</v>
      </c>
      <c r="G1805" s="23" t="s">
        <v>774</v>
      </c>
      <c r="H1805" s="24" t="s">
        <v>23</v>
      </c>
      <c r="I1805" s="24" t="s">
        <v>9</v>
      </c>
      <c r="J1805" s="24" t="s">
        <v>30</v>
      </c>
      <c r="K1805" s="24"/>
      <c r="L1805" s="24" t="s">
        <v>37</v>
      </c>
    </row>
    <row r="1806">
      <c r="A1806" s="24">
        <f t="shared" si="1"/>
        <v>1804</v>
      </c>
      <c r="B1806" s="24" t="s">
        <v>772</v>
      </c>
      <c r="C1806" s="275">
        <v>43141.0</v>
      </c>
      <c r="D1806" s="24" t="str">
        <f t="shared" si="128"/>
        <v>Feb-2018</v>
      </c>
      <c r="E1806" s="24" t="s">
        <v>20</v>
      </c>
      <c r="F1806" s="24" t="s">
        <v>35</v>
      </c>
      <c r="G1806" s="23" t="s">
        <v>756</v>
      </c>
      <c r="H1806" s="24" t="s">
        <v>9</v>
      </c>
      <c r="I1806" s="24" t="s">
        <v>9</v>
      </c>
      <c r="J1806" s="24" t="s">
        <v>30</v>
      </c>
      <c r="K1806" s="24" t="s">
        <v>30</v>
      </c>
      <c r="L1806" s="24" t="s">
        <v>98</v>
      </c>
    </row>
    <row r="1807">
      <c r="A1807" s="24">
        <f t="shared" si="1"/>
        <v>1805</v>
      </c>
      <c r="B1807" s="24" t="s">
        <v>772</v>
      </c>
      <c r="C1807" s="275">
        <v>43141.0</v>
      </c>
      <c r="D1807" s="24" t="str">
        <f t="shared" ref="D1807:D1818" si="129">TEXT(C1799:C1807, "mmm") &amp; "-" &amp; TEXT(C1799:C1807, "yyyy") </f>
        <v>Feb-2018</v>
      </c>
      <c r="E1807" s="24" t="s">
        <v>25</v>
      </c>
      <c r="F1807" s="24" t="s">
        <v>35</v>
      </c>
      <c r="G1807" s="23" t="s">
        <v>756</v>
      </c>
      <c r="H1807" s="24" t="s">
        <v>9</v>
      </c>
      <c r="I1807" s="24" t="s">
        <v>9</v>
      </c>
      <c r="J1807" s="24" t="s">
        <v>24</v>
      </c>
      <c r="K1807" s="24"/>
      <c r="L1807" s="24" t="s">
        <v>98</v>
      </c>
    </row>
    <row r="1808">
      <c r="A1808" s="24">
        <f t="shared" si="1"/>
        <v>1806</v>
      </c>
      <c r="B1808" s="24" t="s">
        <v>772</v>
      </c>
      <c r="C1808" s="275">
        <v>43141.0</v>
      </c>
      <c r="D1808" s="24" t="str">
        <f t="shared" si="129"/>
        <v>Feb-2018</v>
      </c>
      <c r="E1808" s="24" t="s">
        <v>32</v>
      </c>
      <c r="F1808" s="24" t="s">
        <v>35</v>
      </c>
      <c r="G1808" s="23" t="s">
        <v>756</v>
      </c>
      <c r="H1808" s="24" t="s">
        <v>9</v>
      </c>
      <c r="I1808" s="24" t="s">
        <v>9</v>
      </c>
      <c r="J1808" s="24" t="s">
        <v>30</v>
      </c>
      <c r="K1808" s="24"/>
      <c r="L1808" s="24" t="s">
        <v>69</v>
      </c>
    </row>
    <row r="1809">
      <c r="A1809" s="24">
        <f t="shared" si="1"/>
        <v>1807</v>
      </c>
      <c r="B1809" s="24" t="s">
        <v>772</v>
      </c>
      <c r="C1809" s="275">
        <v>43141.0</v>
      </c>
      <c r="D1809" s="24" t="str">
        <f t="shared" si="129"/>
        <v>Feb-2018</v>
      </c>
      <c r="E1809" s="24" t="s">
        <v>20</v>
      </c>
      <c r="F1809" s="24" t="s">
        <v>35</v>
      </c>
      <c r="G1809" s="23" t="s">
        <v>778</v>
      </c>
      <c r="H1809" s="24" t="s">
        <v>9</v>
      </c>
      <c r="I1809" s="24" t="s">
        <v>9</v>
      </c>
      <c r="J1809" s="24" t="s">
        <v>30</v>
      </c>
      <c r="K1809" s="24" t="s">
        <v>30</v>
      </c>
      <c r="L1809" s="24" t="s">
        <v>98</v>
      </c>
    </row>
    <row r="1810">
      <c r="A1810" s="24">
        <f t="shared" si="1"/>
        <v>1808</v>
      </c>
      <c r="B1810" s="24" t="s">
        <v>772</v>
      </c>
      <c r="C1810" s="275">
        <v>43141.0</v>
      </c>
      <c r="D1810" s="24" t="str">
        <f t="shared" si="129"/>
        <v>Feb-2018</v>
      </c>
      <c r="E1810" s="24" t="s">
        <v>25</v>
      </c>
      <c r="F1810" s="24" t="s">
        <v>35</v>
      </c>
      <c r="G1810" s="24" t="s">
        <v>778</v>
      </c>
      <c r="H1810" s="24" t="s">
        <v>9</v>
      </c>
      <c r="I1810" s="24" t="s">
        <v>9</v>
      </c>
      <c r="J1810" s="24" t="s">
        <v>30</v>
      </c>
      <c r="K1810" s="24"/>
      <c r="L1810" s="24" t="s">
        <v>37</v>
      </c>
    </row>
    <row r="1811">
      <c r="A1811" s="24">
        <f t="shared" si="1"/>
        <v>1809</v>
      </c>
      <c r="B1811" s="24" t="s">
        <v>772</v>
      </c>
      <c r="C1811" s="275">
        <v>43141.0</v>
      </c>
      <c r="D1811" s="24" t="str">
        <f t="shared" si="129"/>
        <v>Feb-2018</v>
      </c>
      <c r="E1811" s="24" t="s">
        <v>20</v>
      </c>
      <c r="F1811" s="24" t="s">
        <v>35</v>
      </c>
      <c r="G1811" s="24" t="s">
        <v>779</v>
      </c>
      <c r="H1811" s="24" t="s">
        <v>71</v>
      </c>
      <c r="I1811" s="24" t="s">
        <v>9</v>
      </c>
      <c r="J1811" s="24" t="s">
        <v>30</v>
      </c>
      <c r="K1811" s="24" t="s">
        <v>30</v>
      </c>
      <c r="L1811" s="24" t="s">
        <v>37</v>
      </c>
    </row>
    <row r="1812">
      <c r="A1812" s="24">
        <f t="shared" si="1"/>
        <v>1810</v>
      </c>
      <c r="B1812" s="24" t="s">
        <v>772</v>
      </c>
      <c r="C1812" s="275">
        <v>43141.0</v>
      </c>
      <c r="D1812" s="24" t="str">
        <f t="shared" si="129"/>
        <v>Feb-2018</v>
      </c>
      <c r="E1812" s="24" t="s">
        <v>25</v>
      </c>
      <c r="F1812" s="24" t="s">
        <v>35</v>
      </c>
      <c r="G1812" s="24" t="s">
        <v>779</v>
      </c>
      <c r="H1812" s="24" t="s">
        <v>71</v>
      </c>
      <c r="I1812" s="24" t="s">
        <v>9</v>
      </c>
      <c r="J1812" s="24" t="s">
        <v>30</v>
      </c>
      <c r="K1812" s="24"/>
      <c r="L1812" s="24" t="s">
        <v>99</v>
      </c>
    </row>
    <row r="1813">
      <c r="A1813" s="24">
        <f t="shared" si="1"/>
        <v>1811</v>
      </c>
      <c r="B1813" s="24" t="s">
        <v>772</v>
      </c>
      <c r="C1813" s="275">
        <v>43141.0</v>
      </c>
      <c r="D1813" s="24" t="str">
        <f t="shared" si="129"/>
        <v>Feb-2018</v>
      </c>
      <c r="E1813" s="24" t="s">
        <v>20</v>
      </c>
      <c r="F1813" s="24" t="s">
        <v>35</v>
      </c>
      <c r="G1813" s="24" t="s">
        <v>780</v>
      </c>
      <c r="H1813" s="24" t="s">
        <v>9</v>
      </c>
      <c r="I1813" s="24" t="s">
        <v>9</v>
      </c>
      <c r="J1813" s="24" t="s">
        <v>30</v>
      </c>
      <c r="K1813" s="24" t="s">
        <v>30</v>
      </c>
      <c r="L1813" s="24" t="s">
        <v>98</v>
      </c>
    </row>
    <row r="1814">
      <c r="A1814" s="24">
        <f t="shared" si="1"/>
        <v>1812</v>
      </c>
      <c r="B1814" s="24" t="s">
        <v>772</v>
      </c>
      <c r="C1814" s="275">
        <v>43141.0</v>
      </c>
      <c r="D1814" s="24" t="str">
        <f t="shared" si="129"/>
        <v>Feb-2018</v>
      </c>
      <c r="E1814" s="24" t="s">
        <v>25</v>
      </c>
      <c r="F1814" s="24" t="s">
        <v>35</v>
      </c>
      <c r="G1814" s="24" t="s">
        <v>780</v>
      </c>
      <c r="H1814" s="24" t="s">
        <v>9</v>
      </c>
      <c r="I1814" s="24" t="s">
        <v>9</v>
      </c>
      <c r="J1814" s="24" t="s">
        <v>30</v>
      </c>
      <c r="K1814" s="24"/>
      <c r="L1814" s="24" t="s">
        <v>106</v>
      </c>
    </row>
    <row r="1815">
      <c r="A1815" s="24">
        <f t="shared" si="1"/>
        <v>1813</v>
      </c>
      <c r="B1815" s="24" t="s">
        <v>772</v>
      </c>
      <c r="C1815" s="275">
        <v>43141.0</v>
      </c>
      <c r="D1815" s="24" t="str">
        <f t="shared" si="129"/>
        <v>Feb-2018</v>
      </c>
      <c r="E1815" s="24" t="s">
        <v>20</v>
      </c>
      <c r="F1815" s="24" t="s">
        <v>35</v>
      </c>
      <c r="G1815" s="24" t="s">
        <v>238</v>
      </c>
      <c r="H1815" s="24" t="s">
        <v>216</v>
      </c>
      <c r="I1815" s="24" t="s">
        <v>9</v>
      </c>
      <c r="J1815" s="24" t="s">
        <v>30</v>
      </c>
      <c r="K1815" s="24" t="s">
        <v>30</v>
      </c>
      <c r="L1815" s="24" t="s">
        <v>99</v>
      </c>
    </row>
    <row r="1816">
      <c r="A1816" s="24">
        <f t="shared" si="1"/>
        <v>1814</v>
      </c>
      <c r="B1816" s="24" t="s">
        <v>772</v>
      </c>
      <c r="C1816" s="275">
        <v>43141.0</v>
      </c>
      <c r="D1816" s="24" t="str">
        <f t="shared" si="129"/>
        <v>Feb-2018</v>
      </c>
      <c r="E1816" s="24" t="s">
        <v>25</v>
      </c>
      <c r="F1816" s="24" t="s">
        <v>35</v>
      </c>
      <c r="G1816" s="24" t="s">
        <v>238</v>
      </c>
      <c r="H1816" s="24" t="s">
        <v>216</v>
      </c>
      <c r="I1816" s="24" t="s">
        <v>9</v>
      </c>
      <c r="J1816" s="24" t="s">
        <v>30</v>
      </c>
      <c r="K1816" s="24"/>
      <c r="L1816" s="24" t="s">
        <v>106</v>
      </c>
    </row>
    <row r="1817">
      <c r="A1817" s="24">
        <f t="shared" si="1"/>
        <v>1815</v>
      </c>
      <c r="B1817" s="24" t="s">
        <v>772</v>
      </c>
      <c r="C1817" s="275">
        <v>43141.0</v>
      </c>
      <c r="D1817" s="24" t="str">
        <f t="shared" si="129"/>
        <v>Feb-2018</v>
      </c>
      <c r="E1817" s="24" t="s">
        <v>20</v>
      </c>
      <c r="F1817" s="24" t="s">
        <v>35</v>
      </c>
      <c r="G1817" s="24" t="s">
        <v>111</v>
      </c>
      <c r="H1817" s="24" t="s">
        <v>216</v>
      </c>
      <c r="I1817" s="24" t="s">
        <v>9</v>
      </c>
      <c r="J1817" s="24" t="s">
        <v>24</v>
      </c>
      <c r="K1817" s="24" t="s">
        <v>24</v>
      </c>
      <c r="L1817" s="24" t="s">
        <v>98</v>
      </c>
    </row>
    <row r="1818">
      <c r="A1818" s="24">
        <f t="shared" si="1"/>
        <v>1816</v>
      </c>
      <c r="B1818" s="24" t="s">
        <v>772</v>
      </c>
      <c r="C1818" s="275">
        <v>43141.0</v>
      </c>
      <c r="D1818" s="24" t="str">
        <f t="shared" si="129"/>
        <v>Feb-2018</v>
      </c>
      <c r="E1818" s="24" t="s">
        <v>25</v>
      </c>
      <c r="F1818" s="24" t="s">
        <v>35</v>
      </c>
      <c r="G1818" s="24" t="s">
        <v>111</v>
      </c>
      <c r="H1818" s="24" t="s">
        <v>216</v>
      </c>
      <c r="I1818" s="24" t="s">
        <v>9</v>
      </c>
      <c r="J1818" s="24" t="s">
        <v>24</v>
      </c>
      <c r="K1818" s="24"/>
      <c r="L1818" s="24" t="s">
        <v>106</v>
      </c>
    </row>
    <row r="1819">
      <c r="A1819" s="24">
        <f t="shared" si="1"/>
        <v>1817</v>
      </c>
      <c r="B1819" s="24" t="s">
        <v>781</v>
      </c>
      <c r="C1819" s="275">
        <v>43143.0</v>
      </c>
      <c r="D1819" s="24" t="str">
        <f t="shared" ref="D1819:D1826" si="130">TEXT(C1812:C1819, "mmm") &amp; "-" &amp; TEXT(C1812:C1819, "yyyy") </f>
        <v>Feb-2018</v>
      </c>
      <c r="E1819" s="24" t="s">
        <v>20</v>
      </c>
      <c r="F1819" s="24" t="s">
        <v>35</v>
      </c>
      <c r="G1819" s="24" t="s">
        <v>294</v>
      </c>
      <c r="H1819" s="24" t="s">
        <v>27</v>
      </c>
      <c r="I1819" s="24" t="s">
        <v>9</v>
      </c>
      <c r="J1819" s="24" t="s">
        <v>30</v>
      </c>
      <c r="K1819" s="24" t="s">
        <v>30</v>
      </c>
      <c r="L1819" s="24" t="s">
        <v>98</v>
      </c>
    </row>
    <row r="1820">
      <c r="A1820" s="24">
        <f t="shared" si="1"/>
        <v>1818</v>
      </c>
      <c r="B1820" s="24" t="s">
        <v>781</v>
      </c>
      <c r="C1820" s="275">
        <v>43143.0</v>
      </c>
      <c r="D1820" s="24" t="str">
        <f t="shared" si="130"/>
        <v>Feb-2018</v>
      </c>
      <c r="E1820" s="24" t="s">
        <v>25</v>
      </c>
      <c r="F1820" s="24" t="s">
        <v>35</v>
      </c>
      <c r="G1820" s="24" t="s">
        <v>294</v>
      </c>
      <c r="H1820" s="24" t="s">
        <v>27</v>
      </c>
      <c r="I1820" s="24" t="s">
        <v>9</v>
      </c>
      <c r="J1820" s="24" t="s">
        <v>30</v>
      </c>
      <c r="K1820" s="24"/>
      <c r="L1820" s="24" t="s">
        <v>98</v>
      </c>
    </row>
    <row r="1821">
      <c r="A1821" s="24">
        <f t="shared" si="1"/>
        <v>1819</v>
      </c>
      <c r="B1821" s="24" t="s">
        <v>781</v>
      </c>
      <c r="C1821" s="275">
        <v>43143.0</v>
      </c>
      <c r="D1821" s="24" t="str">
        <f t="shared" si="130"/>
        <v>Feb-2018</v>
      </c>
      <c r="E1821" s="24" t="s">
        <v>20</v>
      </c>
      <c r="F1821" s="24" t="s">
        <v>35</v>
      </c>
      <c r="G1821" s="24" t="s">
        <v>782</v>
      </c>
      <c r="H1821" s="24" t="s">
        <v>9</v>
      </c>
      <c r="I1821" s="24" t="s">
        <v>9</v>
      </c>
      <c r="J1821" s="24" t="s">
        <v>24</v>
      </c>
      <c r="K1821" s="24" t="s">
        <v>30</v>
      </c>
      <c r="L1821" s="24" t="s">
        <v>98</v>
      </c>
    </row>
    <row r="1822">
      <c r="A1822" s="24">
        <f t="shared" si="1"/>
        <v>1820</v>
      </c>
      <c r="B1822" s="24" t="s">
        <v>781</v>
      </c>
      <c r="C1822" s="275">
        <v>43143.0</v>
      </c>
      <c r="D1822" s="24" t="str">
        <f t="shared" si="130"/>
        <v>Feb-2018</v>
      </c>
      <c r="E1822" s="24" t="s">
        <v>25</v>
      </c>
      <c r="F1822" s="24" t="s">
        <v>35</v>
      </c>
      <c r="G1822" s="24" t="s">
        <v>782</v>
      </c>
      <c r="H1822" s="24" t="s">
        <v>9</v>
      </c>
      <c r="I1822" s="24" t="s">
        <v>9</v>
      </c>
      <c r="J1822" s="24" t="s">
        <v>30</v>
      </c>
      <c r="K1822" s="24"/>
      <c r="L1822" s="24" t="s">
        <v>99</v>
      </c>
    </row>
    <row r="1823">
      <c r="A1823" s="24">
        <f t="shared" si="1"/>
        <v>1821</v>
      </c>
      <c r="B1823" s="24" t="s">
        <v>781</v>
      </c>
      <c r="C1823" s="275">
        <v>43143.0</v>
      </c>
      <c r="D1823" s="24" t="str">
        <f t="shared" si="130"/>
        <v>Feb-2018</v>
      </c>
      <c r="E1823" s="24" t="s">
        <v>32</v>
      </c>
      <c r="F1823" s="24" t="s">
        <v>35</v>
      </c>
      <c r="G1823" s="24" t="s">
        <v>782</v>
      </c>
      <c r="H1823" s="24" t="s">
        <v>9</v>
      </c>
      <c r="I1823" s="24" t="s">
        <v>9</v>
      </c>
      <c r="J1823" s="24" t="s">
        <v>30</v>
      </c>
      <c r="K1823" s="24"/>
      <c r="L1823" s="24" t="s">
        <v>37</v>
      </c>
    </row>
    <row r="1824">
      <c r="A1824" s="24">
        <f t="shared" si="1"/>
        <v>1822</v>
      </c>
      <c r="B1824" s="24" t="s">
        <v>781</v>
      </c>
      <c r="C1824" s="275">
        <v>43143.0</v>
      </c>
      <c r="D1824" s="24" t="str">
        <f t="shared" si="130"/>
        <v>Feb-2018</v>
      </c>
      <c r="E1824" s="24" t="s">
        <v>20</v>
      </c>
      <c r="F1824" s="24" t="s">
        <v>35</v>
      </c>
      <c r="G1824" s="24" t="s">
        <v>784</v>
      </c>
      <c r="H1824" s="24" t="s">
        <v>23</v>
      </c>
      <c r="I1824" s="24" t="s">
        <v>9</v>
      </c>
      <c r="J1824" s="24" t="s">
        <v>24</v>
      </c>
      <c r="K1824" s="24" t="s">
        <v>24</v>
      </c>
      <c r="L1824" s="24" t="s">
        <v>37</v>
      </c>
    </row>
    <row r="1825">
      <c r="A1825" s="24">
        <f t="shared" si="1"/>
        <v>1823</v>
      </c>
      <c r="B1825" s="24" t="s">
        <v>781</v>
      </c>
      <c r="C1825" s="275">
        <v>43143.0</v>
      </c>
      <c r="D1825" s="24" t="str">
        <f t="shared" si="130"/>
        <v>Feb-2018</v>
      </c>
      <c r="E1825" s="24" t="s">
        <v>25</v>
      </c>
      <c r="F1825" s="24" t="s">
        <v>35</v>
      </c>
      <c r="G1825" s="24" t="s">
        <v>784</v>
      </c>
      <c r="H1825" s="24" t="s">
        <v>23</v>
      </c>
      <c r="I1825" s="24" t="s">
        <v>9</v>
      </c>
      <c r="J1825" s="24" t="s">
        <v>24</v>
      </c>
      <c r="K1825" s="24"/>
      <c r="L1825" s="24" t="s">
        <v>106</v>
      </c>
    </row>
    <row r="1826">
      <c r="A1826" s="24">
        <f t="shared" si="1"/>
        <v>1824</v>
      </c>
      <c r="B1826" s="24" t="s">
        <v>781</v>
      </c>
      <c r="C1826" s="275">
        <v>43143.0</v>
      </c>
      <c r="D1826" s="24" t="str">
        <f t="shared" si="130"/>
        <v>Feb-2018</v>
      </c>
      <c r="E1826" s="24" t="s">
        <v>20</v>
      </c>
      <c r="F1826" s="24" t="s">
        <v>35</v>
      </c>
      <c r="G1826" s="24" t="s">
        <v>47</v>
      </c>
      <c r="H1826" s="24" t="s">
        <v>48</v>
      </c>
      <c r="I1826" s="24" t="s">
        <v>9</v>
      </c>
      <c r="J1826" s="24" t="s">
        <v>24</v>
      </c>
      <c r="K1826" s="24" t="s">
        <v>24</v>
      </c>
      <c r="L1826" s="24" t="s">
        <v>29</v>
      </c>
    </row>
    <row r="1827">
      <c r="A1827" s="24">
        <f t="shared" si="1"/>
        <v>1825</v>
      </c>
      <c r="B1827" s="24" t="s">
        <v>781</v>
      </c>
      <c r="C1827" s="275">
        <v>43143.0</v>
      </c>
      <c r="D1827" s="24" t="str">
        <f>TEXT(C1819:C1827, "mmm") &amp; "-" &amp; TEXT(C1819:C1827, "yyyy") </f>
        <v>Feb-2018</v>
      </c>
      <c r="E1827" s="24" t="s">
        <v>25</v>
      </c>
      <c r="F1827" s="24" t="s">
        <v>35</v>
      </c>
      <c r="G1827" s="24" t="s">
        <v>47</v>
      </c>
      <c r="H1827" s="24" t="s">
        <v>48</v>
      </c>
      <c r="I1827" s="24" t="s">
        <v>9</v>
      </c>
      <c r="J1827" s="24" t="s">
        <v>24</v>
      </c>
      <c r="K1827" s="24"/>
      <c r="L1827" s="24" t="s">
        <v>99</v>
      </c>
    </row>
    <row r="1828">
      <c r="A1828" s="24">
        <f t="shared" si="1"/>
        <v>1826</v>
      </c>
      <c r="B1828" s="24" t="s">
        <v>787</v>
      </c>
      <c r="C1828" s="275">
        <v>43146.0</v>
      </c>
      <c r="D1828" s="24" t="str">
        <f t="shared" ref="D1828:D1835" si="131">TEXT(C1821:C1828, "mmm") &amp; "-" &amp; TEXT(C1821:C1828, "yyyy") </f>
        <v>Feb-2018</v>
      </c>
      <c r="E1828" s="24" t="s">
        <v>20</v>
      </c>
      <c r="F1828" s="24" t="s">
        <v>35</v>
      </c>
      <c r="G1828" s="24" t="s">
        <v>691</v>
      </c>
      <c r="H1828" s="24" t="s">
        <v>48</v>
      </c>
      <c r="I1828" s="24" t="s">
        <v>9</v>
      </c>
      <c r="J1828" s="24" t="s">
        <v>30</v>
      </c>
      <c r="K1828" s="24" t="s">
        <v>30</v>
      </c>
      <c r="L1828" s="24" t="s">
        <v>98</v>
      </c>
    </row>
    <row r="1829">
      <c r="A1829" s="24">
        <f t="shared" si="1"/>
        <v>1827</v>
      </c>
      <c r="B1829" s="24" t="s">
        <v>787</v>
      </c>
      <c r="C1829" s="275">
        <v>43146.0</v>
      </c>
      <c r="D1829" s="24" t="str">
        <f t="shared" si="131"/>
        <v>Feb-2018</v>
      </c>
      <c r="E1829" s="24" t="s">
        <v>25</v>
      </c>
      <c r="F1829" s="24" t="s">
        <v>35</v>
      </c>
      <c r="G1829" s="24" t="s">
        <v>691</v>
      </c>
      <c r="H1829" s="24" t="s">
        <v>23</v>
      </c>
      <c r="I1829" s="24" t="s">
        <v>9</v>
      </c>
      <c r="J1829" s="24" t="s">
        <v>30</v>
      </c>
      <c r="K1829" s="24"/>
      <c r="L1829" s="24" t="s">
        <v>99</v>
      </c>
    </row>
    <row r="1830">
      <c r="A1830" s="24">
        <f t="shared" si="1"/>
        <v>1828</v>
      </c>
      <c r="B1830" s="24" t="s">
        <v>787</v>
      </c>
      <c r="C1830" s="275">
        <v>43146.0</v>
      </c>
      <c r="D1830" s="24" t="str">
        <f t="shared" si="131"/>
        <v>Feb-2018</v>
      </c>
      <c r="E1830" s="24" t="s">
        <v>20</v>
      </c>
      <c r="F1830" s="24" t="s">
        <v>35</v>
      </c>
      <c r="G1830" s="24" t="s">
        <v>726</v>
      </c>
      <c r="H1830" s="24" t="s">
        <v>216</v>
      </c>
      <c r="I1830" s="24" t="s">
        <v>9</v>
      </c>
      <c r="J1830" s="24" t="s">
        <v>30</v>
      </c>
      <c r="K1830" s="24" t="s">
        <v>30</v>
      </c>
      <c r="L1830" s="24" t="s">
        <v>99</v>
      </c>
    </row>
    <row r="1831">
      <c r="A1831" s="24">
        <f t="shared" si="1"/>
        <v>1829</v>
      </c>
      <c r="B1831" s="24" t="s">
        <v>787</v>
      </c>
      <c r="C1831" s="275">
        <v>43146.0</v>
      </c>
      <c r="D1831" s="24" t="str">
        <f t="shared" si="131"/>
        <v>Feb-2018</v>
      </c>
      <c r="E1831" s="24" t="s">
        <v>25</v>
      </c>
      <c r="F1831" s="24" t="s">
        <v>35</v>
      </c>
      <c r="G1831" s="24" t="s">
        <v>726</v>
      </c>
      <c r="H1831" s="24" t="s">
        <v>216</v>
      </c>
      <c r="I1831" s="24" t="s">
        <v>9</v>
      </c>
      <c r="J1831" s="24" t="s">
        <v>30</v>
      </c>
      <c r="K1831" s="24"/>
      <c r="L1831" s="24" t="s">
        <v>106</v>
      </c>
    </row>
    <row r="1832">
      <c r="A1832" s="24">
        <f t="shared" si="1"/>
        <v>1830</v>
      </c>
      <c r="B1832" s="24" t="s">
        <v>787</v>
      </c>
      <c r="C1832" s="275">
        <v>43146.0</v>
      </c>
      <c r="D1832" s="24" t="str">
        <f t="shared" si="131"/>
        <v>Feb-2018</v>
      </c>
      <c r="E1832" s="24" t="s">
        <v>20</v>
      </c>
      <c r="F1832" s="24" t="s">
        <v>35</v>
      </c>
      <c r="G1832" s="24" t="s">
        <v>47</v>
      </c>
      <c r="H1832" s="24" t="s">
        <v>48</v>
      </c>
      <c r="I1832" s="24" t="s">
        <v>9</v>
      </c>
      <c r="J1832" s="24" t="s">
        <v>24</v>
      </c>
      <c r="K1832" s="24" t="s">
        <v>24</v>
      </c>
      <c r="L1832" s="24" t="s">
        <v>99</v>
      </c>
    </row>
    <row r="1833">
      <c r="A1833" s="24">
        <f t="shared" si="1"/>
        <v>1831</v>
      </c>
      <c r="B1833" s="24" t="s">
        <v>787</v>
      </c>
      <c r="C1833" s="275">
        <v>43146.0</v>
      </c>
      <c r="D1833" s="24" t="str">
        <f t="shared" si="131"/>
        <v>Feb-2018</v>
      </c>
      <c r="E1833" s="24" t="s">
        <v>25</v>
      </c>
      <c r="F1833" s="24" t="s">
        <v>35</v>
      </c>
      <c r="G1833" s="24" t="s">
        <v>47</v>
      </c>
      <c r="H1833" s="24" t="s">
        <v>48</v>
      </c>
      <c r="I1833" s="24" t="s">
        <v>9</v>
      </c>
      <c r="J1833" s="24" t="s">
        <v>24</v>
      </c>
      <c r="K1833" s="24"/>
      <c r="L1833" s="24" t="s">
        <v>106</v>
      </c>
    </row>
    <row r="1834">
      <c r="A1834" s="24">
        <f t="shared" si="1"/>
        <v>1832</v>
      </c>
      <c r="B1834" s="24" t="s">
        <v>787</v>
      </c>
      <c r="C1834" s="275">
        <v>43146.0</v>
      </c>
      <c r="D1834" s="24" t="str">
        <f t="shared" si="131"/>
        <v>Feb-2018</v>
      </c>
      <c r="E1834" s="24" t="s">
        <v>20</v>
      </c>
      <c r="F1834" s="24" t="s">
        <v>35</v>
      </c>
      <c r="G1834" s="24" t="s">
        <v>100</v>
      </c>
      <c r="H1834" s="24" t="s">
        <v>9</v>
      </c>
      <c r="I1834" s="24" t="s">
        <v>9</v>
      </c>
      <c r="J1834" s="24" t="s">
        <v>24</v>
      </c>
      <c r="K1834" s="24" t="s">
        <v>30</v>
      </c>
      <c r="L1834" s="24" t="s">
        <v>69</v>
      </c>
    </row>
    <row r="1835">
      <c r="A1835" s="24">
        <f t="shared" si="1"/>
        <v>1833</v>
      </c>
      <c r="B1835" s="24" t="s">
        <v>787</v>
      </c>
      <c r="C1835" s="275">
        <v>43146.0</v>
      </c>
      <c r="D1835" s="24" t="str">
        <f t="shared" si="131"/>
        <v>Feb-2018</v>
      </c>
      <c r="E1835" s="24" t="s">
        <v>25</v>
      </c>
      <c r="F1835" s="24" t="s">
        <v>35</v>
      </c>
      <c r="G1835" s="24" t="s">
        <v>100</v>
      </c>
      <c r="H1835" s="24" t="s">
        <v>9</v>
      </c>
      <c r="I1835" s="24" t="s">
        <v>9</v>
      </c>
      <c r="J1835" s="24" t="s">
        <v>30</v>
      </c>
      <c r="K1835" s="24"/>
      <c r="L1835" s="24" t="s">
        <v>106</v>
      </c>
    </row>
    <row r="1836">
      <c r="A1836" s="24">
        <f t="shared" si="1"/>
        <v>1834</v>
      </c>
      <c r="B1836" s="24" t="s">
        <v>787</v>
      </c>
      <c r="C1836" s="275">
        <v>43146.0</v>
      </c>
      <c r="D1836" s="24" t="str">
        <f t="shared" ref="D1836:D1839" si="132">TEXT(C1828:C1836, "mmm") &amp; "-" &amp; TEXT(C1828:C1836, "yyyy") </f>
        <v>Feb-2018</v>
      </c>
      <c r="E1836" s="24" t="s">
        <v>32</v>
      </c>
      <c r="F1836" s="24" t="s">
        <v>35</v>
      </c>
      <c r="G1836" s="24" t="s">
        <v>100</v>
      </c>
      <c r="H1836" s="24" t="s">
        <v>9</v>
      </c>
      <c r="I1836" s="24" t="s">
        <v>9</v>
      </c>
      <c r="J1836" s="24" t="s">
        <v>30</v>
      </c>
      <c r="K1836" s="24"/>
      <c r="L1836" s="24" t="s">
        <v>98</v>
      </c>
    </row>
    <row r="1837">
      <c r="A1837" s="24">
        <f t="shared" si="1"/>
        <v>1835</v>
      </c>
      <c r="B1837" s="24" t="s">
        <v>787</v>
      </c>
      <c r="C1837" s="275">
        <v>43146.0</v>
      </c>
      <c r="D1837" s="24" t="str">
        <f t="shared" si="132"/>
        <v>Feb-2018</v>
      </c>
      <c r="E1837" s="24" t="s">
        <v>146</v>
      </c>
      <c r="F1837" s="24" t="s">
        <v>35</v>
      </c>
      <c r="G1837" s="24" t="s">
        <v>790</v>
      </c>
      <c r="H1837" s="24" t="s">
        <v>27</v>
      </c>
      <c r="I1837" s="24" t="s">
        <v>9</v>
      </c>
      <c r="J1837" s="24" t="s">
        <v>24</v>
      </c>
      <c r="K1837" s="24" t="s">
        <v>24</v>
      </c>
      <c r="L1837" s="24" t="s">
        <v>98</v>
      </c>
    </row>
    <row r="1838">
      <c r="A1838" s="24">
        <f t="shared" si="1"/>
        <v>1836</v>
      </c>
      <c r="B1838" s="24" t="s">
        <v>787</v>
      </c>
      <c r="C1838" s="275">
        <v>43146.0</v>
      </c>
      <c r="D1838" s="24" t="str">
        <f t="shared" si="132"/>
        <v>Feb-2018</v>
      </c>
      <c r="E1838" s="24" t="s">
        <v>149</v>
      </c>
      <c r="F1838" s="24" t="s">
        <v>35</v>
      </c>
      <c r="G1838" s="24" t="s">
        <v>790</v>
      </c>
      <c r="H1838" s="24" t="s">
        <v>27</v>
      </c>
      <c r="I1838" s="24" t="s">
        <v>9</v>
      </c>
      <c r="J1838" s="24" t="s">
        <v>24</v>
      </c>
      <c r="K1838" s="24"/>
      <c r="L1838" s="24" t="s">
        <v>69</v>
      </c>
    </row>
    <row r="1839">
      <c r="A1839" s="24">
        <f t="shared" si="1"/>
        <v>1837</v>
      </c>
      <c r="B1839" s="24" t="s">
        <v>787</v>
      </c>
      <c r="C1839" s="275">
        <v>43146.0</v>
      </c>
      <c r="D1839" s="24" t="str">
        <f t="shared" si="132"/>
        <v>Feb-2018</v>
      </c>
      <c r="E1839" s="24" t="s">
        <v>222</v>
      </c>
      <c r="F1839" s="24" t="s">
        <v>35</v>
      </c>
      <c r="G1839" s="24" t="s">
        <v>790</v>
      </c>
      <c r="H1839" s="24" t="s">
        <v>27</v>
      </c>
      <c r="I1839" s="24" t="s">
        <v>9</v>
      </c>
      <c r="J1839" s="24" t="s">
        <v>24</v>
      </c>
      <c r="K1839" s="24"/>
      <c r="L1839" s="24" t="s">
        <v>106</v>
      </c>
    </row>
    <row r="1840">
      <c r="A1840" s="24">
        <f t="shared" si="1"/>
        <v>1838</v>
      </c>
      <c r="B1840" s="24" t="s">
        <v>791</v>
      </c>
      <c r="C1840" s="275">
        <v>43153.0</v>
      </c>
      <c r="D1840" s="24" t="str">
        <f t="shared" ref="D1840:D1847" si="133">TEXT(C1833:C1840, "mmm") &amp; "-" &amp; TEXT(C1833:C1840, "yyyy") </f>
        <v>Feb-2018</v>
      </c>
      <c r="E1840" s="24" t="s">
        <v>20</v>
      </c>
      <c r="F1840" s="24" t="s">
        <v>35</v>
      </c>
      <c r="G1840" s="24" t="s">
        <v>520</v>
      </c>
      <c r="H1840" s="24" t="s">
        <v>86</v>
      </c>
      <c r="I1840" s="24" t="s">
        <v>9</v>
      </c>
      <c r="J1840" s="24" t="s">
        <v>30</v>
      </c>
      <c r="K1840" s="24" t="s">
        <v>30</v>
      </c>
      <c r="L1840" s="24" t="s">
        <v>69</v>
      </c>
    </row>
    <row r="1841">
      <c r="A1841" s="24">
        <f t="shared" si="1"/>
        <v>1839</v>
      </c>
      <c r="B1841" s="24" t="s">
        <v>791</v>
      </c>
      <c r="C1841" s="275">
        <v>43153.0</v>
      </c>
      <c r="D1841" s="24" t="str">
        <f t="shared" si="133"/>
        <v>Feb-2018</v>
      </c>
      <c r="E1841" s="24" t="s">
        <v>25</v>
      </c>
      <c r="F1841" s="24" t="s">
        <v>35</v>
      </c>
      <c r="G1841" s="24" t="s">
        <v>520</v>
      </c>
      <c r="H1841" s="24" t="s">
        <v>86</v>
      </c>
      <c r="I1841" s="24" t="s">
        <v>9</v>
      </c>
      <c r="J1841" s="24" t="s">
        <v>30</v>
      </c>
      <c r="K1841" s="24"/>
      <c r="L1841" s="24" t="s">
        <v>98</v>
      </c>
    </row>
    <row r="1842">
      <c r="A1842" s="24">
        <f t="shared" si="1"/>
        <v>1840</v>
      </c>
      <c r="B1842" s="24" t="s">
        <v>791</v>
      </c>
      <c r="C1842" s="275">
        <v>43153.0</v>
      </c>
      <c r="D1842" s="24" t="str">
        <f t="shared" si="133"/>
        <v>Feb-2018</v>
      </c>
      <c r="E1842" s="24" t="s">
        <v>20</v>
      </c>
      <c r="F1842" s="24" t="s">
        <v>35</v>
      </c>
      <c r="G1842" s="24" t="s">
        <v>771</v>
      </c>
      <c r="H1842" s="24" t="s">
        <v>64</v>
      </c>
      <c r="I1842" s="24" t="s">
        <v>9</v>
      </c>
      <c r="J1842" s="24" t="s">
        <v>24</v>
      </c>
      <c r="K1842" s="24" t="s">
        <v>24</v>
      </c>
      <c r="L1842" s="24" t="s">
        <v>98</v>
      </c>
    </row>
    <row r="1843">
      <c r="A1843" s="24">
        <f t="shared" si="1"/>
        <v>1841</v>
      </c>
      <c r="B1843" s="24" t="s">
        <v>791</v>
      </c>
      <c r="C1843" s="275">
        <v>43153.0</v>
      </c>
      <c r="D1843" s="24" t="str">
        <f t="shared" si="133"/>
        <v>Feb-2018</v>
      </c>
      <c r="E1843" s="24" t="s">
        <v>25</v>
      </c>
      <c r="F1843" s="24" t="s">
        <v>35</v>
      </c>
      <c r="G1843" s="24" t="s">
        <v>771</v>
      </c>
      <c r="H1843" s="24" t="s">
        <v>64</v>
      </c>
      <c r="I1843" s="24" t="s">
        <v>9</v>
      </c>
      <c r="J1843" s="24" t="s">
        <v>30</v>
      </c>
      <c r="K1843" s="24"/>
      <c r="L1843" s="24" t="s">
        <v>106</v>
      </c>
    </row>
    <row r="1844">
      <c r="A1844" s="24">
        <f t="shared" si="1"/>
        <v>1842</v>
      </c>
      <c r="B1844" s="24" t="s">
        <v>791</v>
      </c>
      <c r="C1844" s="275">
        <v>43153.0</v>
      </c>
      <c r="D1844" s="24" t="str">
        <f t="shared" si="133"/>
        <v>Feb-2018</v>
      </c>
      <c r="E1844" s="24" t="s">
        <v>32</v>
      </c>
      <c r="F1844" s="24" t="s">
        <v>35</v>
      </c>
      <c r="G1844" s="24" t="s">
        <v>771</v>
      </c>
      <c r="H1844" s="24" t="s">
        <v>64</v>
      </c>
      <c r="I1844" s="24" t="s">
        <v>9</v>
      </c>
      <c r="J1844" s="24" t="s">
        <v>24</v>
      </c>
      <c r="K1844" s="24"/>
      <c r="L1844" s="24" t="s">
        <v>99</v>
      </c>
    </row>
    <row r="1845">
      <c r="A1845" s="24">
        <f t="shared" si="1"/>
        <v>1843</v>
      </c>
      <c r="B1845" s="24" t="s">
        <v>791</v>
      </c>
      <c r="C1845" s="275">
        <v>43153.0</v>
      </c>
      <c r="D1845" s="24" t="str">
        <f t="shared" si="133"/>
        <v>Feb-2018</v>
      </c>
      <c r="E1845" s="24" t="s">
        <v>20</v>
      </c>
      <c r="F1845" s="24" t="s">
        <v>35</v>
      </c>
      <c r="G1845" s="24" t="s">
        <v>793</v>
      </c>
      <c r="H1845" s="24" t="s">
        <v>71</v>
      </c>
      <c r="I1845" s="24" t="s">
        <v>9</v>
      </c>
      <c r="J1845" s="24" t="s">
        <v>30</v>
      </c>
      <c r="K1845" s="24" t="s">
        <v>30</v>
      </c>
      <c r="L1845" s="24" t="s">
        <v>98</v>
      </c>
    </row>
    <row r="1846">
      <c r="A1846" s="24">
        <f t="shared" si="1"/>
        <v>1844</v>
      </c>
      <c r="B1846" s="24" t="s">
        <v>791</v>
      </c>
      <c r="C1846" s="275">
        <v>43153.0</v>
      </c>
      <c r="D1846" s="24" t="str">
        <f t="shared" si="133"/>
        <v>Feb-2018</v>
      </c>
      <c r="E1846" s="24" t="s">
        <v>25</v>
      </c>
      <c r="F1846" s="24" t="s">
        <v>35</v>
      </c>
      <c r="G1846" s="24" t="s">
        <v>793</v>
      </c>
      <c r="H1846" s="24" t="s">
        <v>71</v>
      </c>
      <c r="I1846" s="24" t="s">
        <v>9</v>
      </c>
      <c r="J1846" s="24" t="s">
        <v>30</v>
      </c>
      <c r="K1846" s="24"/>
      <c r="L1846" s="24" t="s">
        <v>99</v>
      </c>
    </row>
    <row r="1847">
      <c r="A1847" s="24">
        <f t="shared" si="1"/>
        <v>1845</v>
      </c>
      <c r="B1847" s="24" t="s">
        <v>791</v>
      </c>
      <c r="C1847" s="275">
        <v>43153.0</v>
      </c>
      <c r="D1847" s="24" t="str">
        <f t="shared" si="133"/>
        <v>Feb-2018</v>
      </c>
      <c r="E1847" s="24" t="s">
        <v>20</v>
      </c>
      <c r="F1847" s="24" t="s">
        <v>35</v>
      </c>
      <c r="G1847" s="24" t="s">
        <v>795</v>
      </c>
      <c r="H1847" s="24" t="s">
        <v>86</v>
      </c>
      <c r="I1847" s="24" t="s">
        <v>9</v>
      </c>
      <c r="J1847" s="24" t="s">
        <v>30</v>
      </c>
      <c r="K1847" s="24" t="s">
        <v>30</v>
      </c>
      <c r="L1847" s="24" t="s">
        <v>29</v>
      </c>
    </row>
    <row r="1848">
      <c r="A1848" s="24">
        <f t="shared" si="1"/>
        <v>1846</v>
      </c>
      <c r="B1848" s="24" t="s">
        <v>791</v>
      </c>
      <c r="C1848" s="275">
        <v>43153.0</v>
      </c>
      <c r="D1848" s="24" t="str">
        <f t="shared" ref="D1848:D1850" si="134">TEXT(C1840:C1848, "mmm") &amp; "-" &amp; TEXT(C1840:C1848, "yyyy") </f>
        <v>Feb-2018</v>
      </c>
      <c r="E1848" s="24" t="s">
        <v>25</v>
      </c>
      <c r="F1848" s="24" t="s">
        <v>35</v>
      </c>
      <c r="G1848" s="24" t="s">
        <v>795</v>
      </c>
      <c r="H1848" s="24" t="s">
        <v>86</v>
      </c>
      <c r="I1848" s="24" t="s">
        <v>9</v>
      </c>
      <c r="J1848" s="24" t="s">
        <v>30</v>
      </c>
      <c r="K1848" s="24"/>
      <c r="L1848" s="24" t="s">
        <v>98</v>
      </c>
    </row>
    <row r="1849">
      <c r="A1849" s="24">
        <f t="shared" si="1"/>
        <v>1847</v>
      </c>
      <c r="B1849" s="24" t="s">
        <v>791</v>
      </c>
      <c r="C1849" s="275">
        <v>43153.0</v>
      </c>
      <c r="D1849" s="24" t="str">
        <f t="shared" si="134"/>
        <v>Feb-2018</v>
      </c>
      <c r="E1849" s="24" t="s">
        <v>20</v>
      </c>
      <c r="F1849" s="24" t="s">
        <v>35</v>
      </c>
      <c r="G1849" s="24" t="s">
        <v>112</v>
      </c>
      <c r="H1849" s="24" t="s">
        <v>86</v>
      </c>
      <c r="I1849" s="24" t="s">
        <v>9</v>
      </c>
      <c r="J1849" s="24" t="s">
        <v>24</v>
      </c>
      <c r="K1849" s="24" t="s">
        <v>24</v>
      </c>
      <c r="L1849" s="24" t="s">
        <v>69</v>
      </c>
    </row>
    <row r="1850">
      <c r="A1850" s="24">
        <f t="shared" si="1"/>
        <v>1848</v>
      </c>
      <c r="B1850" s="24" t="s">
        <v>791</v>
      </c>
      <c r="C1850" s="275">
        <v>43153.0</v>
      </c>
      <c r="D1850" s="24" t="str">
        <f t="shared" si="134"/>
        <v>Feb-2018</v>
      </c>
      <c r="E1850" s="24" t="s">
        <v>25</v>
      </c>
      <c r="F1850" s="24" t="s">
        <v>35</v>
      </c>
      <c r="G1850" s="24" t="s">
        <v>112</v>
      </c>
      <c r="H1850" s="24" t="s">
        <v>86</v>
      </c>
      <c r="I1850" s="24" t="s">
        <v>9</v>
      </c>
      <c r="J1850" s="24" t="s">
        <v>24</v>
      </c>
      <c r="K1850" s="24"/>
      <c r="L1850" s="24" t="s">
        <v>29</v>
      </c>
    </row>
    <row r="1851">
      <c r="A1851" s="24">
        <f t="shared" si="1"/>
        <v>1849</v>
      </c>
      <c r="B1851" s="24" t="s">
        <v>796</v>
      </c>
      <c r="C1851" s="275">
        <v>43155.0</v>
      </c>
      <c r="D1851" s="24" t="str">
        <f t="shared" ref="D1851:D1858" si="135">TEXT(C1844:C1851, "mmm") &amp; "-" &amp; TEXT(C1844:C1851, "yyyy") </f>
        <v>Feb-2018</v>
      </c>
      <c r="E1851" s="24" t="s">
        <v>20</v>
      </c>
      <c r="F1851" s="24" t="s">
        <v>797</v>
      </c>
      <c r="G1851" s="24" t="s">
        <v>497</v>
      </c>
      <c r="H1851" s="24" t="s">
        <v>9</v>
      </c>
      <c r="I1851" s="24" t="s">
        <v>9</v>
      </c>
      <c r="J1851" s="24" t="s">
        <v>30</v>
      </c>
      <c r="K1851" s="24" t="s">
        <v>24</v>
      </c>
      <c r="L1851" s="24" t="s">
        <v>69</v>
      </c>
    </row>
    <row r="1852">
      <c r="A1852" s="24">
        <f t="shared" si="1"/>
        <v>1850</v>
      </c>
      <c r="B1852" s="24" t="s">
        <v>796</v>
      </c>
      <c r="C1852" s="275">
        <v>43155.0</v>
      </c>
      <c r="D1852" s="24" t="str">
        <f t="shared" si="135"/>
        <v>Feb-2018</v>
      </c>
      <c r="E1852" s="24" t="s">
        <v>25</v>
      </c>
      <c r="F1852" s="24" t="s">
        <v>797</v>
      </c>
      <c r="G1852" s="24" t="s">
        <v>497</v>
      </c>
      <c r="H1852" s="24" t="s">
        <v>9</v>
      </c>
      <c r="I1852" s="24" t="s">
        <v>9</v>
      </c>
      <c r="J1852" s="24" t="s">
        <v>24</v>
      </c>
      <c r="K1852" s="24"/>
      <c r="L1852" s="24" t="s">
        <v>98</v>
      </c>
    </row>
    <row r="1853">
      <c r="A1853" s="24">
        <f t="shared" si="1"/>
        <v>1851</v>
      </c>
      <c r="B1853" s="24" t="s">
        <v>796</v>
      </c>
      <c r="C1853" s="275">
        <v>43155.0</v>
      </c>
      <c r="D1853" s="24" t="str">
        <f t="shared" si="135"/>
        <v>Feb-2018</v>
      </c>
      <c r="E1853" s="24" t="s">
        <v>32</v>
      </c>
      <c r="F1853" s="24" t="s">
        <v>797</v>
      </c>
      <c r="G1853" s="24" t="s">
        <v>497</v>
      </c>
      <c r="H1853" s="24" t="s">
        <v>9</v>
      </c>
      <c r="I1853" s="24" t="s">
        <v>9</v>
      </c>
      <c r="J1853" s="24" t="s">
        <v>24</v>
      </c>
      <c r="K1853" s="24"/>
      <c r="L1853" s="24" t="s">
        <v>106</v>
      </c>
    </row>
    <row r="1854">
      <c r="A1854" s="24">
        <f t="shared" si="1"/>
        <v>1852</v>
      </c>
      <c r="B1854" s="24" t="s">
        <v>796</v>
      </c>
      <c r="C1854" s="275">
        <v>43155.0</v>
      </c>
      <c r="D1854" s="24" t="str">
        <f t="shared" si="135"/>
        <v>Feb-2018</v>
      </c>
      <c r="E1854" s="24" t="s">
        <v>20</v>
      </c>
      <c r="F1854" s="24" t="s">
        <v>797</v>
      </c>
      <c r="G1854" s="24" t="s">
        <v>442</v>
      </c>
      <c r="H1854" s="24" t="s">
        <v>27</v>
      </c>
      <c r="I1854" s="24" t="s">
        <v>9</v>
      </c>
      <c r="J1854" s="24" t="s">
        <v>30</v>
      </c>
      <c r="K1854" s="24" t="s">
        <v>30</v>
      </c>
      <c r="L1854" s="24" t="s">
        <v>37</v>
      </c>
    </row>
    <row r="1855">
      <c r="A1855" s="24">
        <f t="shared" si="1"/>
        <v>1853</v>
      </c>
      <c r="B1855" s="24" t="s">
        <v>796</v>
      </c>
      <c r="C1855" s="275">
        <v>43155.0</v>
      </c>
      <c r="D1855" s="24" t="str">
        <f t="shared" si="135"/>
        <v>Feb-2018</v>
      </c>
      <c r="E1855" s="24" t="s">
        <v>25</v>
      </c>
      <c r="F1855" s="24" t="s">
        <v>797</v>
      </c>
      <c r="G1855" s="24" t="s">
        <v>442</v>
      </c>
      <c r="H1855" s="24" t="s">
        <v>27</v>
      </c>
      <c r="I1855" s="24" t="s">
        <v>9</v>
      </c>
      <c r="J1855" s="24" t="s">
        <v>30</v>
      </c>
      <c r="K1855" s="24"/>
      <c r="L1855" s="24" t="s">
        <v>106</v>
      </c>
    </row>
    <row r="1856">
      <c r="A1856" s="24">
        <f t="shared" si="1"/>
        <v>1854</v>
      </c>
      <c r="B1856" s="24" t="s">
        <v>796</v>
      </c>
      <c r="C1856" s="275">
        <v>43155.0</v>
      </c>
      <c r="D1856" s="24" t="str">
        <f t="shared" si="135"/>
        <v>Feb-2018</v>
      </c>
      <c r="E1856" s="24" t="s">
        <v>20</v>
      </c>
      <c r="F1856" s="24" t="s">
        <v>797</v>
      </c>
      <c r="G1856" s="24" t="s">
        <v>194</v>
      </c>
      <c r="H1856" s="24" t="s">
        <v>23</v>
      </c>
      <c r="I1856" s="24" t="s">
        <v>9</v>
      </c>
      <c r="J1856" s="24" t="s">
        <v>24</v>
      </c>
      <c r="K1856" s="24" t="s">
        <v>24</v>
      </c>
      <c r="L1856" s="24" t="s">
        <v>37</v>
      </c>
    </row>
    <row r="1857">
      <c r="A1857" s="24">
        <f t="shared" si="1"/>
        <v>1855</v>
      </c>
      <c r="B1857" s="24" t="s">
        <v>796</v>
      </c>
      <c r="C1857" s="275">
        <v>43155.0</v>
      </c>
      <c r="D1857" s="24" t="str">
        <f t="shared" si="135"/>
        <v>Feb-2018</v>
      </c>
      <c r="E1857" s="24" t="s">
        <v>25</v>
      </c>
      <c r="F1857" s="24" t="s">
        <v>797</v>
      </c>
      <c r="G1857" s="24" t="s">
        <v>194</v>
      </c>
      <c r="H1857" s="24" t="s">
        <v>23</v>
      </c>
      <c r="I1857" s="24" t="s">
        <v>9</v>
      </c>
      <c r="J1857" s="24" t="s">
        <v>24</v>
      </c>
      <c r="K1857" s="24"/>
      <c r="L1857" s="24" t="s">
        <v>106</v>
      </c>
    </row>
    <row r="1858">
      <c r="A1858" s="24">
        <f t="shared" si="1"/>
        <v>1856</v>
      </c>
      <c r="B1858" s="24" t="s">
        <v>796</v>
      </c>
      <c r="C1858" s="275">
        <v>43155.0</v>
      </c>
      <c r="D1858" s="24" t="str">
        <f t="shared" si="135"/>
        <v>Feb-2018</v>
      </c>
      <c r="E1858" s="24" t="s">
        <v>20</v>
      </c>
      <c r="F1858" s="24" t="s">
        <v>797</v>
      </c>
      <c r="G1858" s="24" t="s">
        <v>100</v>
      </c>
      <c r="H1858" s="24" t="s">
        <v>9</v>
      </c>
      <c r="I1858" s="24" t="s">
        <v>9</v>
      </c>
      <c r="J1858" s="24" t="s">
        <v>30</v>
      </c>
      <c r="K1858" s="24" t="s">
        <v>30</v>
      </c>
      <c r="L1858" s="24" t="s">
        <v>69</v>
      </c>
    </row>
    <row r="1859">
      <c r="A1859" s="24">
        <f t="shared" si="1"/>
        <v>1857</v>
      </c>
      <c r="B1859" s="24" t="s">
        <v>796</v>
      </c>
      <c r="C1859" s="275">
        <v>43155.0</v>
      </c>
      <c r="D1859" s="24" t="str">
        <f t="shared" ref="D1859:D1882" si="136">TEXT(C1851:C1859, "mmm") &amp; "-" &amp; TEXT(C1851:C1859, "yyyy") </f>
        <v>Feb-2018</v>
      </c>
      <c r="E1859" s="24" t="s">
        <v>25</v>
      </c>
      <c r="F1859" s="24" t="s">
        <v>797</v>
      </c>
      <c r="G1859" s="24" t="s">
        <v>100</v>
      </c>
      <c r="H1859" s="24" t="s">
        <v>9</v>
      </c>
      <c r="I1859" s="24" t="s">
        <v>9</v>
      </c>
      <c r="J1859" s="24" t="s">
        <v>30</v>
      </c>
      <c r="K1859" s="24"/>
      <c r="L1859" s="24" t="s">
        <v>98</v>
      </c>
    </row>
    <row r="1860">
      <c r="A1860" s="24">
        <f t="shared" si="1"/>
        <v>1858</v>
      </c>
      <c r="B1860" s="24" t="s">
        <v>796</v>
      </c>
      <c r="C1860" s="275">
        <v>43155.0</v>
      </c>
      <c r="D1860" s="24" t="str">
        <f t="shared" si="136"/>
        <v>Feb-2018</v>
      </c>
      <c r="E1860" s="24" t="s">
        <v>20</v>
      </c>
      <c r="F1860" s="24" t="s">
        <v>797</v>
      </c>
      <c r="G1860" s="24" t="s">
        <v>801</v>
      </c>
      <c r="H1860" s="24" t="s">
        <v>9</v>
      </c>
      <c r="I1860" s="24" t="s">
        <v>9</v>
      </c>
      <c r="J1860" s="24" t="s">
        <v>30</v>
      </c>
      <c r="K1860" s="24" t="s">
        <v>30</v>
      </c>
      <c r="L1860" s="24" t="s">
        <v>69</v>
      </c>
    </row>
    <row r="1861">
      <c r="A1861" s="24">
        <f t="shared" si="1"/>
        <v>1859</v>
      </c>
      <c r="B1861" s="24" t="s">
        <v>796</v>
      </c>
      <c r="C1861" s="275">
        <v>43155.0</v>
      </c>
      <c r="D1861" s="24" t="str">
        <f t="shared" si="136"/>
        <v>Feb-2018</v>
      </c>
      <c r="E1861" s="24" t="s">
        <v>25</v>
      </c>
      <c r="F1861" s="24" t="s">
        <v>797</v>
      </c>
      <c r="G1861" s="24" t="s">
        <v>801</v>
      </c>
      <c r="H1861" s="24" t="s">
        <v>9</v>
      </c>
      <c r="I1861" s="24" t="s">
        <v>9</v>
      </c>
      <c r="J1861" s="24" t="s">
        <v>30</v>
      </c>
      <c r="K1861" s="24"/>
      <c r="L1861" s="24" t="s">
        <v>99</v>
      </c>
    </row>
    <row r="1862">
      <c r="A1862" s="24">
        <f t="shared" si="1"/>
        <v>1860</v>
      </c>
      <c r="B1862" s="24" t="s">
        <v>796</v>
      </c>
      <c r="C1862" s="275">
        <v>43155.0</v>
      </c>
      <c r="D1862" s="24" t="str">
        <f t="shared" si="136"/>
        <v>Feb-2018</v>
      </c>
      <c r="E1862" s="24" t="s">
        <v>20</v>
      </c>
      <c r="F1862" s="24" t="s">
        <v>797</v>
      </c>
      <c r="G1862" s="24" t="s">
        <v>802</v>
      </c>
      <c r="H1862" s="24" t="s">
        <v>23</v>
      </c>
      <c r="I1862" s="24" t="s">
        <v>9</v>
      </c>
      <c r="J1862" s="24" t="s">
        <v>30</v>
      </c>
      <c r="K1862" s="24" t="s">
        <v>30</v>
      </c>
      <c r="L1862" s="24" t="s">
        <v>29</v>
      </c>
    </row>
    <row r="1863">
      <c r="A1863" s="24">
        <f t="shared" si="1"/>
        <v>1861</v>
      </c>
      <c r="B1863" s="24" t="s">
        <v>796</v>
      </c>
      <c r="C1863" s="275">
        <v>43155.0</v>
      </c>
      <c r="D1863" s="24" t="str">
        <f t="shared" si="136"/>
        <v>Feb-2018</v>
      </c>
      <c r="E1863" s="24" t="s">
        <v>25</v>
      </c>
      <c r="F1863" s="24" t="s">
        <v>797</v>
      </c>
      <c r="G1863" s="24" t="s">
        <v>802</v>
      </c>
      <c r="H1863" s="24" t="s">
        <v>23</v>
      </c>
      <c r="I1863" s="24" t="s">
        <v>9</v>
      </c>
      <c r="J1863" s="24" t="s">
        <v>30</v>
      </c>
      <c r="K1863" s="24"/>
      <c r="L1863" s="24" t="s">
        <v>69</v>
      </c>
    </row>
    <row r="1864">
      <c r="A1864" s="24">
        <f t="shared" si="1"/>
        <v>1862</v>
      </c>
      <c r="B1864" s="24" t="s">
        <v>796</v>
      </c>
      <c r="C1864" s="275">
        <v>43155.0</v>
      </c>
      <c r="D1864" s="24" t="str">
        <f t="shared" si="136"/>
        <v>Feb-2018</v>
      </c>
      <c r="E1864" s="24" t="s">
        <v>20</v>
      </c>
      <c r="F1864" s="24" t="s">
        <v>797</v>
      </c>
      <c r="G1864" s="24" t="s">
        <v>218</v>
      </c>
      <c r="H1864" s="24" t="s">
        <v>86</v>
      </c>
      <c r="I1864" s="24" t="s">
        <v>9</v>
      </c>
      <c r="J1864" s="24" t="s">
        <v>24</v>
      </c>
      <c r="K1864" s="24" t="s">
        <v>24</v>
      </c>
      <c r="L1864" s="24" t="s">
        <v>69</v>
      </c>
    </row>
    <row r="1865">
      <c r="A1865" s="24">
        <f t="shared" si="1"/>
        <v>1863</v>
      </c>
      <c r="B1865" s="24" t="s">
        <v>796</v>
      </c>
      <c r="C1865" s="275">
        <v>43155.0</v>
      </c>
      <c r="D1865" s="24" t="str">
        <f t="shared" si="136"/>
        <v>Feb-2018</v>
      </c>
      <c r="E1865" s="24" t="s">
        <v>25</v>
      </c>
      <c r="F1865" s="24" t="s">
        <v>797</v>
      </c>
      <c r="G1865" s="24" t="s">
        <v>218</v>
      </c>
      <c r="H1865" s="24" t="s">
        <v>86</v>
      </c>
      <c r="I1865" s="24" t="s">
        <v>9</v>
      </c>
      <c r="J1865" s="24" t="s">
        <v>24</v>
      </c>
      <c r="K1865" s="24"/>
      <c r="L1865" s="24" t="s">
        <v>69</v>
      </c>
    </row>
    <row r="1866">
      <c r="A1866" s="24">
        <f t="shared" si="1"/>
        <v>1864</v>
      </c>
      <c r="B1866" s="24" t="s">
        <v>796</v>
      </c>
      <c r="C1866" s="275">
        <v>43155.0</v>
      </c>
      <c r="D1866" s="24" t="str">
        <f t="shared" si="136"/>
        <v>Feb-2018</v>
      </c>
      <c r="E1866" s="24" t="s">
        <v>20</v>
      </c>
      <c r="F1866" s="24" t="s">
        <v>797</v>
      </c>
      <c r="G1866" s="24" t="s">
        <v>404</v>
      </c>
      <c r="H1866" s="24" t="s">
        <v>27</v>
      </c>
      <c r="I1866" s="24" t="s">
        <v>9</v>
      </c>
      <c r="J1866" s="24" t="s">
        <v>24</v>
      </c>
      <c r="K1866" s="24" t="s">
        <v>30</v>
      </c>
      <c r="L1866" s="24" t="s">
        <v>69</v>
      </c>
    </row>
    <row r="1867">
      <c r="A1867" s="24">
        <f t="shared" si="1"/>
        <v>1865</v>
      </c>
      <c r="B1867" s="24" t="s">
        <v>796</v>
      </c>
      <c r="C1867" s="275">
        <v>43155.0</v>
      </c>
      <c r="D1867" s="24" t="str">
        <f t="shared" si="136"/>
        <v>Feb-2018</v>
      </c>
      <c r="E1867" s="24" t="s">
        <v>25</v>
      </c>
      <c r="F1867" s="24" t="s">
        <v>797</v>
      </c>
      <c r="G1867" s="24" t="s">
        <v>404</v>
      </c>
      <c r="H1867" s="24" t="s">
        <v>27</v>
      </c>
      <c r="I1867" s="24" t="s">
        <v>9</v>
      </c>
      <c r="J1867" s="24" t="s">
        <v>30</v>
      </c>
      <c r="K1867" s="24"/>
      <c r="L1867" s="24" t="s">
        <v>98</v>
      </c>
    </row>
    <row r="1868">
      <c r="A1868" s="24">
        <f t="shared" si="1"/>
        <v>1866</v>
      </c>
      <c r="B1868" s="24" t="s">
        <v>796</v>
      </c>
      <c r="C1868" s="275">
        <v>43155.0</v>
      </c>
      <c r="D1868" s="24" t="str">
        <f t="shared" si="136"/>
        <v>Feb-2018</v>
      </c>
      <c r="E1868" s="24" t="s">
        <v>32</v>
      </c>
      <c r="F1868" s="24" t="s">
        <v>797</v>
      </c>
      <c r="G1868" s="24" t="s">
        <v>404</v>
      </c>
      <c r="H1868" s="24" t="s">
        <v>27</v>
      </c>
      <c r="I1868" s="24" t="s">
        <v>9</v>
      </c>
      <c r="J1868" s="24" t="s">
        <v>30</v>
      </c>
      <c r="K1868" s="24"/>
      <c r="L1868" s="24" t="s">
        <v>106</v>
      </c>
    </row>
    <row r="1869">
      <c r="A1869" s="24">
        <f t="shared" si="1"/>
        <v>1867</v>
      </c>
      <c r="B1869" s="24" t="s">
        <v>796</v>
      </c>
      <c r="C1869" s="275">
        <v>43155.0</v>
      </c>
      <c r="D1869" s="24" t="str">
        <f t="shared" si="136"/>
        <v>Feb-2018</v>
      </c>
      <c r="E1869" s="24" t="s">
        <v>20</v>
      </c>
      <c r="F1869" s="24" t="s">
        <v>797</v>
      </c>
      <c r="G1869" s="24" t="s">
        <v>633</v>
      </c>
      <c r="H1869" s="24" t="s">
        <v>27</v>
      </c>
      <c r="I1869" s="24" t="s">
        <v>9</v>
      </c>
      <c r="J1869" s="24" t="s">
        <v>30</v>
      </c>
      <c r="K1869" s="24" t="s">
        <v>30</v>
      </c>
      <c r="L1869" s="24" t="s">
        <v>69</v>
      </c>
    </row>
    <row r="1870">
      <c r="A1870" s="24">
        <f t="shared" si="1"/>
        <v>1868</v>
      </c>
      <c r="B1870" s="24" t="s">
        <v>796</v>
      </c>
      <c r="C1870" s="275">
        <v>43155.0</v>
      </c>
      <c r="D1870" s="24" t="str">
        <f t="shared" si="136"/>
        <v>Feb-2018</v>
      </c>
      <c r="E1870" s="24" t="s">
        <v>25</v>
      </c>
      <c r="F1870" s="24" t="s">
        <v>797</v>
      </c>
      <c r="G1870" s="24" t="s">
        <v>633</v>
      </c>
      <c r="H1870" s="24" t="s">
        <v>27</v>
      </c>
      <c r="I1870" s="24" t="s">
        <v>9</v>
      </c>
      <c r="J1870" s="24" t="s">
        <v>30</v>
      </c>
      <c r="K1870" s="24"/>
      <c r="L1870" s="24" t="s">
        <v>99</v>
      </c>
    </row>
    <row r="1871">
      <c r="A1871" s="24">
        <f t="shared" si="1"/>
        <v>1869</v>
      </c>
      <c r="B1871" s="24" t="s">
        <v>796</v>
      </c>
      <c r="C1871" s="275">
        <v>43155.0</v>
      </c>
      <c r="D1871" s="24" t="str">
        <f t="shared" si="136"/>
        <v>Feb-2018</v>
      </c>
      <c r="E1871" s="24" t="s">
        <v>20</v>
      </c>
      <c r="F1871" s="24" t="s">
        <v>797</v>
      </c>
      <c r="G1871" s="24" t="s">
        <v>680</v>
      </c>
      <c r="H1871" s="24" t="s">
        <v>71</v>
      </c>
      <c r="I1871" s="24" t="s">
        <v>9</v>
      </c>
      <c r="J1871" s="24" t="s">
        <v>24</v>
      </c>
      <c r="K1871" s="24" t="s">
        <v>24</v>
      </c>
      <c r="L1871" s="24" t="s">
        <v>99</v>
      </c>
    </row>
    <row r="1872">
      <c r="A1872" s="24">
        <f t="shared" si="1"/>
        <v>1870</v>
      </c>
      <c r="B1872" s="24" t="s">
        <v>796</v>
      </c>
      <c r="C1872" s="275">
        <v>43155.0</v>
      </c>
      <c r="D1872" s="24" t="str">
        <f t="shared" si="136"/>
        <v>Feb-2018</v>
      </c>
      <c r="E1872" s="24" t="s">
        <v>25</v>
      </c>
      <c r="F1872" s="24" t="s">
        <v>797</v>
      </c>
      <c r="G1872" s="24" t="s">
        <v>680</v>
      </c>
      <c r="H1872" s="24" t="s">
        <v>71</v>
      </c>
      <c r="I1872" s="24" t="s">
        <v>9</v>
      </c>
      <c r="J1872" s="24" t="s">
        <v>24</v>
      </c>
      <c r="K1872" s="24"/>
      <c r="L1872" s="24" t="s">
        <v>106</v>
      </c>
    </row>
    <row r="1873">
      <c r="A1873" s="24">
        <f t="shared" si="1"/>
        <v>1871</v>
      </c>
      <c r="B1873" s="24" t="s">
        <v>796</v>
      </c>
      <c r="C1873" s="275">
        <v>43155.0</v>
      </c>
      <c r="D1873" s="24" t="str">
        <f t="shared" si="136"/>
        <v>Feb-2018</v>
      </c>
      <c r="E1873" s="24" t="s">
        <v>20</v>
      </c>
      <c r="F1873" s="24" t="s">
        <v>278</v>
      </c>
      <c r="G1873" s="24" t="s">
        <v>803</v>
      </c>
      <c r="H1873" s="24" t="s">
        <v>86</v>
      </c>
      <c r="I1873" s="24" t="s">
        <v>9</v>
      </c>
      <c r="J1873" s="24" t="s">
        <v>30</v>
      </c>
      <c r="K1873" s="24" t="s">
        <v>30</v>
      </c>
      <c r="L1873" s="24" t="s">
        <v>69</v>
      </c>
    </row>
    <row r="1874">
      <c r="A1874" s="24">
        <f t="shared" si="1"/>
        <v>1872</v>
      </c>
      <c r="B1874" s="24" t="s">
        <v>796</v>
      </c>
      <c r="C1874" s="275">
        <v>43155.0</v>
      </c>
      <c r="D1874" s="24" t="str">
        <f t="shared" si="136"/>
        <v>Feb-2018</v>
      </c>
      <c r="E1874" s="24" t="s">
        <v>25</v>
      </c>
      <c r="F1874" s="24" t="s">
        <v>278</v>
      </c>
      <c r="G1874" s="24" t="s">
        <v>803</v>
      </c>
      <c r="H1874" s="24" t="s">
        <v>86</v>
      </c>
      <c r="I1874" s="24" t="s">
        <v>9</v>
      </c>
      <c r="J1874" s="24" t="s">
        <v>24</v>
      </c>
      <c r="K1874" s="24"/>
      <c r="L1874" s="24" t="s">
        <v>98</v>
      </c>
    </row>
    <row r="1875">
      <c r="A1875" s="24">
        <f t="shared" si="1"/>
        <v>1873</v>
      </c>
      <c r="B1875" s="24" t="s">
        <v>796</v>
      </c>
      <c r="C1875" s="275">
        <v>43155.0</v>
      </c>
      <c r="D1875" s="24" t="str">
        <f t="shared" si="136"/>
        <v>Feb-2018</v>
      </c>
      <c r="E1875" s="24" t="s">
        <v>32</v>
      </c>
      <c r="F1875" s="24" t="s">
        <v>278</v>
      </c>
      <c r="G1875" s="24" t="s">
        <v>803</v>
      </c>
      <c r="H1875" s="24" t="s">
        <v>86</v>
      </c>
      <c r="I1875" s="24" t="s">
        <v>9</v>
      </c>
      <c r="J1875" s="24" t="s">
        <v>30</v>
      </c>
      <c r="K1875" s="24"/>
      <c r="L1875" s="24" t="s">
        <v>99</v>
      </c>
    </row>
    <row r="1876">
      <c r="A1876" s="24">
        <f t="shared" si="1"/>
        <v>1874</v>
      </c>
      <c r="B1876" s="24" t="s">
        <v>796</v>
      </c>
      <c r="C1876" s="275">
        <v>43155.0</v>
      </c>
      <c r="D1876" s="24" t="str">
        <f t="shared" si="136"/>
        <v>Feb-2018</v>
      </c>
      <c r="E1876" s="24" t="s">
        <v>20</v>
      </c>
      <c r="F1876" s="24" t="s">
        <v>278</v>
      </c>
      <c r="G1876" s="24" t="s">
        <v>793</v>
      </c>
      <c r="H1876" s="24" t="s">
        <v>71</v>
      </c>
      <c r="I1876" s="24" t="s">
        <v>9</v>
      </c>
      <c r="J1876" s="24" t="s">
        <v>30</v>
      </c>
      <c r="K1876" s="24" t="s">
        <v>30</v>
      </c>
      <c r="L1876" s="24" t="s">
        <v>99</v>
      </c>
    </row>
    <row r="1877">
      <c r="A1877" s="24">
        <f t="shared" si="1"/>
        <v>1875</v>
      </c>
      <c r="B1877" s="24" t="s">
        <v>796</v>
      </c>
      <c r="C1877" s="275">
        <v>43155.0</v>
      </c>
      <c r="D1877" s="24" t="str">
        <f t="shared" si="136"/>
        <v>Feb-2018</v>
      </c>
      <c r="E1877" s="24" t="s">
        <v>25</v>
      </c>
      <c r="F1877" s="24" t="s">
        <v>278</v>
      </c>
      <c r="G1877" s="24" t="s">
        <v>793</v>
      </c>
      <c r="H1877" s="24" t="s">
        <v>71</v>
      </c>
      <c r="I1877" s="24" t="s">
        <v>9</v>
      </c>
      <c r="J1877" s="24" t="s">
        <v>30</v>
      </c>
      <c r="K1877" s="24"/>
      <c r="L1877" s="24" t="s">
        <v>37</v>
      </c>
    </row>
    <row r="1878">
      <c r="A1878" s="24">
        <f t="shared" si="1"/>
        <v>1876</v>
      </c>
      <c r="B1878" s="24" t="s">
        <v>796</v>
      </c>
      <c r="C1878" s="275">
        <v>43155.0</v>
      </c>
      <c r="D1878" s="24" t="str">
        <f t="shared" si="136"/>
        <v>Feb-2018</v>
      </c>
      <c r="E1878" s="24" t="s">
        <v>20</v>
      </c>
      <c r="F1878" s="24" t="s">
        <v>278</v>
      </c>
      <c r="G1878" s="24" t="s">
        <v>804</v>
      </c>
      <c r="H1878" s="24" t="s">
        <v>23</v>
      </c>
      <c r="I1878" s="24" t="s">
        <v>9</v>
      </c>
      <c r="J1878" s="24" t="s">
        <v>24</v>
      </c>
      <c r="K1878" s="24" t="s">
        <v>30</v>
      </c>
      <c r="L1878" s="24" t="s">
        <v>69</v>
      </c>
    </row>
    <row r="1879">
      <c r="A1879" s="24">
        <f t="shared" si="1"/>
        <v>1877</v>
      </c>
      <c r="B1879" s="24" t="s">
        <v>796</v>
      </c>
      <c r="C1879" s="275">
        <v>43155.0</v>
      </c>
      <c r="D1879" s="24" t="str">
        <f t="shared" si="136"/>
        <v>Feb-2018</v>
      </c>
      <c r="E1879" s="24" t="s">
        <v>25</v>
      </c>
      <c r="F1879" s="24" t="s">
        <v>278</v>
      </c>
      <c r="G1879" s="24" t="s">
        <v>804</v>
      </c>
      <c r="H1879" s="24" t="s">
        <v>23</v>
      </c>
      <c r="I1879" s="24" t="s">
        <v>9</v>
      </c>
      <c r="J1879" s="24" t="s">
        <v>30</v>
      </c>
      <c r="K1879" s="24"/>
      <c r="L1879" s="24" t="s">
        <v>106</v>
      </c>
    </row>
    <row r="1880">
      <c r="A1880" s="24">
        <f t="shared" si="1"/>
        <v>1878</v>
      </c>
      <c r="B1880" s="24" t="s">
        <v>796</v>
      </c>
      <c r="C1880" s="275">
        <v>43155.0</v>
      </c>
      <c r="D1880" s="24" t="str">
        <f t="shared" si="136"/>
        <v>Feb-2018</v>
      </c>
      <c r="E1880" s="24" t="s">
        <v>32</v>
      </c>
      <c r="F1880" s="24" t="s">
        <v>278</v>
      </c>
      <c r="G1880" s="24" t="s">
        <v>804</v>
      </c>
      <c r="H1880" s="24" t="s">
        <v>86</v>
      </c>
      <c r="I1880" s="24" t="s">
        <v>9</v>
      </c>
      <c r="J1880" s="24" t="s">
        <v>30</v>
      </c>
      <c r="K1880" s="24"/>
      <c r="L1880" s="24" t="s">
        <v>99</v>
      </c>
    </row>
    <row r="1881">
      <c r="A1881" s="24">
        <f t="shared" si="1"/>
        <v>1879</v>
      </c>
      <c r="B1881" s="24" t="s">
        <v>796</v>
      </c>
      <c r="C1881" s="275">
        <v>43155.0</v>
      </c>
      <c r="D1881" s="24" t="str">
        <f t="shared" si="136"/>
        <v>Feb-2018</v>
      </c>
      <c r="E1881" s="24" t="s">
        <v>20</v>
      </c>
      <c r="F1881" s="24" t="s">
        <v>278</v>
      </c>
      <c r="G1881" s="24" t="s">
        <v>449</v>
      </c>
      <c r="H1881" s="24" t="s">
        <v>86</v>
      </c>
      <c r="I1881" s="24" t="s">
        <v>9</v>
      </c>
      <c r="J1881" s="24" t="s">
        <v>24</v>
      </c>
      <c r="K1881" s="24" t="s">
        <v>24</v>
      </c>
      <c r="L1881" s="24" t="s">
        <v>69</v>
      </c>
    </row>
    <row r="1882">
      <c r="A1882" s="24">
        <f t="shared" si="1"/>
        <v>1880</v>
      </c>
      <c r="B1882" s="24" t="s">
        <v>796</v>
      </c>
      <c r="C1882" s="275">
        <v>43155.0</v>
      </c>
      <c r="D1882" s="24" t="str">
        <f t="shared" si="136"/>
        <v>Feb-2018</v>
      </c>
      <c r="E1882" s="24" t="s">
        <v>25</v>
      </c>
      <c r="F1882" s="24" t="s">
        <v>278</v>
      </c>
      <c r="G1882" s="24" t="s">
        <v>449</v>
      </c>
      <c r="H1882" s="24" t="s">
        <v>86</v>
      </c>
      <c r="I1882" s="24" t="s">
        <v>9</v>
      </c>
      <c r="J1882" s="24" t="s">
        <v>24</v>
      </c>
      <c r="K1882" s="24"/>
      <c r="L1882" s="24" t="s">
        <v>29</v>
      </c>
    </row>
    <row r="1883">
      <c r="A1883" s="24">
        <f t="shared" si="1"/>
        <v>1881</v>
      </c>
      <c r="B1883" s="24" t="s">
        <v>805</v>
      </c>
      <c r="C1883" s="275">
        <v>43158.0</v>
      </c>
      <c r="D1883" s="24" t="str">
        <f t="shared" ref="D1883:D1890" si="137">TEXT(C1876:C1883, "mmm") &amp; "-" &amp; TEXT(C1876:C1883, "yyyy") </f>
        <v>Feb-2018</v>
      </c>
      <c r="E1883" s="24" t="s">
        <v>20</v>
      </c>
      <c r="F1883" s="24" t="s">
        <v>35</v>
      </c>
      <c r="G1883" s="24" t="s">
        <v>806</v>
      </c>
      <c r="H1883" s="24" t="s">
        <v>102</v>
      </c>
      <c r="I1883" s="24" t="s">
        <v>9</v>
      </c>
      <c r="J1883" s="24" t="s">
        <v>30</v>
      </c>
      <c r="K1883" s="24" t="s">
        <v>30</v>
      </c>
      <c r="L1883" s="24" t="s">
        <v>99</v>
      </c>
    </row>
    <row r="1884">
      <c r="A1884" s="24">
        <f t="shared" si="1"/>
        <v>1882</v>
      </c>
      <c r="B1884" s="24" t="s">
        <v>805</v>
      </c>
      <c r="C1884" s="275">
        <v>43158.0</v>
      </c>
      <c r="D1884" s="24" t="str">
        <f t="shared" si="137"/>
        <v>Feb-2018</v>
      </c>
      <c r="E1884" s="24" t="s">
        <v>25</v>
      </c>
      <c r="F1884" s="24" t="s">
        <v>35</v>
      </c>
      <c r="G1884" s="24" t="s">
        <v>806</v>
      </c>
      <c r="H1884" s="24" t="s">
        <v>102</v>
      </c>
      <c r="I1884" s="24" t="s">
        <v>9</v>
      </c>
      <c r="J1884" s="24" t="s">
        <v>30</v>
      </c>
      <c r="K1884" s="24"/>
      <c r="L1884" s="24" t="s">
        <v>37</v>
      </c>
    </row>
    <row r="1885">
      <c r="A1885" s="24">
        <f t="shared" si="1"/>
        <v>1883</v>
      </c>
      <c r="B1885" s="24" t="s">
        <v>805</v>
      </c>
      <c r="C1885" s="275">
        <v>43158.0</v>
      </c>
      <c r="D1885" s="24" t="str">
        <f t="shared" si="137"/>
        <v>Feb-2018</v>
      </c>
      <c r="E1885" s="24" t="s">
        <v>20</v>
      </c>
      <c r="F1885" s="24" t="s">
        <v>35</v>
      </c>
      <c r="G1885" s="24" t="s">
        <v>112</v>
      </c>
      <c r="H1885" s="24" t="s">
        <v>86</v>
      </c>
      <c r="I1885" s="24" t="s">
        <v>9</v>
      </c>
      <c r="J1885" s="24" t="s">
        <v>24</v>
      </c>
      <c r="K1885" s="24" t="s">
        <v>24</v>
      </c>
      <c r="L1885" s="24" t="s">
        <v>69</v>
      </c>
    </row>
    <row r="1886">
      <c r="A1886" s="24">
        <f t="shared" si="1"/>
        <v>1884</v>
      </c>
      <c r="B1886" s="24" t="s">
        <v>805</v>
      </c>
      <c r="C1886" s="275">
        <v>43158.0</v>
      </c>
      <c r="D1886" s="24" t="str">
        <f t="shared" si="137"/>
        <v>Feb-2018</v>
      </c>
      <c r="E1886" s="24" t="s">
        <v>25</v>
      </c>
      <c r="F1886" s="24" t="s">
        <v>35</v>
      </c>
      <c r="G1886" s="24" t="s">
        <v>112</v>
      </c>
      <c r="H1886" s="24" t="s">
        <v>86</v>
      </c>
      <c r="I1886" s="24" t="s">
        <v>9</v>
      </c>
      <c r="J1886" s="24" t="s">
        <v>24</v>
      </c>
      <c r="K1886" s="24"/>
      <c r="L1886" s="24" t="s">
        <v>29</v>
      </c>
    </row>
    <row r="1887">
      <c r="A1887" s="24">
        <f t="shared" si="1"/>
        <v>1885</v>
      </c>
      <c r="B1887" s="24" t="s">
        <v>805</v>
      </c>
      <c r="C1887" s="275">
        <v>43158.0</v>
      </c>
      <c r="D1887" s="24" t="str">
        <f t="shared" si="137"/>
        <v>Feb-2018</v>
      </c>
      <c r="E1887" s="24" t="s">
        <v>20</v>
      </c>
      <c r="F1887" s="24" t="s">
        <v>35</v>
      </c>
      <c r="G1887" s="24" t="s">
        <v>808</v>
      </c>
      <c r="H1887" s="24" t="s">
        <v>23</v>
      </c>
      <c r="I1887" s="24" t="s">
        <v>9</v>
      </c>
      <c r="J1887" s="24" t="s">
        <v>30</v>
      </c>
      <c r="K1887" s="24" t="s">
        <v>30</v>
      </c>
      <c r="L1887" s="24" t="s">
        <v>37</v>
      </c>
    </row>
    <row r="1888">
      <c r="A1888" s="24">
        <f t="shared" si="1"/>
        <v>1886</v>
      </c>
      <c r="B1888" s="24" t="s">
        <v>805</v>
      </c>
      <c r="C1888" s="275">
        <v>43158.0</v>
      </c>
      <c r="D1888" s="24" t="str">
        <f t="shared" si="137"/>
        <v>Feb-2018</v>
      </c>
      <c r="E1888" s="24" t="s">
        <v>25</v>
      </c>
      <c r="F1888" s="24" t="s">
        <v>35</v>
      </c>
      <c r="G1888" s="24" t="s">
        <v>808</v>
      </c>
      <c r="H1888" s="24" t="s">
        <v>23</v>
      </c>
      <c r="I1888" s="24" t="s">
        <v>9</v>
      </c>
      <c r="J1888" s="24" t="s">
        <v>30</v>
      </c>
      <c r="K1888" s="24"/>
      <c r="L1888" s="24" t="s">
        <v>37</v>
      </c>
    </row>
    <row r="1889">
      <c r="A1889" s="24">
        <f t="shared" si="1"/>
        <v>1887</v>
      </c>
      <c r="B1889" s="24" t="s">
        <v>805</v>
      </c>
      <c r="C1889" s="275">
        <v>43158.0</v>
      </c>
      <c r="D1889" s="24" t="str">
        <f t="shared" si="137"/>
        <v>Feb-2018</v>
      </c>
      <c r="E1889" s="24" t="s">
        <v>20</v>
      </c>
      <c r="F1889" s="24" t="s">
        <v>35</v>
      </c>
      <c r="G1889" s="24">
        <v>248.0</v>
      </c>
      <c r="H1889" s="24" t="s">
        <v>27</v>
      </c>
      <c r="I1889" s="24" t="s">
        <v>9</v>
      </c>
      <c r="J1889" s="24" t="s">
        <v>30</v>
      </c>
      <c r="K1889" s="24" t="s">
        <v>30</v>
      </c>
      <c r="L1889" s="24" t="s">
        <v>69</v>
      </c>
    </row>
    <row r="1890">
      <c r="A1890" s="24">
        <f t="shared" si="1"/>
        <v>1888</v>
      </c>
      <c r="B1890" s="24" t="s">
        <v>805</v>
      </c>
      <c r="C1890" s="275">
        <v>43158.0</v>
      </c>
      <c r="D1890" s="24" t="str">
        <f t="shared" si="137"/>
        <v>Feb-2018</v>
      </c>
      <c r="E1890" s="24" t="s">
        <v>25</v>
      </c>
      <c r="F1890" s="24" t="s">
        <v>35</v>
      </c>
      <c r="G1890" s="24">
        <v>248.0</v>
      </c>
      <c r="H1890" s="24" t="s">
        <v>27</v>
      </c>
      <c r="I1890" s="24" t="s">
        <v>9</v>
      </c>
      <c r="J1890" s="24" t="s">
        <v>30</v>
      </c>
      <c r="K1890" s="24"/>
      <c r="L1890" s="24" t="s">
        <v>99</v>
      </c>
    </row>
    <row r="1891">
      <c r="A1891" s="24">
        <f t="shared" si="1"/>
        <v>1889</v>
      </c>
      <c r="B1891" s="24" t="s">
        <v>805</v>
      </c>
      <c r="C1891" s="275">
        <v>43158.0</v>
      </c>
      <c r="D1891" s="24" t="str">
        <f t="shared" ref="D1891:D1892" si="138">TEXT(C1883:C1891, "mmm") &amp; "-" &amp; TEXT(C1883:C1891, "yyyy") </f>
        <v>Feb-2018</v>
      </c>
      <c r="E1891" s="24" t="s">
        <v>20</v>
      </c>
      <c r="F1891" s="24" t="s">
        <v>35</v>
      </c>
      <c r="G1891" s="24" t="s">
        <v>231</v>
      </c>
      <c r="H1891" s="24" t="s">
        <v>86</v>
      </c>
      <c r="I1891" s="24" t="s">
        <v>9</v>
      </c>
      <c r="J1891" s="24" t="s">
        <v>24</v>
      </c>
      <c r="K1891" s="24" t="s">
        <v>24</v>
      </c>
      <c r="L1891" s="24" t="s">
        <v>69</v>
      </c>
    </row>
    <row r="1892">
      <c r="A1892" s="24">
        <f t="shared" si="1"/>
        <v>1890</v>
      </c>
      <c r="B1892" s="24" t="s">
        <v>805</v>
      </c>
      <c r="C1892" s="275">
        <v>43158.0</v>
      </c>
      <c r="D1892" s="24" t="str">
        <f t="shared" si="138"/>
        <v>Feb-2018</v>
      </c>
      <c r="E1892" s="24" t="s">
        <v>25</v>
      </c>
      <c r="F1892" s="24" t="s">
        <v>35</v>
      </c>
      <c r="G1892" s="24" t="s">
        <v>231</v>
      </c>
      <c r="H1892" s="24" t="s">
        <v>86</v>
      </c>
      <c r="I1892" s="24" t="s">
        <v>9</v>
      </c>
      <c r="J1892" s="24" t="s">
        <v>24</v>
      </c>
      <c r="K1892" s="24"/>
      <c r="L1892" s="24" t="s">
        <v>29</v>
      </c>
    </row>
    <row r="1893">
      <c r="A1893" s="24">
        <f t="shared" si="1"/>
        <v>1891</v>
      </c>
      <c r="B1893" s="24" t="s">
        <v>810</v>
      </c>
      <c r="C1893" s="275">
        <v>43162.0</v>
      </c>
      <c r="D1893" s="24" t="str">
        <f t="shared" ref="D1893:D1900" si="139">TEXT(C1886:C1893, "mmm") &amp; "-" &amp; TEXT(C1886:C1893, "yyyy") </f>
        <v>Mar-2018</v>
      </c>
      <c r="E1893" s="24" t="s">
        <v>20</v>
      </c>
      <c r="F1893" s="24" t="s">
        <v>287</v>
      </c>
      <c r="G1893" s="24" t="s">
        <v>811</v>
      </c>
      <c r="H1893" s="24" t="s">
        <v>9</v>
      </c>
      <c r="I1893" s="24" t="s">
        <v>9</v>
      </c>
      <c r="J1893" s="24" t="s">
        <v>24</v>
      </c>
      <c r="K1893" s="24" t="s">
        <v>24</v>
      </c>
      <c r="L1893" s="24" t="s">
        <v>69</v>
      </c>
    </row>
    <row r="1894">
      <c r="A1894" s="24">
        <f t="shared" si="1"/>
        <v>1892</v>
      </c>
      <c r="B1894" s="24" t="s">
        <v>810</v>
      </c>
      <c r="C1894" s="275">
        <v>43162.0</v>
      </c>
      <c r="D1894" s="24" t="str">
        <f t="shared" si="139"/>
        <v>Mar-2018</v>
      </c>
      <c r="E1894" s="24" t="s">
        <v>25</v>
      </c>
      <c r="F1894" s="24" t="s">
        <v>287</v>
      </c>
      <c r="G1894" s="24" t="s">
        <v>811</v>
      </c>
      <c r="H1894" s="24" t="s">
        <v>9</v>
      </c>
      <c r="I1894" s="24" t="s">
        <v>9</v>
      </c>
      <c r="J1894" s="24" t="s">
        <v>24</v>
      </c>
      <c r="K1894" s="24"/>
      <c r="L1894" s="24" t="s">
        <v>69</v>
      </c>
    </row>
    <row r="1895">
      <c r="A1895" s="24">
        <f t="shared" si="1"/>
        <v>1893</v>
      </c>
      <c r="B1895" s="24" t="s">
        <v>810</v>
      </c>
      <c r="C1895" s="275">
        <v>43162.0</v>
      </c>
      <c r="D1895" s="24" t="str">
        <f t="shared" si="139"/>
        <v>Mar-2018</v>
      </c>
      <c r="E1895" s="24" t="s">
        <v>20</v>
      </c>
      <c r="F1895" s="24" t="s">
        <v>287</v>
      </c>
      <c r="G1895" s="24" t="s">
        <v>495</v>
      </c>
      <c r="H1895" s="24" t="s">
        <v>23</v>
      </c>
      <c r="I1895" s="24" t="s">
        <v>9</v>
      </c>
      <c r="J1895" s="24" t="s">
        <v>30</v>
      </c>
      <c r="K1895" s="24" t="s">
        <v>30</v>
      </c>
      <c r="L1895" s="24" t="s">
        <v>37</v>
      </c>
    </row>
    <row r="1896">
      <c r="A1896" s="24">
        <f t="shared" si="1"/>
        <v>1894</v>
      </c>
      <c r="B1896" s="24" t="s">
        <v>810</v>
      </c>
      <c r="C1896" s="275">
        <v>43162.0</v>
      </c>
      <c r="D1896" s="24" t="str">
        <f t="shared" si="139"/>
        <v>Mar-2018</v>
      </c>
      <c r="E1896" s="24" t="s">
        <v>25</v>
      </c>
      <c r="F1896" s="24" t="s">
        <v>287</v>
      </c>
      <c r="G1896" s="24" t="s">
        <v>495</v>
      </c>
      <c r="H1896" s="24" t="s">
        <v>48</v>
      </c>
      <c r="I1896" s="24" t="s">
        <v>9</v>
      </c>
      <c r="J1896" s="24" t="s">
        <v>30</v>
      </c>
      <c r="K1896" s="24"/>
      <c r="L1896" s="24" t="s">
        <v>37</v>
      </c>
    </row>
    <row r="1897">
      <c r="A1897" s="24">
        <f t="shared" si="1"/>
        <v>1895</v>
      </c>
      <c r="B1897" s="24" t="s">
        <v>810</v>
      </c>
      <c r="C1897" s="275">
        <v>43162.0</v>
      </c>
      <c r="D1897" s="24" t="str">
        <f t="shared" si="139"/>
        <v>Mar-2018</v>
      </c>
      <c r="E1897" s="24" t="s">
        <v>20</v>
      </c>
      <c r="F1897" s="24" t="s">
        <v>287</v>
      </c>
      <c r="G1897" s="24" t="s">
        <v>813</v>
      </c>
      <c r="H1897" s="24" t="s">
        <v>102</v>
      </c>
      <c r="I1897" s="24" t="s">
        <v>9</v>
      </c>
      <c r="J1897" s="24" t="s">
        <v>30</v>
      </c>
      <c r="K1897" s="24" t="s">
        <v>30</v>
      </c>
      <c r="L1897" s="24" t="s">
        <v>98</v>
      </c>
    </row>
    <row r="1898">
      <c r="A1898" s="24">
        <f t="shared" si="1"/>
        <v>1896</v>
      </c>
      <c r="B1898" s="24" t="s">
        <v>810</v>
      </c>
      <c r="C1898" s="275">
        <v>43162.0</v>
      </c>
      <c r="D1898" s="24" t="str">
        <f t="shared" si="139"/>
        <v>Mar-2018</v>
      </c>
      <c r="E1898" s="24" t="s">
        <v>25</v>
      </c>
      <c r="F1898" s="24" t="s">
        <v>287</v>
      </c>
      <c r="G1898" s="24" t="s">
        <v>813</v>
      </c>
      <c r="H1898" s="24" t="s">
        <v>102</v>
      </c>
      <c r="I1898" s="24" t="s">
        <v>9</v>
      </c>
      <c r="J1898" s="24" t="s">
        <v>30</v>
      </c>
      <c r="K1898" s="24"/>
      <c r="L1898" s="24" t="s">
        <v>69</v>
      </c>
    </row>
    <row r="1899">
      <c r="A1899" s="24">
        <f t="shared" si="1"/>
        <v>1897</v>
      </c>
      <c r="B1899" s="24" t="s">
        <v>810</v>
      </c>
      <c r="C1899" s="275">
        <v>43162.0</v>
      </c>
      <c r="D1899" s="24" t="str">
        <f t="shared" si="139"/>
        <v>Mar-2018</v>
      </c>
      <c r="E1899" s="24" t="s">
        <v>20</v>
      </c>
      <c r="F1899" s="24" t="s">
        <v>287</v>
      </c>
      <c r="G1899" s="24" t="s">
        <v>100</v>
      </c>
      <c r="H1899" s="24" t="s">
        <v>9</v>
      </c>
      <c r="I1899" s="24" t="s">
        <v>9</v>
      </c>
      <c r="J1899" s="24" t="s">
        <v>24</v>
      </c>
      <c r="K1899" s="24" t="s">
        <v>24</v>
      </c>
      <c r="L1899" s="24" t="s">
        <v>69</v>
      </c>
    </row>
    <row r="1900">
      <c r="A1900" s="24">
        <f t="shared" si="1"/>
        <v>1898</v>
      </c>
      <c r="B1900" s="24" t="s">
        <v>810</v>
      </c>
      <c r="C1900" s="275">
        <v>43162.0</v>
      </c>
      <c r="D1900" s="24" t="str">
        <f t="shared" si="139"/>
        <v>Mar-2018</v>
      </c>
      <c r="E1900" s="24" t="s">
        <v>25</v>
      </c>
      <c r="F1900" s="24" t="s">
        <v>287</v>
      </c>
      <c r="G1900" s="24" t="s">
        <v>100</v>
      </c>
      <c r="H1900" s="24" t="s">
        <v>9</v>
      </c>
      <c r="I1900" s="24" t="s">
        <v>9</v>
      </c>
      <c r="J1900" s="24" t="s">
        <v>30</v>
      </c>
      <c r="K1900" s="24"/>
      <c r="L1900" s="24" t="s">
        <v>69</v>
      </c>
    </row>
    <row r="1901">
      <c r="A1901" s="24">
        <f t="shared" si="1"/>
        <v>1899</v>
      </c>
      <c r="B1901" s="24" t="s">
        <v>810</v>
      </c>
      <c r="C1901" s="275">
        <v>43162.0</v>
      </c>
      <c r="D1901" s="24" t="str">
        <f t="shared" ref="D1901:D1907" si="140">TEXT(C1893:C1901, "mmm") &amp; "-" &amp; TEXT(C1893:C1901, "yyyy") </f>
        <v>Mar-2018</v>
      </c>
      <c r="E1901" s="24" t="s">
        <v>32</v>
      </c>
      <c r="F1901" s="24" t="s">
        <v>287</v>
      </c>
      <c r="G1901" s="24" t="s">
        <v>100</v>
      </c>
      <c r="H1901" s="24" t="s">
        <v>9</v>
      </c>
      <c r="I1901" s="24" t="s">
        <v>9</v>
      </c>
      <c r="J1901" s="24" t="s">
        <v>30</v>
      </c>
      <c r="K1901" s="24"/>
      <c r="L1901" s="24" t="s">
        <v>99</v>
      </c>
    </row>
    <row r="1902">
      <c r="A1902" s="24">
        <f t="shared" si="1"/>
        <v>1900</v>
      </c>
      <c r="B1902" s="24" t="s">
        <v>810</v>
      </c>
      <c r="C1902" s="275">
        <v>43162.0</v>
      </c>
      <c r="D1902" s="24" t="str">
        <f t="shared" si="140"/>
        <v>Mar-2018</v>
      </c>
      <c r="E1902" s="24" t="s">
        <v>20</v>
      </c>
      <c r="F1902" s="24" t="s">
        <v>35</v>
      </c>
      <c r="G1902" s="24" t="s">
        <v>487</v>
      </c>
      <c r="H1902" s="24" t="s">
        <v>44</v>
      </c>
      <c r="I1902" s="24" t="s">
        <v>9</v>
      </c>
      <c r="J1902" s="24" t="s">
        <v>30</v>
      </c>
      <c r="K1902" s="24" t="s">
        <v>30</v>
      </c>
      <c r="L1902" s="24" t="s">
        <v>69</v>
      </c>
    </row>
    <row r="1903">
      <c r="A1903" s="24">
        <f t="shared" si="1"/>
        <v>1901</v>
      </c>
      <c r="B1903" s="24" t="s">
        <v>810</v>
      </c>
      <c r="C1903" s="275">
        <v>43162.0</v>
      </c>
      <c r="D1903" s="24" t="str">
        <f t="shared" si="140"/>
        <v>Mar-2018</v>
      </c>
      <c r="E1903" s="24" t="s">
        <v>25</v>
      </c>
      <c r="F1903" s="24" t="s">
        <v>35</v>
      </c>
      <c r="G1903" s="24" t="s">
        <v>487</v>
      </c>
      <c r="H1903" s="24" t="s">
        <v>44</v>
      </c>
      <c r="I1903" s="24" t="s">
        <v>9</v>
      </c>
      <c r="J1903" s="24" t="s">
        <v>30</v>
      </c>
      <c r="K1903" s="24"/>
      <c r="L1903" s="24" t="s">
        <v>98</v>
      </c>
    </row>
    <row r="1904">
      <c r="A1904" s="24">
        <f t="shared" si="1"/>
        <v>1902</v>
      </c>
      <c r="B1904" s="24" t="s">
        <v>810</v>
      </c>
      <c r="C1904" s="275">
        <v>43162.0</v>
      </c>
      <c r="D1904" s="24" t="str">
        <f t="shared" si="140"/>
        <v>Mar-2018</v>
      </c>
      <c r="E1904" s="24" t="s">
        <v>20</v>
      </c>
      <c r="F1904" s="24" t="s">
        <v>35</v>
      </c>
      <c r="G1904" s="24" t="s">
        <v>346</v>
      </c>
      <c r="H1904" s="24" t="s">
        <v>44</v>
      </c>
      <c r="I1904" s="24" t="s">
        <v>9</v>
      </c>
      <c r="J1904" s="24" t="s">
        <v>24</v>
      </c>
      <c r="K1904" s="24" t="s">
        <v>24</v>
      </c>
      <c r="L1904" s="24" t="s">
        <v>37</v>
      </c>
    </row>
    <row r="1905">
      <c r="A1905" s="24">
        <f t="shared" si="1"/>
        <v>1903</v>
      </c>
      <c r="B1905" s="24" t="s">
        <v>810</v>
      </c>
      <c r="C1905" s="275">
        <v>43162.0</v>
      </c>
      <c r="D1905" s="24" t="str">
        <f t="shared" si="140"/>
        <v>Mar-2018</v>
      </c>
      <c r="E1905" s="24" t="s">
        <v>25</v>
      </c>
      <c r="F1905" s="24" t="s">
        <v>35</v>
      </c>
      <c r="G1905" s="24" t="s">
        <v>346</v>
      </c>
      <c r="H1905" s="24" t="s">
        <v>44</v>
      </c>
      <c r="I1905" s="24" t="s">
        <v>9</v>
      </c>
      <c r="J1905" s="24" t="s">
        <v>24</v>
      </c>
      <c r="K1905" s="24"/>
      <c r="L1905" s="24" t="s">
        <v>69</v>
      </c>
    </row>
    <row r="1906">
      <c r="A1906" s="24">
        <f t="shared" si="1"/>
        <v>1904</v>
      </c>
      <c r="B1906" s="24" t="s">
        <v>810</v>
      </c>
      <c r="C1906" s="275">
        <v>43162.0</v>
      </c>
      <c r="D1906" s="24" t="str">
        <f t="shared" si="140"/>
        <v>Mar-2018</v>
      </c>
      <c r="E1906" s="24" t="s">
        <v>20</v>
      </c>
      <c r="F1906" s="24" t="s">
        <v>35</v>
      </c>
      <c r="G1906" s="24" t="s">
        <v>620</v>
      </c>
      <c r="H1906" s="24" t="s">
        <v>44</v>
      </c>
      <c r="I1906" s="24" t="s">
        <v>9</v>
      </c>
      <c r="J1906" s="24" t="s">
        <v>24</v>
      </c>
      <c r="K1906" s="24" t="s">
        <v>24</v>
      </c>
      <c r="L1906" s="24" t="s">
        <v>37</v>
      </c>
    </row>
    <row r="1907">
      <c r="A1907" s="24">
        <f t="shared" si="1"/>
        <v>1905</v>
      </c>
      <c r="B1907" s="24" t="s">
        <v>810</v>
      </c>
      <c r="C1907" s="275">
        <v>43162.0</v>
      </c>
      <c r="D1907" s="24" t="str">
        <f t="shared" si="140"/>
        <v>Mar-2018</v>
      </c>
      <c r="E1907" s="24" t="s">
        <v>25</v>
      </c>
      <c r="F1907" s="24" t="s">
        <v>35</v>
      </c>
      <c r="G1907" s="24" t="s">
        <v>620</v>
      </c>
      <c r="H1907" s="24" t="s">
        <v>44</v>
      </c>
      <c r="I1907" s="24" t="s">
        <v>9</v>
      </c>
      <c r="J1907" s="24" t="s">
        <v>24</v>
      </c>
      <c r="K1907" s="24"/>
      <c r="L1907" s="24" t="s">
        <v>106</v>
      </c>
    </row>
    <row r="1908">
      <c r="A1908" s="24">
        <f t="shared" si="1"/>
        <v>1906</v>
      </c>
      <c r="B1908" s="24" t="s">
        <v>817</v>
      </c>
      <c r="C1908" s="275">
        <v>43170.0</v>
      </c>
      <c r="D1908" s="24" t="str">
        <f t="shared" ref="D1908:D1923" si="141">TEXT(C1901:C1908, "mmm") &amp; "-" &amp; TEXT(C1901:C1908, "yyyy") </f>
        <v>Mar-2018</v>
      </c>
      <c r="E1908" s="24" t="s">
        <v>20</v>
      </c>
      <c r="F1908" s="24" t="s">
        <v>35</v>
      </c>
      <c r="G1908" s="24" t="s">
        <v>819</v>
      </c>
      <c r="H1908" s="24" t="s">
        <v>9</v>
      </c>
      <c r="I1908" s="24" t="s">
        <v>9</v>
      </c>
      <c r="J1908" s="24" t="s">
        <v>30</v>
      </c>
      <c r="K1908" s="24" t="s">
        <v>30</v>
      </c>
      <c r="L1908" s="24" t="s">
        <v>99</v>
      </c>
    </row>
    <row r="1909">
      <c r="A1909" s="24">
        <f t="shared" si="1"/>
        <v>1907</v>
      </c>
      <c r="B1909" s="24" t="s">
        <v>817</v>
      </c>
      <c r="C1909" s="275">
        <v>43170.0</v>
      </c>
      <c r="D1909" s="24" t="str">
        <f t="shared" si="141"/>
        <v>Mar-2018</v>
      </c>
      <c r="E1909" s="24" t="s">
        <v>25</v>
      </c>
      <c r="F1909" s="24" t="s">
        <v>35</v>
      </c>
      <c r="G1909" s="24" t="s">
        <v>819</v>
      </c>
      <c r="H1909" s="24" t="s">
        <v>9</v>
      </c>
      <c r="I1909" s="24" t="s">
        <v>9</v>
      </c>
      <c r="J1909" s="24" t="s">
        <v>30</v>
      </c>
      <c r="K1909" s="24"/>
      <c r="L1909" s="24" t="s">
        <v>98</v>
      </c>
    </row>
    <row r="1910">
      <c r="A1910" s="24">
        <f t="shared" si="1"/>
        <v>1908</v>
      </c>
      <c r="B1910" s="24" t="s">
        <v>817</v>
      </c>
      <c r="C1910" s="275">
        <v>43170.0</v>
      </c>
      <c r="D1910" s="24" t="str">
        <f t="shared" si="141"/>
        <v>Mar-2018</v>
      </c>
      <c r="E1910" s="24" t="s">
        <v>20</v>
      </c>
      <c r="F1910" s="24" t="s">
        <v>35</v>
      </c>
      <c r="G1910" s="24" t="s">
        <v>822</v>
      </c>
      <c r="H1910" s="24" t="s">
        <v>9</v>
      </c>
      <c r="I1910" s="24" t="s">
        <v>9</v>
      </c>
      <c r="J1910" s="24" t="s">
        <v>24</v>
      </c>
      <c r="K1910" s="24" t="s">
        <v>24</v>
      </c>
      <c r="L1910" s="24" t="s">
        <v>98</v>
      </c>
    </row>
    <row r="1911">
      <c r="A1911" s="24">
        <f t="shared" si="1"/>
        <v>1909</v>
      </c>
      <c r="B1911" s="24" t="s">
        <v>817</v>
      </c>
      <c r="C1911" s="275">
        <v>43170.0</v>
      </c>
      <c r="D1911" s="24" t="str">
        <f t="shared" si="141"/>
        <v>Mar-2018</v>
      </c>
      <c r="E1911" s="24" t="s">
        <v>25</v>
      </c>
      <c r="F1911" s="24" t="s">
        <v>35</v>
      </c>
      <c r="G1911" s="24" t="s">
        <v>822</v>
      </c>
      <c r="H1911" s="24" t="s">
        <v>9</v>
      </c>
      <c r="I1911" s="24" t="s">
        <v>9</v>
      </c>
      <c r="J1911" s="24" t="s">
        <v>24</v>
      </c>
      <c r="K1911" s="24"/>
      <c r="L1911" s="24" t="s">
        <v>69</v>
      </c>
    </row>
    <row r="1912">
      <c r="A1912" s="24">
        <f t="shared" si="1"/>
        <v>1910</v>
      </c>
      <c r="B1912" s="24" t="s">
        <v>817</v>
      </c>
      <c r="C1912" s="275">
        <v>43170.0</v>
      </c>
      <c r="D1912" s="24" t="str">
        <f t="shared" si="141"/>
        <v>Mar-2018</v>
      </c>
      <c r="E1912" s="24" t="s">
        <v>20</v>
      </c>
      <c r="F1912" s="24" t="s">
        <v>35</v>
      </c>
      <c r="G1912" s="24" t="s">
        <v>823</v>
      </c>
      <c r="H1912" s="24" t="s">
        <v>97</v>
      </c>
      <c r="I1912" s="24" t="s">
        <v>9</v>
      </c>
      <c r="J1912" s="24" t="s">
        <v>30</v>
      </c>
      <c r="K1912" s="24" t="s">
        <v>30</v>
      </c>
      <c r="L1912" s="24" t="s">
        <v>98</v>
      </c>
    </row>
    <row r="1913">
      <c r="A1913" s="24">
        <f t="shared" si="1"/>
        <v>1911</v>
      </c>
      <c r="B1913" s="24" t="s">
        <v>817</v>
      </c>
      <c r="C1913" s="275">
        <v>43170.0</v>
      </c>
      <c r="D1913" s="24" t="str">
        <f t="shared" si="141"/>
        <v>Mar-2018</v>
      </c>
      <c r="E1913" s="24" t="s">
        <v>25</v>
      </c>
      <c r="F1913" s="24" t="s">
        <v>35</v>
      </c>
      <c r="G1913" s="24" t="s">
        <v>823</v>
      </c>
      <c r="H1913" s="24" t="s">
        <v>97</v>
      </c>
      <c r="I1913" s="24" t="s">
        <v>9</v>
      </c>
      <c r="J1913" s="24" t="s">
        <v>30</v>
      </c>
      <c r="K1913" s="24"/>
      <c r="L1913" s="24" t="s">
        <v>99</v>
      </c>
    </row>
    <row r="1914">
      <c r="A1914" s="24">
        <f t="shared" si="1"/>
        <v>1912</v>
      </c>
      <c r="B1914" s="24" t="s">
        <v>817</v>
      </c>
      <c r="C1914" s="275">
        <v>43170.0</v>
      </c>
      <c r="D1914" s="24" t="str">
        <f t="shared" si="141"/>
        <v>Mar-2018</v>
      </c>
      <c r="E1914" s="24" t="s">
        <v>20</v>
      </c>
      <c r="F1914" s="24" t="s">
        <v>35</v>
      </c>
      <c r="G1914" s="24" t="s">
        <v>825</v>
      </c>
      <c r="H1914" s="24" t="s">
        <v>97</v>
      </c>
      <c r="I1914" s="24" t="s">
        <v>9</v>
      </c>
      <c r="J1914" s="24" t="s">
        <v>24</v>
      </c>
      <c r="K1914" s="24" t="s">
        <v>24</v>
      </c>
      <c r="L1914" s="24" t="s">
        <v>98</v>
      </c>
    </row>
    <row r="1915">
      <c r="A1915" s="24">
        <f t="shared" si="1"/>
        <v>1913</v>
      </c>
      <c r="B1915" s="24" t="s">
        <v>817</v>
      </c>
      <c r="C1915" s="275">
        <v>43170.0</v>
      </c>
      <c r="D1915" s="24" t="str">
        <f t="shared" si="141"/>
        <v>Mar-2018</v>
      </c>
      <c r="E1915" s="24" t="s">
        <v>25</v>
      </c>
      <c r="F1915" s="24" t="s">
        <v>35</v>
      </c>
      <c r="G1915" s="24" t="s">
        <v>825</v>
      </c>
      <c r="H1915" s="24" t="s">
        <v>97</v>
      </c>
      <c r="I1915" s="24" t="s">
        <v>9</v>
      </c>
      <c r="J1915" s="24" t="s">
        <v>24</v>
      </c>
      <c r="K1915" s="24"/>
      <c r="L1915" s="24" t="s">
        <v>69</v>
      </c>
    </row>
    <row r="1916">
      <c r="A1916" s="24">
        <f t="shared" si="1"/>
        <v>1914</v>
      </c>
      <c r="B1916" s="24" t="s">
        <v>826</v>
      </c>
      <c r="C1916" s="275">
        <v>43175.0</v>
      </c>
      <c r="D1916" s="24" t="str">
        <f t="shared" si="141"/>
        <v>Mar-2018</v>
      </c>
      <c r="E1916" s="24" t="s">
        <v>20</v>
      </c>
      <c r="F1916" s="24" t="s">
        <v>35</v>
      </c>
      <c r="G1916" s="24" t="s">
        <v>828</v>
      </c>
      <c r="H1916" s="24" t="s">
        <v>9</v>
      </c>
      <c r="I1916" s="24" t="s">
        <v>9</v>
      </c>
      <c r="J1916" s="24" t="s">
        <v>30</v>
      </c>
      <c r="K1916" s="24" t="s">
        <v>30</v>
      </c>
      <c r="L1916" s="24" t="s">
        <v>69</v>
      </c>
    </row>
    <row r="1917">
      <c r="A1917" s="24">
        <f t="shared" si="1"/>
        <v>1915</v>
      </c>
      <c r="B1917" s="24" t="s">
        <v>826</v>
      </c>
      <c r="C1917" s="275">
        <v>43175.0</v>
      </c>
      <c r="D1917" s="24" t="str">
        <f t="shared" si="141"/>
        <v>Mar-2018</v>
      </c>
      <c r="E1917" s="24" t="s">
        <v>25</v>
      </c>
      <c r="F1917" s="24" t="s">
        <v>35</v>
      </c>
      <c r="G1917" s="24" t="s">
        <v>828</v>
      </c>
      <c r="H1917" s="24" t="s">
        <v>9</v>
      </c>
      <c r="I1917" s="24" t="s">
        <v>9</v>
      </c>
      <c r="J1917" s="24" t="s">
        <v>30</v>
      </c>
      <c r="K1917" s="24"/>
      <c r="L1917" s="24" t="s">
        <v>69</v>
      </c>
    </row>
    <row r="1918">
      <c r="A1918" s="24">
        <f t="shared" si="1"/>
        <v>1916</v>
      </c>
      <c r="B1918" s="24" t="s">
        <v>826</v>
      </c>
      <c r="C1918" s="275">
        <v>43175.0</v>
      </c>
      <c r="D1918" s="24" t="str">
        <f t="shared" si="141"/>
        <v>Mar-2018</v>
      </c>
      <c r="E1918" s="24" t="s">
        <v>20</v>
      </c>
      <c r="F1918" s="24" t="s">
        <v>35</v>
      </c>
      <c r="G1918" s="24" t="s">
        <v>219</v>
      </c>
      <c r="H1918" s="24" t="s">
        <v>97</v>
      </c>
      <c r="I1918" s="24" t="s">
        <v>9</v>
      </c>
      <c r="J1918" s="24" t="s">
        <v>24</v>
      </c>
      <c r="K1918" s="24" t="s">
        <v>30</v>
      </c>
      <c r="L1918" s="24" t="s">
        <v>98</v>
      </c>
    </row>
    <row r="1919">
      <c r="A1919" s="24">
        <f t="shared" si="1"/>
        <v>1917</v>
      </c>
      <c r="B1919" s="24" t="s">
        <v>826</v>
      </c>
      <c r="C1919" s="275">
        <v>43175.0</v>
      </c>
      <c r="D1919" s="24" t="str">
        <f t="shared" si="141"/>
        <v>Mar-2018</v>
      </c>
      <c r="E1919" s="24" t="s">
        <v>25</v>
      </c>
      <c r="F1919" s="24" t="s">
        <v>35</v>
      </c>
      <c r="G1919" s="24" t="s">
        <v>219</v>
      </c>
      <c r="H1919" s="24" t="s">
        <v>97</v>
      </c>
      <c r="I1919" s="24" t="s">
        <v>9</v>
      </c>
      <c r="J1919" s="24" t="s">
        <v>30</v>
      </c>
      <c r="K1919" s="24"/>
      <c r="L1919" s="24" t="s">
        <v>106</v>
      </c>
    </row>
    <row r="1920">
      <c r="A1920" s="24">
        <f t="shared" si="1"/>
        <v>1918</v>
      </c>
      <c r="B1920" s="24" t="s">
        <v>826</v>
      </c>
      <c r="C1920" s="275">
        <v>43175.0</v>
      </c>
      <c r="D1920" s="24" t="str">
        <f t="shared" si="141"/>
        <v>Mar-2018</v>
      </c>
      <c r="E1920" s="24" t="s">
        <v>32</v>
      </c>
      <c r="F1920" s="24" t="s">
        <v>35</v>
      </c>
      <c r="G1920" s="24" t="s">
        <v>219</v>
      </c>
      <c r="H1920" s="24" t="s">
        <v>97</v>
      </c>
      <c r="I1920" s="24" t="s">
        <v>9</v>
      </c>
      <c r="J1920" s="24" t="s">
        <v>30</v>
      </c>
      <c r="K1920" s="24"/>
      <c r="L1920" s="24" t="s">
        <v>37</v>
      </c>
    </row>
    <row r="1921">
      <c r="A1921" s="24">
        <f t="shared" si="1"/>
        <v>1919</v>
      </c>
      <c r="B1921" s="24" t="s">
        <v>826</v>
      </c>
      <c r="C1921" s="275">
        <v>43175.0</v>
      </c>
      <c r="D1921" s="24" t="str">
        <f t="shared" si="141"/>
        <v>Mar-2018</v>
      </c>
      <c r="E1921" t="s">
        <v>146</v>
      </c>
      <c r="F1921" s="24" t="s">
        <v>35</v>
      </c>
      <c r="G1921" s="24" t="s">
        <v>47</v>
      </c>
      <c r="H1921" s="24" t="s">
        <v>48</v>
      </c>
      <c r="I1921" s="24" t="s">
        <v>9</v>
      </c>
      <c r="J1921" s="24" t="s">
        <v>24</v>
      </c>
      <c r="K1921" s="24" t="s">
        <v>24</v>
      </c>
      <c r="L1921" s="24" t="s">
        <v>99</v>
      </c>
    </row>
    <row r="1922">
      <c r="A1922" s="24">
        <f t="shared" si="1"/>
        <v>1920</v>
      </c>
      <c r="B1922" s="24" t="s">
        <v>826</v>
      </c>
      <c r="C1922" s="275">
        <v>43175.0</v>
      </c>
      <c r="D1922" s="24" t="str">
        <f t="shared" si="141"/>
        <v>Mar-2018</v>
      </c>
      <c r="E1922" t="s">
        <v>149</v>
      </c>
      <c r="F1922" s="24" t="s">
        <v>35</v>
      </c>
      <c r="G1922" s="24" t="s">
        <v>47</v>
      </c>
      <c r="H1922" s="24" t="s">
        <v>48</v>
      </c>
      <c r="I1922" s="24" t="s">
        <v>9</v>
      </c>
      <c r="J1922" s="24" t="s">
        <v>30</v>
      </c>
      <c r="K1922" s="24"/>
      <c r="L1922" s="24" t="s">
        <v>69</v>
      </c>
    </row>
    <row r="1923">
      <c r="A1923" s="24">
        <f t="shared" si="1"/>
        <v>1921</v>
      </c>
      <c r="B1923" s="24" t="s">
        <v>826</v>
      </c>
      <c r="C1923" s="275">
        <v>43175.0</v>
      </c>
      <c r="D1923" s="24" t="str">
        <f t="shared" si="141"/>
        <v>Mar-2018</v>
      </c>
      <c r="E1923" t="s">
        <v>222</v>
      </c>
      <c r="F1923" s="24" t="s">
        <v>35</v>
      </c>
      <c r="G1923" s="24" t="s">
        <v>47</v>
      </c>
      <c r="H1923" s="24" t="s">
        <v>48</v>
      </c>
      <c r="I1923" s="24" t="s">
        <v>9</v>
      </c>
      <c r="J1923" s="24" t="s">
        <v>24</v>
      </c>
      <c r="K1923" s="24"/>
      <c r="L1923" s="24" t="s">
        <v>37</v>
      </c>
    </row>
    <row r="1924">
      <c r="A1924" s="24">
        <f t="shared" si="1"/>
        <v>1922</v>
      </c>
      <c r="B1924" s="24" t="s">
        <v>826</v>
      </c>
      <c r="C1924" s="275">
        <v>43175.0</v>
      </c>
      <c r="D1924" s="24" t="str">
        <f t="shared" ref="D1924:D1931" si="142">TEXT(C1916:C1924, "mmm") &amp; "-" &amp; TEXT(C1916:C1924, "yyyy") </f>
        <v>Mar-2018</v>
      </c>
      <c r="E1924" t="s">
        <v>467</v>
      </c>
      <c r="F1924" s="24" t="s">
        <v>35</v>
      </c>
      <c r="G1924" s="24" t="s">
        <v>47</v>
      </c>
      <c r="H1924" s="24" t="s">
        <v>48</v>
      </c>
      <c r="I1924" s="24" t="s">
        <v>9</v>
      </c>
      <c r="J1924" s="24" t="s">
        <v>24</v>
      </c>
      <c r="K1924" s="24"/>
      <c r="L1924" s="24" t="s">
        <v>106</v>
      </c>
    </row>
    <row r="1925">
      <c r="A1925" s="24">
        <f t="shared" si="1"/>
        <v>1923</v>
      </c>
      <c r="B1925" s="24" t="s">
        <v>826</v>
      </c>
      <c r="C1925" s="275">
        <v>43175.0</v>
      </c>
      <c r="D1925" s="24" t="str">
        <f t="shared" si="142"/>
        <v>Mar-2018</v>
      </c>
      <c r="E1925" t="s">
        <v>146</v>
      </c>
      <c r="F1925" s="24" t="s">
        <v>35</v>
      </c>
      <c r="G1925" s="24" t="s">
        <v>442</v>
      </c>
      <c r="H1925" s="24" t="s">
        <v>27</v>
      </c>
      <c r="I1925" s="24" t="s">
        <v>9</v>
      </c>
      <c r="J1925" s="24" t="s">
        <v>24</v>
      </c>
      <c r="K1925" s="24" t="s">
        <v>30</v>
      </c>
      <c r="L1925" s="24" t="s">
        <v>69</v>
      </c>
    </row>
    <row r="1926">
      <c r="A1926" s="24">
        <f t="shared" si="1"/>
        <v>1924</v>
      </c>
      <c r="B1926" s="24" t="s">
        <v>826</v>
      </c>
      <c r="C1926" s="275">
        <v>43175.0</v>
      </c>
      <c r="D1926" s="24" t="str">
        <f t="shared" si="142"/>
        <v>Mar-2018</v>
      </c>
      <c r="E1926" t="s">
        <v>149</v>
      </c>
      <c r="F1926" s="24" t="s">
        <v>35</v>
      </c>
      <c r="G1926" s="24" t="s">
        <v>442</v>
      </c>
      <c r="H1926" s="24" t="s">
        <v>27</v>
      </c>
      <c r="I1926" s="24" t="s">
        <v>9</v>
      </c>
      <c r="J1926" s="24" t="s">
        <v>30</v>
      </c>
      <c r="K1926" s="24"/>
      <c r="L1926" s="24" t="s">
        <v>98</v>
      </c>
    </row>
    <row r="1927">
      <c r="A1927" s="24">
        <f t="shared" si="1"/>
        <v>1925</v>
      </c>
      <c r="B1927" s="24" t="s">
        <v>826</v>
      </c>
      <c r="C1927" s="275">
        <v>43175.0</v>
      </c>
      <c r="D1927" s="24" t="str">
        <f t="shared" si="142"/>
        <v>Mar-2018</v>
      </c>
      <c r="E1927" t="s">
        <v>222</v>
      </c>
      <c r="F1927" s="24" t="s">
        <v>35</v>
      </c>
      <c r="G1927" s="24" t="s">
        <v>442</v>
      </c>
      <c r="H1927" s="24" t="s">
        <v>27</v>
      </c>
      <c r="I1927" s="24" t="s">
        <v>9</v>
      </c>
      <c r="J1927" s="24" t="s">
        <v>30</v>
      </c>
      <c r="K1927" s="24"/>
      <c r="L1927" s="24" t="s">
        <v>29</v>
      </c>
    </row>
    <row r="1928">
      <c r="A1928" s="24">
        <f t="shared" si="1"/>
        <v>1926</v>
      </c>
      <c r="B1928" s="24" t="s">
        <v>826</v>
      </c>
      <c r="C1928" s="275">
        <v>43175.0</v>
      </c>
      <c r="D1928" s="24" t="str">
        <f t="shared" si="142"/>
        <v>Mar-2018</v>
      </c>
      <c r="E1928" t="s">
        <v>467</v>
      </c>
      <c r="F1928" s="24" t="s">
        <v>35</v>
      </c>
      <c r="G1928" s="24" t="s">
        <v>442</v>
      </c>
      <c r="H1928" s="24" t="s">
        <v>27</v>
      </c>
      <c r="I1928" s="24" t="s">
        <v>9</v>
      </c>
      <c r="J1928" s="24" t="s">
        <v>30</v>
      </c>
      <c r="K1928" s="24"/>
      <c r="L1928" s="24" t="s">
        <v>37</v>
      </c>
    </row>
    <row r="1929">
      <c r="A1929" s="24">
        <f t="shared" si="1"/>
        <v>1927</v>
      </c>
      <c r="B1929" s="24" t="s">
        <v>826</v>
      </c>
      <c r="C1929" s="275">
        <v>43175.0</v>
      </c>
      <c r="D1929" s="24" t="str">
        <f t="shared" si="142"/>
        <v>Mar-2018</v>
      </c>
      <c r="E1929" t="s">
        <v>146</v>
      </c>
      <c r="F1929" s="24" t="s">
        <v>35</v>
      </c>
      <c r="G1929" s="24" t="s">
        <v>364</v>
      </c>
      <c r="H1929" s="24" t="s">
        <v>86</v>
      </c>
      <c r="I1929" s="24" t="s">
        <v>9</v>
      </c>
      <c r="J1929" s="24" t="s">
        <v>24</v>
      </c>
      <c r="K1929" s="24" t="s">
        <v>24</v>
      </c>
      <c r="L1929" s="24" t="s">
        <v>69</v>
      </c>
    </row>
    <row r="1930">
      <c r="A1930" s="24">
        <f t="shared" si="1"/>
        <v>1928</v>
      </c>
      <c r="B1930" s="24" t="s">
        <v>826</v>
      </c>
      <c r="C1930" s="275">
        <v>43175.0</v>
      </c>
      <c r="D1930" s="24" t="str">
        <f t="shared" si="142"/>
        <v>Mar-2018</v>
      </c>
      <c r="E1930" t="s">
        <v>149</v>
      </c>
      <c r="F1930" s="24" t="s">
        <v>35</v>
      </c>
      <c r="G1930" s="24" t="s">
        <v>364</v>
      </c>
      <c r="H1930" s="24" t="s">
        <v>86</v>
      </c>
      <c r="I1930" s="24" t="s">
        <v>9</v>
      </c>
      <c r="J1930" s="24" t="s">
        <v>24</v>
      </c>
      <c r="K1930" s="24"/>
      <c r="L1930" s="24" t="s">
        <v>29</v>
      </c>
    </row>
    <row r="1931">
      <c r="A1931" s="24">
        <f t="shared" si="1"/>
        <v>1929</v>
      </c>
      <c r="B1931" s="24" t="s">
        <v>826</v>
      </c>
      <c r="C1931" s="275">
        <v>43175.0</v>
      </c>
      <c r="D1931" s="24" t="str">
        <f t="shared" si="142"/>
        <v>Mar-2018</v>
      </c>
      <c r="E1931" t="s">
        <v>222</v>
      </c>
      <c r="F1931" s="24" t="s">
        <v>35</v>
      </c>
      <c r="G1931" s="24" t="s">
        <v>364</v>
      </c>
      <c r="H1931" s="24" t="s">
        <v>86</v>
      </c>
      <c r="I1931" s="24" t="s">
        <v>9</v>
      </c>
      <c r="J1931" s="24" t="s">
        <v>24</v>
      </c>
      <c r="K1931" s="24"/>
      <c r="L1931" s="24" t="s">
        <v>29</v>
      </c>
    </row>
    <row r="1932">
      <c r="A1932" s="24">
        <f t="shared" si="1"/>
        <v>1930</v>
      </c>
      <c r="B1932" s="24" t="s">
        <v>831</v>
      </c>
      <c r="C1932" s="275">
        <v>43176.0</v>
      </c>
      <c r="D1932" s="24" t="str">
        <f t="shared" ref="D1932:D1939" si="143">TEXT(C1925:C1932, "mmm") &amp; "-" &amp; TEXT(C1925:C1932, "yyyy") </f>
        <v>Mar-2018</v>
      </c>
      <c r="E1932" s="24" t="s">
        <v>20</v>
      </c>
      <c r="F1932" s="24" t="s">
        <v>287</v>
      </c>
      <c r="G1932" s="24" t="s">
        <v>832</v>
      </c>
      <c r="H1932" s="24" t="s">
        <v>139</v>
      </c>
      <c r="I1932" s="24" t="s">
        <v>9</v>
      </c>
      <c r="J1932" s="24" t="s">
        <v>30</v>
      </c>
      <c r="K1932" s="24" t="s">
        <v>30</v>
      </c>
      <c r="L1932" s="24" t="s">
        <v>98</v>
      </c>
    </row>
    <row r="1933">
      <c r="A1933" s="24">
        <f t="shared" si="1"/>
        <v>1931</v>
      </c>
      <c r="B1933" s="24" t="s">
        <v>831</v>
      </c>
      <c r="C1933" s="275">
        <v>43176.0</v>
      </c>
      <c r="D1933" s="24" t="str">
        <f t="shared" si="143"/>
        <v>Mar-2018</v>
      </c>
      <c r="E1933" s="24" t="s">
        <v>25</v>
      </c>
      <c r="F1933" s="24" t="s">
        <v>287</v>
      </c>
      <c r="G1933" s="24" t="s">
        <v>832</v>
      </c>
      <c r="H1933" s="24" t="s">
        <v>139</v>
      </c>
      <c r="I1933" s="24" t="s">
        <v>9</v>
      </c>
      <c r="J1933" s="24" t="s">
        <v>30</v>
      </c>
      <c r="K1933" s="24"/>
      <c r="L1933" s="24" t="s">
        <v>99</v>
      </c>
    </row>
    <row r="1934">
      <c r="A1934" s="24">
        <f t="shared" si="1"/>
        <v>1932</v>
      </c>
      <c r="B1934" s="24" t="s">
        <v>831</v>
      </c>
      <c r="C1934" s="275">
        <v>43176.0</v>
      </c>
      <c r="D1934" s="24" t="str">
        <f t="shared" si="143"/>
        <v>Mar-2018</v>
      </c>
      <c r="E1934" s="24" t="s">
        <v>20</v>
      </c>
      <c r="F1934" s="24" t="s">
        <v>287</v>
      </c>
      <c r="G1934" s="24" t="s">
        <v>239</v>
      </c>
      <c r="H1934" s="24" t="s">
        <v>27</v>
      </c>
      <c r="I1934" s="24" t="s">
        <v>9</v>
      </c>
      <c r="J1934" s="24" t="s">
        <v>24</v>
      </c>
      <c r="K1934" s="24" t="s">
        <v>24</v>
      </c>
      <c r="L1934" s="24" t="s">
        <v>69</v>
      </c>
    </row>
    <row r="1935">
      <c r="A1935" s="24">
        <f t="shared" si="1"/>
        <v>1933</v>
      </c>
      <c r="B1935" s="24" t="s">
        <v>831</v>
      </c>
      <c r="C1935" s="275">
        <v>43176.0</v>
      </c>
      <c r="D1935" s="24" t="str">
        <f t="shared" si="143"/>
        <v>Mar-2018</v>
      </c>
      <c r="E1935" s="24" t="s">
        <v>25</v>
      </c>
      <c r="F1935" s="24" t="s">
        <v>287</v>
      </c>
      <c r="G1935" s="24" t="s">
        <v>239</v>
      </c>
      <c r="H1935" s="24" t="s">
        <v>27</v>
      </c>
      <c r="I1935" s="24" t="s">
        <v>9</v>
      </c>
      <c r="J1935" s="24" t="s">
        <v>24</v>
      </c>
      <c r="K1935" s="24"/>
      <c r="L1935" s="24" t="s">
        <v>98</v>
      </c>
    </row>
    <row r="1936">
      <c r="A1936" s="24">
        <f t="shared" si="1"/>
        <v>1934</v>
      </c>
      <c r="B1936" s="24" t="s">
        <v>831</v>
      </c>
      <c r="C1936" s="275">
        <v>43176.0</v>
      </c>
      <c r="D1936" s="24" t="str">
        <f t="shared" si="143"/>
        <v>Mar-2018</v>
      </c>
      <c r="E1936" s="24" t="s">
        <v>20</v>
      </c>
      <c r="F1936" s="24" t="s">
        <v>287</v>
      </c>
      <c r="G1936" s="24" t="s">
        <v>238</v>
      </c>
      <c r="H1936" s="24" t="s">
        <v>216</v>
      </c>
      <c r="I1936" s="24" t="s">
        <v>9</v>
      </c>
      <c r="J1936" s="24" t="s">
        <v>24</v>
      </c>
      <c r="K1936" s="24" t="s">
        <v>24</v>
      </c>
      <c r="L1936" s="24" t="s">
        <v>98</v>
      </c>
    </row>
    <row r="1937">
      <c r="A1937" s="24">
        <f t="shared" si="1"/>
        <v>1935</v>
      </c>
      <c r="B1937" s="24" t="s">
        <v>831</v>
      </c>
      <c r="C1937" s="275">
        <v>43176.0</v>
      </c>
      <c r="D1937" s="24" t="str">
        <f t="shared" si="143"/>
        <v>Mar-2018</v>
      </c>
      <c r="E1937" s="24" t="s">
        <v>25</v>
      </c>
      <c r="F1937" s="24" t="s">
        <v>287</v>
      </c>
      <c r="G1937" s="24" t="s">
        <v>238</v>
      </c>
      <c r="H1937" s="24" t="s">
        <v>216</v>
      </c>
      <c r="I1937" s="24" t="s">
        <v>9</v>
      </c>
      <c r="J1937" s="24" t="s">
        <v>30</v>
      </c>
      <c r="K1937" s="24"/>
      <c r="L1937" s="24" t="s">
        <v>106</v>
      </c>
    </row>
    <row r="1938">
      <c r="A1938" s="24">
        <f t="shared" si="1"/>
        <v>1936</v>
      </c>
      <c r="B1938" s="24" t="s">
        <v>831</v>
      </c>
      <c r="C1938" s="275">
        <v>43176.0</v>
      </c>
      <c r="D1938" s="24" t="str">
        <f t="shared" si="143"/>
        <v>Mar-2018</v>
      </c>
      <c r="E1938" s="24" t="s">
        <v>32</v>
      </c>
      <c r="F1938" s="24" t="s">
        <v>287</v>
      </c>
      <c r="G1938" s="24" t="s">
        <v>238</v>
      </c>
      <c r="H1938" s="24" t="s">
        <v>216</v>
      </c>
      <c r="I1938" s="24" t="s">
        <v>9</v>
      </c>
      <c r="J1938" s="24" t="s">
        <v>24</v>
      </c>
      <c r="K1938" s="24"/>
      <c r="L1938" s="24" t="s">
        <v>99</v>
      </c>
    </row>
    <row r="1939">
      <c r="A1939" s="24">
        <f t="shared" si="1"/>
        <v>1937</v>
      </c>
      <c r="B1939" s="24" t="s">
        <v>831</v>
      </c>
      <c r="C1939" s="275">
        <v>43176.0</v>
      </c>
      <c r="D1939" s="24" t="str">
        <f t="shared" si="143"/>
        <v>Mar-2018</v>
      </c>
      <c r="E1939" s="24" t="s">
        <v>20</v>
      </c>
      <c r="F1939" s="24" t="s">
        <v>35</v>
      </c>
      <c r="G1939" s="24" t="s">
        <v>834</v>
      </c>
      <c r="H1939" s="24" t="s">
        <v>27</v>
      </c>
      <c r="I1939" s="24" t="s">
        <v>9</v>
      </c>
      <c r="J1939" s="24" t="s">
        <v>30</v>
      </c>
      <c r="K1939" s="24" t="s">
        <v>24</v>
      </c>
      <c r="L1939" s="24" t="s">
        <v>69</v>
      </c>
    </row>
    <row r="1940">
      <c r="A1940" s="24">
        <f t="shared" si="1"/>
        <v>1938</v>
      </c>
      <c r="B1940" s="24" t="s">
        <v>831</v>
      </c>
      <c r="C1940" s="275">
        <v>43176.0</v>
      </c>
      <c r="D1940" s="24" t="str">
        <f t="shared" ref="D1940:D1941" si="144">TEXT(C1932:C1940, "mmm") &amp; "-" &amp; TEXT(C1932:C1940, "yyyy") </f>
        <v>Mar-2018</v>
      </c>
      <c r="E1940" s="24" t="s">
        <v>25</v>
      </c>
      <c r="F1940" s="24" t="s">
        <v>35</v>
      </c>
      <c r="G1940" s="24" t="s">
        <v>834</v>
      </c>
      <c r="H1940" s="24" t="s">
        <v>27</v>
      </c>
      <c r="I1940" s="24" t="s">
        <v>9</v>
      </c>
      <c r="J1940" s="24" t="s">
        <v>24</v>
      </c>
      <c r="K1940" s="24"/>
      <c r="L1940" s="24" t="s">
        <v>99</v>
      </c>
    </row>
    <row r="1941">
      <c r="A1941" s="24">
        <f t="shared" si="1"/>
        <v>1939</v>
      </c>
      <c r="B1941" s="24" t="s">
        <v>831</v>
      </c>
      <c r="C1941" s="275">
        <v>43176.0</v>
      </c>
      <c r="D1941" s="24" t="str">
        <f t="shared" si="144"/>
        <v>Mar-2018</v>
      </c>
      <c r="E1941" s="24" t="s">
        <v>32</v>
      </c>
      <c r="F1941" s="24" t="s">
        <v>35</v>
      </c>
      <c r="G1941" s="24" t="s">
        <v>834</v>
      </c>
      <c r="H1941" s="24" t="s">
        <v>27</v>
      </c>
      <c r="I1941" s="24" t="s">
        <v>9</v>
      </c>
      <c r="J1941" s="24" t="s">
        <v>24</v>
      </c>
      <c r="K1941" s="24"/>
      <c r="L1941" s="24" t="s">
        <v>106</v>
      </c>
    </row>
    <row r="1942">
      <c r="A1942" s="24">
        <f t="shared" si="1"/>
        <v>1940</v>
      </c>
      <c r="B1942" s="24" t="s">
        <v>835</v>
      </c>
      <c r="C1942" s="340">
        <v>43179.0</v>
      </c>
      <c r="D1942" s="24" t="str">
        <f t="shared" ref="D1942:D1949" si="145">TEXT(C1935:C1942, "mmm") &amp; "-" &amp; TEXT(C1935:C1942, "yyyy") </f>
        <v>Mar-2018</v>
      </c>
      <c r="E1942" s="24" t="s">
        <v>20</v>
      </c>
      <c r="F1942" s="24" t="s">
        <v>35</v>
      </c>
      <c r="G1942" s="24" t="s">
        <v>836</v>
      </c>
      <c r="H1942" s="24" t="s">
        <v>216</v>
      </c>
      <c r="I1942" s="24" t="s">
        <v>9</v>
      </c>
      <c r="J1942" s="24" t="s">
        <v>30</v>
      </c>
      <c r="K1942" s="24" t="s">
        <v>30</v>
      </c>
      <c r="L1942" s="24" t="s">
        <v>99</v>
      </c>
    </row>
    <row r="1943">
      <c r="A1943" s="24">
        <f t="shared" si="1"/>
        <v>1941</v>
      </c>
      <c r="B1943" s="24" t="s">
        <v>835</v>
      </c>
      <c r="C1943" s="340">
        <v>43179.0</v>
      </c>
      <c r="D1943" s="24" t="str">
        <f t="shared" si="145"/>
        <v>Mar-2018</v>
      </c>
      <c r="E1943" s="24" t="s">
        <v>25</v>
      </c>
      <c r="F1943" s="24" t="s">
        <v>35</v>
      </c>
      <c r="G1943" s="24" t="s">
        <v>836</v>
      </c>
      <c r="H1943" s="24" t="s">
        <v>216</v>
      </c>
      <c r="I1943" s="24" t="s">
        <v>9</v>
      </c>
      <c r="J1943" s="24" t="s">
        <v>30</v>
      </c>
      <c r="K1943" s="24"/>
      <c r="L1943" s="24" t="s">
        <v>106</v>
      </c>
    </row>
    <row r="1944">
      <c r="A1944" s="24">
        <f t="shared" si="1"/>
        <v>1942</v>
      </c>
      <c r="B1944" s="24" t="s">
        <v>835</v>
      </c>
      <c r="C1944" s="340">
        <v>43179.0</v>
      </c>
      <c r="D1944" s="24" t="str">
        <f t="shared" si="145"/>
        <v>Mar-2018</v>
      </c>
      <c r="E1944" t="s">
        <v>146</v>
      </c>
      <c r="F1944" s="24" t="s">
        <v>35</v>
      </c>
      <c r="G1944" s="24" t="s">
        <v>81</v>
      </c>
      <c r="H1944" s="24" t="s">
        <v>9</v>
      </c>
      <c r="I1944" s="24" t="s">
        <v>9</v>
      </c>
      <c r="J1944" s="24" t="s">
        <v>24</v>
      </c>
      <c r="K1944" s="24" t="s">
        <v>24</v>
      </c>
      <c r="L1944" s="24" t="s">
        <v>69</v>
      </c>
    </row>
    <row r="1945">
      <c r="A1945" s="24">
        <f t="shared" si="1"/>
        <v>1943</v>
      </c>
      <c r="B1945" s="24" t="s">
        <v>835</v>
      </c>
      <c r="C1945" s="340">
        <v>43179.0</v>
      </c>
      <c r="D1945" s="24" t="str">
        <f t="shared" si="145"/>
        <v>Mar-2018</v>
      </c>
      <c r="E1945" t="s">
        <v>149</v>
      </c>
      <c r="F1945" s="24" t="s">
        <v>35</v>
      </c>
      <c r="G1945" s="24" t="s">
        <v>81</v>
      </c>
      <c r="H1945" s="24" t="s">
        <v>9</v>
      </c>
      <c r="I1945" s="24" t="s">
        <v>9</v>
      </c>
      <c r="J1945" s="24" t="s">
        <v>24</v>
      </c>
      <c r="K1945" s="24"/>
      <c r="L1945" s="24" t="s">
        <v>99</v>
      </c>
    </row>
    <row r="1946">
      <c r="A1946" s="24">
        <f t="shared" si="1"/>
        <v>1944</v>
      </c>
      <c r="B1946" s="24" t="s">
        <v>835</v>
      </c>
      <c r="C1946" s="340">
        <v>43179.0</v>
      </c>
      <c r="D1946" s="24" t="str">
        <f t="shared" si="145"/>
        <v>Mar-2018</v>
      </c>
      <c r="E1946" t="s">
        <v>222</v>
      </c>
      <c r="F1946" s="24" t="s">
        <v>35</v>
      </c>
      <c r="G1946" s="24" t="s">
        <v>81</v>
      </c>
      <c r="H1946" s="24" t="s">
        <v>9</v>
      </c>
      <c r="I1946" s="24" t="s">
        <v>9</v>
      </c>
      <c r="J1946" s="24" t="s">
        <v>24</v>
      </c>
      <c r="K1946" s="24"/>
      <c r="L1946" s="24" t="s">
        <v>106</v>
      </c>
    </row>
    <row r="1947">
      <c r="A1947" s="24">
        <f t="shared" si="1"/>
        <v>1945</v>
      </c>
      <c r="B1947" s="24" t="s">
        <v>835</v>
      </c>
      <c r="C1947" s="340">
        <v>43179.0</v>
      </c>
      <c r="D1947" s="24" t="str">
        <f t="shared" si="145"/>
        <v>Mar-2018</v>
      </c>
      <c r="E1947" t="s">
        <v>146</v>
      </c>
      <c r="F1947" s="24" t="s">
        <v>35</v>
      </c>
      <c r="G1947" s="24" t="s">
        <v>170</v>
      </c>
      <c r="H1947" s="24" t="s">
        <v>27</v>
      </c>
      <c r="I1947" s="24" t="s">
        <v>9</v>
      </c>
      <c r="J1947" s="24" t="s">
        <v>30</v>
      </c>
      <c r="K1947" s="24" t="s">
        <v>30</v>
      </c>
      <c r="L1947" s="24" t="s">
        <v>69</v>
      </c>
    </row>
    <row r="1948">
      <c r="A1948" s="24">
        <f t="shared" si="1"/>
        <v>1946</v>
      </c>
      <c r="B1948" s="24" t="s">
        <v>835</v>
      </c>
      <c r="C1948" s="340">
        <v>43179.0</v>
      </c>
      <c r="D1948" s="24" t="str">
        <f t="shared" si="145"/>
        <v>Mar-2018</v>
      </c>
      <c r="E1948" t="s">
        <v>149</v>
      </c>
      <c r="F1948" s="24" t="s">
        <v>35</v>
      </c>
      <c r="G1948" s="24" t="s">
        <v>170</v>
      </c>
      <c r="H1948" s="24" t="s">
        <v>27</v>
      </c>
      <c r="I1948" s="24" t="s">
        <v>9</v>
      </c>
      <c r="J1948" s="24" t="s">
        <v>24</v>
      </c>
      <c r="K1948" s="24"/>
      <c r="L1948" s="24" t="s">
        <v>29</v>
      </c>
    </row>
    <row r="1949">
      <c r="A1949" s="24">
        <f t="shared" si="1"/>
        <v>1947</v>
      </c>
      <c r="B1949" s="24" t="s">
        <v>835</v>
      </c>
      <c r="C1949" s="340">
        <v>43179.0</v>
      </c>
      <c r="D1949" s="24" t="str">
        <f t="shared" si="145"/>
        <v>Mar-2018</v>
      </c>
      <c r="E1949" t="s">
        <v>222</v>
      </c>
      <c r="F1949" s="24" t="s">
        <v>35</v>
      </c>
      <c r="G1949" s="24" t="s">
        <v>170</v>
      </c>
      <c r="H1949" s="24" t="s">
        <v>27</v>
      </c>
      <c r="I1949" s="24" t="s">
        <v>9</v>
      </c>
      <c r="J1949" s="24" t="s">
        <v>30</v>
      </c>
      <c r="K1949" s="24"/>
      <c r="L1949" s="24" t="s">
        <v>98</v>
      </c>
    </row>
    <row r="1950">
      <c r="A1950" s="24">
        <f t="shared" si="1"/>
        <v>1948</v>
      </c>
      <c r="B1950" s="24" t="s">
        <v>835</v>
      </c>
      <c r="C1950" s="340">
        <v>43179.0</v>
      </c>
      <c r="D1950" s="24" t="str">
        <f t="shared" ref="D1950:D1956" si="146">TEXT(C1942:C1950, "mmm") &amp; "-" &amp; TEXT(C1942:C1950, "yyyy") </f>
        <v>Mar-2018</v>
      </c>
      <c r="E1950" t="s">
        <v>467</v>
      </c>
      <c r="F1950" s="24" t="s">
        <v>35</v>
      </c>
      <c r="G1950" s="24" t="s">
        <v>170</v>
      </c>
      <c r="H1950" s="24" t="s">
        <v>27</v>
      </c>
      <c r="I1950" s="24" t="s">
        <v>9</v>
      </c>
      <c r="J1950" s="24" t="s">
        <v>24</v>
      </c>
      <c r="K1950" s="24"/>
      <c r="L1950" s="24" t="s">
        <v>37</v>
      </c>
    </row>
    <row r="1951">
      <c r="A1951" s="24">
        <f t="shared" si="1"/>
        <v>1949</v>
      </c>
      <c r="B1951" s="24" t="s">
        <v>835</v>
      </c>
      <c r="C1951" s="340">
        <v>43179.0</v>
      </c>
      <c r="D1951" s="24" t="str">
        <f t="shared" si="146"/>
        <v>Mar-2018</v>
      </c>
      <c r="E1951" t="s">
        <v>480</v>
      </c>
      <c r="F1951" s="24" t="s">
        <v>35</v>
      </c>
      <c r="G1951" s="24" t="s">
        <v>170</v>
      </c>
      <c r="H1951" s="24" t="s">
        <v>27</v>
      </c>
      <c r="I1951" s="24" t="s">
        <v>9</v>
      </c>
      <c r="J1951" s="24" t="s">
        <v>30</v>
      </c>
      <c r="K1951" s="24"/>
      <c r="L1951" s="24" t="s">
        <v>106</v>
      </c>
    </row>
    <row r="1952">
      <c r="A1952" s="24">
        <f t="shared" si="1"/>
        <v>1950</v>
      </c>
      <c r="B1952" s="24" t="s">
        <v>835</v>
      </c>
      <c r="C1952" s="340">
        <v>43179.0</v>
      </c>
      <c r="D1952" s="24" t="str">
        <f t="shared" si="146"/>
        <v>Mar-2018</v>
      </c>
      <c r="E1952" t="s">
        <v>146</v>
      </c>
      <c r="F1952" s="24" t="s">
        <v>35</v>
      </c>
      <c r="G1952" s="24" t="s">
        <v>771</v>
      </c>
      <c r="H1952" s="24" t="s">
        <v>64</v>
      </c>
      <c r="I1952" s="24" t="s">
        <v>9</v>
      </c>
      <c r="J1952" s="24" t="s">
        <v>30</v>
      </c>
      <c r="K1952" s="24" t="s">
        <v>24</v>
      </c>
      <c r="L1952" s="24" t="s">
        <v>98</v>
      </c>
    </row>
    <row r="1953">
      <c r="A1953" s="24">
        <f t="shared" si="1"/>
        <v>1951</v>
      </c>
      <c r="B1953" s="24" t="s">
        <v>835</v>
      </c>
      <c r="C1953" s="340">
        <v>43179.0</v>
      </c>
      <c r="D1953" s="24" t="str">
        <f t="shared" si="146"/>
        <v>Mar-2018</v>
      </c>
      <c r="E1953" t="s">
        <v>149</v>
      </c>
      <c r="F1953" s="24" t="s">
        <v>35</v>
      </c>
      <c r="G1953" s="24" t="s">
        <v>771</v>
      </c>
      <c r="H1953" s="24" t="s">
        <v>64</v>
      </c>
      <c r="I1953" s="24" t="s">
        <v>9</v>
      </c>
      <c r="J1953" s="24" t="s">
        <v>24</v>
      </c>
      <c r="K1953" s="24"/>
      <c r="L1953" s="24" t="s">
        <v>69</v>
      </c>
    </row>
    <row r="1954">
      <c r="A1954" s="24">
        <f t="shared" si="1"/>
        <v>1952</v>
      </c>
      <c r="B1954" s="24" t="s">
        <v>835</v>
      </c>
      <c r="C1954" s="340">
        <v>43179.0</v>
      </c>
      <c r="D1954" s="24" t="str">
        <f t="shared" si="146"/>
        <v>Mar-2018</v>
      </c>
      <c r="E1954" t="s">
        <v>222</v>
      </c>
      <c r="F1954" s="24" t="s">
        <v>35</v>
      </c>
      <c r="G1954" s="24" t="s">
        <v>771</v>
      </c>
      <c r="H1954" s="24" t="s">
        <v>64</v>
      </c>
      <c r="I1954" s="24" t="s">
        <v>9</v>
      </c>
      <c r="J1954" s="24" t="s">
        <v>30</v>
      </c>
      <c r="K1954" s="24"/>
      <c r="L1954" s="24" t="s">
        <v>106</v>
      </c>
    </row>
    <row r="1955">
      <c r="A1955" s="24">
        <f t="shared" si="1"/>
        <v>1953</v>
      </c>
      <c r="B1955" s="24" t="s">
        <v>835</v>
      </c>
      <c r="C1955" s="340">
        <v>43179.0</v>
      </c>
      <c r="D1955" s="24" t="str">
        <f t="shared" si="146"/>
        <v>Mar-2018</v>
      </c>
      <c r="E1955" t="s">
        <v>467</v>
      </c>
      <c r="F1955" s="24" t="s">
        <v>35</v>
      </c>
      <c r="G1955" s="24" t="s">
        <v>771</v>
      </c>
      <c r="H1955" s="24" t="s">
        <v>64</v>
      </c>
      <c r="I1955" s="24" t="s">
        <v>9</v>
      </c>
      <c r="J1955" s="24" t="s">
        <v>24</v>
      </c>
      <c r="K1955" s="24"/>
      <c r="L1955" s="24" t="s">
        <v>99</v>
      </c>
    </row>
    <row r="1956">
      <c r="A1956" s="24">
        <f t="shared" si="1"/>
        <v>1954</v>
      </c>
      <c r="B1956" s="24" t="s">
        <v>835</v>
      </c>
      <c r="C1956" s="340">
        <v>43179.0</v>
      </c>
      <c r="D1956" s="24" t="str">
        <f t="shared" si="146"/>
        <v>Mar-2018</v>
      </c>
      <c r="E1956" t="s">
        <v>480</v>
      </c>
      <c r="F1956" s="24" t="s">
        <v>35</v>
      </c>
      <c r="G1956" s="24" t="s">
        <v>771</v>
      </c>
      <c r="H1956" s="24" t="s">
        <v>64</v>
      </c>
      <c r="I1956" s="24" t="s">
        <v>9</v>
      </c>
      <c r="J1956" s="24" t="s">
        <v>24</v>
      </c>
      <c r="K1956" s="24"/>
      <c r="L1956" s="24" t="s">
        <v>29</v>
      </c>
    </row>
    <row r="1957">
      <c r="A1957" s="24">
        <f t="shared" si="1"/>
        <v>1955</v>
      </c>
      <c r="B1957" s="24" t="s">
        <v>838</v>
      </c>
      <c r="C1957" s="275">
        <v>43189.0</v>
      </c>
      <c r="D1957" s="24" t="str">
        <f t="shared" ref="D1957:D1964" si="147">TEXT(C1950:C1957, "mmm") &amp; "-" &amp; TEXT(C1950:C1957, "yyyy") </f>
        <v>Mar-2018</v>
      </c>
      <c r="E1957" s="24" t="s">
        <v>20</v>
      </c>
      <c r="F1957" s="24" t="s">
        <v>35</v>
      </c>
      <c r="G1957" s="24" t="s">
        <v>219</v>
      </c>
      <c r="H1957" s="24" t="s">
        <v>97</v>
      </c>
      <c r="I1957" s="24" t="s">
        <v>9</v>
      </c>
      <c r="J1957" s="24" t="s">
        <v>24</v>
      </c>
      <c r="K1957" s="24" t="s">
        <v>24</v>
      </c>
      <c r="L1957" s="24" t="s">
        <v>98</v>
      </c>
    </row>
    <row r="1958">
      <c r="A1958" s="24">
        <f t="shared" si="1"/>
        <v>1956</v>
      </c>
      <c r="B1958" s="24" t="s">
        <v>838</v>
      </c>
      <c r="C1958" s="275">
        <v>43189.0</v>
      </c>
      <c r="D1958" s="24" t="str">
        <f t="shared" si="147"/>
        <v>Mar-2018</v>
      </c>
      <c r="E1958" s="24" t="s">
        <v>25</v>
      </c>
      <c r="F1958" s="24" t="s">
        <v>35</v>
      </c>
      <c r="G1958" s="24" t="s">
        <v>219</v>
      </c>
      <c r="H1958" s="24" t="s">
        <v>97</v>
      </c>
      <c r="I1958" s="24" t="s">
        <v>9</v>
      </c>
      <c r="J1958" s="24" t="s">
        <v>30</v>
      </c>
      <c r="K1958" s="24"/>
      <c r="L1958" s="24" t="s">
        <v>106</v>
      </c>
    </row>
    <row r="1959">
      <c r="A1959" s="24">
        <f t="shared" si="1"/>
        <v>1957</v>
      </c>
      <c r="B1959" s="24" t="s">
        <v>838</v>
      </c>
      <c r="C1959" s="275">
        <v>43189.0</v>
      </c>
      <c r="D1959" s="24" t="str">
        <f t="shared" si="147"/>
        <v>Mar-2018</v>
      </c>
      <c r="E1959" s="24" t="s">
        <v>32</v>
      </c>
      <c r="F1959" s="24" t="s">
        <v>35</v>
      </c>
      <c r="G1959" s="24" t="s">
        <v>219</v>
      </c>
      <c r="H1959" s="24" t="s">
        <v>97</v>
      </c>
      <c r="I1959" s="24" t="s">
        <v>9</v>
      </c>
      <c r="J1959" s="24" t="s">
        <v>24</v>
      </c>
      <c r="K1959" s="24"/>
      <c r="L1959" s="24" t="s">
        <v>37</v>
      </c>
    </row>
    <row r="1960">
      <c r="A1960" s="24">
        <f t="shared" si="1"/>
        <v>1958</v>
      </c>
      <c r="B1960" s="24" t="s">
        <v>838</v>
      </c>
      <c r="C1960" s="275">
        <v>43189.0</v>
      </c>
      <c r="D1960" s="24" t="str">
        <f t="shared" si="147"/>
        <v>Mar-2018</v>
      </c>
      <c r="E1960" s="24" t="s">
        <v>20</v>
      </c>
      <c r="F1960" s="24" t="s">
        <v>35</v>
      </c>
      <c r="G1960" s="24" t="s">
        <v>839</v>
      </c>
      <c r="H1960" s="24" t="s">
        <v>27</v>
      </c>
      <c r="I1960" s="24" t="s">
        <v>9</v>
      </c>
      <c r="J1960" s="24" t="s">
        <v>30</v>
      </c>
      <c r="K1960" s="24" t="s">
        <v>30</v>
      </c>
      <c r="L1960" s="24" t="s">
        <v>69</v>
      </c>
    </row>
    <row r="1961">
      <c r="A1961" s="24">
        <f t="shared" si="1"/>
        <v>1959</v>
      </c>
      <c r="B1961" s="24" t="s">
        <v>838</v>
      </c>
      <c r="C1961" s="275">
        <v>43189.0</v>
      </c>
      <c r="D1961" s="24" t="str">
        <f t="shared" si="147"/>
        <v>Mar-2018</v>
      </c>
      <c r="E1961" s="24" t="s">
        <v>25</v>
      </c>
      <c r="F1961" s="24" t="s">
        <v>35</v>
      </c>
      <c r="G1961" s="24" t="s">
        <v>839</v>
      </c>
      <c r="H1961" s="24" t="s">
        <v>27</v>
      </c>
      <c r="I1961" s="24" t="s">
        <v>9</v>
      </c>
      <c r="J1961" s="24" t="s">
        <v>30</v>
      </c>
      <c r="K1961" s="24"/>
      <c r="L1961" s="24" t="s">
        <v>99</v>
      </c>
    </row>
    <row r="1962">
      <c r="A1962" s="24">
        <f t="shared" si="1"/>
        <v>1960</v>
      </c>
      <c r="B1962" s="24" t="s">
        <v>838</v>
      </c>
      <c r="C1962" s="275">
        <v>43189.0</v>
      </c>
      <c r="D1962" s="24" t="str">
        <f t="shared" si="147"/>
        <v>Mar-2018</v>
      </c>
      <c r="E1962" s="24" t="s">
        <v>20</v>
      </c>
      <c r="F1962" s="24" t="s">
        <v>35</v>
      </c>
      <c r="G1962" s="24" t="s">
        <v>633</v>
      </c>
      <c r="H1962" s="24" t="s">
        <v>27</v>
      </c>
      <c r="I1962" s="24" t="s">
        <v>9</v>
      </c>
      <c r="J1962" s="24" t="s">
        <v>24</v>
      </c>
      <c r="K1962" s="24" t="s">
        <v>30</v>
      </c>
      <c r="L1962" s="24" t="s">
        <v>69</v>
      </c>
    </row>
    <row r="1963">
      <c r="A1963" s="24">
        <f t="shared" si="1"/>
        <v>1961</v>
      </c>
      <c r="B1963" s="24" t="s">
        <v>838</v>
      </c>
      <c r="C1963" s="275">
        <v>43189.0</v>
      </c>
      <c r="D1963" s="24" t="str">
        <f t="shared" si="147"/>
        <v>Mar-2018</v>
      </c>
      <c r="E1963" s="24" t="s">
        <v>25</v>
      </c>
      <c r="F1963" s="24" t="s">
        <v>35</v>
      </c>
      <c r="G1963" s="24" t="s">
        <v>633</v>
      </c>
      <c r="H1963" s="24" t="s">
        <v>27</v>
      </c>
      <c r="I1963" s="24" t="s">
        <v>9</v>
      </c>
      <c r="J1963" s="24" t="s">
        <v>30</v>
      </c>
      <c r="K1963" s="24"/>
      <c r="L1963" s="24" t="s">
        <v>106</v>
      </c>
    </row>
    <row r="1964">
      <c r="A1964" s="24">
        <f t="shared" si="1"/>
        <v>1962</v>
      </c>
      <c r="B1964" s="24" t="s">
        <v>838</v>
      </c>
      <c r="C1964" s="275">
        <v>43189.0</v>
      </c>
      <c r="D1964" s="24" t="str">
        <f t="shared" si="147"/>
        <v>Mar-2018</v>
      </c>
      <c r="E1964" s="24" t="s">
        <v>32</v>
      </c>
      <c r="F1964" s="24" t="s">
        <v>35</v>
      </c>
      <c r="G1964" s="24" t="s">
        <v>633</v>
      </c>
      <c r="H1964" s="24" t="s">
        <v>27</v>
      </c>
      <c r="I1964" s="24" t="s">
        <v>9</v>
      </c>
      <c r="J1964" s="24" t="s">
        <v>30</v>
      </c>
      <c r="K1964" s="24"/>
      <c r="L1964" s="24" t="s">
        <v>99</v>
      </c>
    </row>
    <row r="1965">
      <c r="A1965" s="24">
        <f t="shared" si="1"/>
        <v>1963</v>
      </c>
      <c r="B1965" s="24" t="s">
        <v>838</v>
      </c>
      <c r="C1965" s="275">
        <v>43189.0</v>
      </c>
      <c r="D1965" s="24" t="str">
        <f t="shared" ref="D1965:D1968" si="148">TEXT(C1957:C1965, "mmm") &amp; "-" &amp; TEXT(C1957:C1965, "yyyy") </f>
        <v>Mar-2018</v>
      </c>
      <c r="E1965" t="s">
        <v>146</v>
      </c>
      <c r="F1965" s="24" t="s">
        <v>35</v>
      </c>
      <c r="G1965" s="24" t="s">
        <v>607</v>
      </c>
      <c r="H1965" s="24" t="s">
        <v>44</v>
      </c>
      <c r="I1965" s="24" t="s">
        <v>9</v>
      </c>
      <c r="J1965" s="24" t="s">
        <v>30</v>
      </c>
      <c r="K1965" s="24" t="s">
        <v>24</v>
      </c>
      <c r="L1965" s="24" t="s">
        <v>99</v>
      </c>
    </row>
    <row r="1966">
      <c r="A1966" s="24">
        <f t="shared" si="1"/>
        <v>1964</v>
      </c>
      <c r="B1966" s="24" t="s">
        <v>838</v>
      </c>
      <c r="C1966" s="275">
        <v>43189.0</v>
      </c>
      <c r="D1966" s="24" t="str">
        <f t="shared" si="148"/>
        <v>Mar-2018</v>
      </c>
      <c r="E1966" t="s">
        <v>149</v>
      </c>
      <c r="F1966" s="24" t="s">
        <v>35</v>
      </c>
      <c r="G1966" s="24" t="s">
        <v>607</v>
      </c>
      <c r="H1966" s="24" t="s">
        <v>44</v>
      </c>
      <c r="I1966" s="24" t="s">
        <v>9</v>
      </c>
      <c r="J1966" s="24" t="s">
        <v>24</v>
      </c>
      <c r="K1966" s="24"/>
      <c r="L1966" s="24" t="s">
        <v>29</v>
      </c>
    </row>
    <row r="1967">
      <c r="A1967" s="24">
        <f t="shared" si="1"/>
        <v>1965</v>
      </c>
      <c r="B1967" s="24" t="s">
        <v>838</v>
      </c>
      <c r="C1967" s="275">
        <v>43189.0</v>
      </c>
      <c r="D1967" s="24" t="str">
        <f t="shared" si="148"/>
        <v>Mar-2018</v>
      </c>
      <c r="E1967" t="s">
        <v>222</v>
      </c>
      <c r="F1967" s="24" t="s">
        <v>35</v>
      </c>
      <c r="G1967" s="24" t="s">
        <v>607</v>
      </c>
      <c r="H1967" s="24" t="s">
        <v>44</v>
      </c>
      <c r="I1967" s="24" t="s">
        <v>9</v>
      </c>
      <c r="J1967" s="24" t="s">
        <v>24</v>
      </c>
      <c r="K1967" s="24"/>
      <c r="L1967" s="24" t="s">
        <v>37</v>
      </c>
    </row>
    <row r="1968">
      <c r="A1968" s="24">
        <f t="shared" si="1"/>
        <v>1966</v>
      </c>
      <c r="B1968" s="24" t="s">
        <v>838</v>
      </c>
      <c r="C1968" s="275">
        <v>43189.0</v>
      </c>
      <c r="D1968" s="24" t="str">
        <f t="shared" si="148"/>
        <v>Mar-2018</v>
      </c>
      <c r="E1968" t="s">
        <v>467</v>
      </c>
      <c r="F1968" s="24" t="s">
        <v>35</v>
      </c>
      <c r="G1968" s="24" t="s">
        <v>607</v>
      </c>
      <c r="H1968" s="24" t="s">
        <v>44</v>
      </c>
      <c r="I1968" s="24" t="s">
        <v>9</v>
      </c>
      <c r="J1968" s="24" t="s">
        <v>24</v>
      </c>
      <c r="K1968" s="24"/>
      <c r="L1968" s="24" t="s">
        <v>106</v>
      </c>
    </row>
    <row r="1969">
      <c r="A1969" s="24">
        <f t="shared" si="1"/>
        <v>1967</v>
      </c>
      <c r="B1969" s="24" t="s">
        <v>841</v>
      </c>
      <c r="C1969" s="340">
        <v>43193.0</v>
      </c>
      <c r="D1969" s="24" t="str">
        <f t="shared" ref="D1969:D1976" si="149">TEXT(C1962:C1969, "mmm") &amp; "-" &amp; TEXT(C1962:C1969, "yyyy") </f>
        <v>Apr-2018</v>
      </c>
      <c r="E1969" s="24" t="s">
        <v>20</v>
      </c>
      <c r="F1969" s="24" t="s">
        <v>35</v>
      </c>
      <c r="G1969" s="24" t="s">
        <v>842</v>
      </c>
      <c r="H1969" s="24" t="s">
        <v>71</v>
      </c>
      <c r="I1969" s="24" t="s">
        <v>9</v>
      </c>
      <c r="J1969" s="24" t="s">
        <v>30</v>
      </c>
      <c r="K1969" s="24" t="s">
        <v>30</v>
      </c>
      <c r="L1969" s="24" t="s">
        <v>98</v>
      </c>
    </row>
    <row r="1970">
      <c r="A1970" s="24">
        <f t="shared" si="1"/>
        <v>1968</v>
      </c>
      <c r="B1970" s="24" t="s">
        <v>841</v>
      </c>
      <c r="C1970" s="340">
        <v>43193.0</v>
      </c>
      <c r="D1970" s="24" t="str">
        <f t="shared" si="149"/>
        <v>Apr-2018</v>
      </c>
      <c r="E1970" s="24" t="s">
        <v>25</v>
      </c>
      <c r="F1970" s="24" t="s">
        <v>35</v>
      </c>
      <c r="G1970" s="24" t="s">
        <v>842</v>
      </c>
      <c r="H1970" s="24" t="s">
        <v>71</v>
      </c>
      <c r="I1970" s="24" t="s">
        <v>9</v>
      </c>
      <c r="J1970" s="24" t="s">
        <v>30</v>
      </c>
      <c r="K1970" s="24"/>
      <c r="L1970" s="24" t="s">
        <v>37</v>
      </c>
    </row>
    <row r="1971">
      <c r="A1971" s="24">
        <f t="shared" si="1"/>
        <v>1969</v>
      </c>
      <c r="B1971" s="24" t="s">
        <v>841</v>
      </c>
      <c r="C1971" s="340">
        <v>43193.0</v>
      </c>
      <c r="D1971" s="24" t="str">
        <f t="shared" si="149"/>
        <v>Apr-2018</v>
      </c>
      <c r="E1971" t="s">
        <v>146</v>
      </c>
      <c r="F1971" s="24" t="s">
        <v>35</v>
      </c>
      <c r="G1971" s="24" t="s">
        <v>592</v>
      </c>
      <c r="H1971" s="24" t="s">
        <v>27</v>
      </c>
      <c r="I1971" s="24" t="s">
        <v>9</v>
      </c>
      <c r="J1971" s="24" t="s">
        <v>24</v>
      </c>
      <c r="K1971" s="24" t="s">
        <v>30</v>
      </c>
      <c r="L1971" s="24" t="s">
        <v>69</v>
      </c>
    </row>
    <row r="1972">
      <c r="A1972" s="24">
        <f t="shared" si="1"/>
        <v>1970</v>
      </c>
      <c r="B1972" s="24" t="s">
        <v>841</v>
      </c>
      <c r="C1972" s="340">
        <v>43193.0</v>
      </c>
      <c r="D1972" s="24" t="str">
        <f t="shared" si="149"/>
        <v>Apr-2018</v>
      </c>
      <c r="E1972" t="s">
        <v>149</v>
      </c>
      <c r="F1972" s="24" t="s">
        <v>35</v>
      </c>
      <c r="G1972" s="24" t="s">
        <v>592</v>
      </c>
      <c r="H1972" s="24" t="s">
        <v>27</v>
      </c>
      <c r="I1972" s="24" t="s">
        <v>9</v>
      </c>
      <c r="J1972" s="24" t="s">
        <v>30</v>
      </c>
      <c r="K1972" s="24"/>
      <c r="L1972" s="24" t="s">
        <v>98</v>
      </c>
    </row>
    <row r="1973">
      <c r="A1973" s="24">
        <f t="shared" si="1"/>
        <v>1971</v>
      </c>
      <c r="B1973" s="24" t="s">
        <v>841</v>
      </c>
      <c r="C1973" s="340">
        <v>43193.0</v>
      </c>
      <c r="D1973" s="24" t="str">
        <f t="shared" si="149"/>
        <v>Apr-2018</v>
      </c>
      <c r="E1973" t="s">
        <v>222</v>
      </c>
      <c r="F1973" s="24" t="s">
        <v>35</v>
      </c>
      <c r="G1973" s="24" t="s">
        <v>592</v>
      </c>
      <c r="H1973" s="24" t="s">
        <v>27</v>
      </c>
      <c r="I1973" s="24" t="s">
        <v>9</v>
      </c>
      <c r="J1973" s="24" t="s">
        <v>30</v>
      </c>
      <c r="K1973" s="24"/>
      <c r="L1973" s="24" t="s">
        <v>29</v>
      </c>
    </row>
    <row r="1974">
      <c r="A1974" s="24">
        <f t="shared" si="1"/>
        <v>1972</v>
      </c>
      <c r="B1974" s="24" t="s">
        <v>841</v>
      </c>
      <c r="C1974" s="340">
        <v>43193.0</v>
      </c>
      <c r="D1974" s="24" t="str">
        <f t="shared" si="149"/>
        <v>Apr-2018</v>
      </c>
      <c r="E1974" t="s">
        <v>467</v>
      </c>
      <c r="F1974" s="24" t="s">
        <v>35</v>
      </c>
      <c r="G1974" s="24" t="s">
        <v>592</v>
      </c>
      <c r="H1974" s="24" t="s">
        <v>27</v>
      </c>
      <c r="I1974" s="24" t="s">
        <v>9</v>
      </c>
      <c r="J1974" s="24" t="s">
        <v>24</v>
      </c>
      <c r="K1974" s="24"/>
      <c r="L1974" s="24" t="s">
        <v>99</v>
      </c>
    </row>
    <row r="1975">
      <c r="A1975" s="24">
        <f t="shared" si="1"/>
        <v>1973</v>
      </c>
      <c r="B1975" s="24" t="s">
        <v>841</v>
      </c>
      <c r="C1975" s="340">
        <v>43193.0</v>
      </c>
      <c r="D1975" s="24" t="str">
        <f t="shared" si="149"/>
        <v>Apr-2018</v>
      </c>
      <c r="E1975" t="s">
        <v>480</v>
      </c>
      <c r="F1975" s="24" t="s">
        <v>35</v>
      </c>
      <c r="G1975" s="24" t="s">
        <v>592</v>
      </c>
      <c r="H1975" s="24" t="s">
        <v>27</v>
      </c>
      <c r="I1975" s="24" t="s">
        <v>9</v>
      </c>
      <c r="J1975" s="24" t="s">
        <v>30</v>
      </c>
      <c r="K1975" s="24"/>
      <c r="L1975" s="24" t="s">
        <v>106</v>
      </c>
    </row>
    <row r="1976">
      <c r="A1976" s="24">
        <f t="shared" si="1"/>
        <v>1974</v>
      </c>
      <c r="B1976" s="24" t="s">
        <v>841</v>
      </c>
      <c r="C1976" s="340">
        <v>43193.0</v>
      </c>
      <c r="D1976" s="24" t="str">
        <f t="shared" si="149"/>
        <v>Apr-2018</v>
      </c>
      <c r="E1976" t="s">
        <v>146</v>
      </c>
      <c r="F1976" s="24" t="s">
        <v>35</v>
      </c>
      <c r="G1976" s="24" t="s">
        <v>81</v>
      </c>
      <c r="H1976" s="24" t="s">
        <v>9</v>
      </c>
      <c r="I1976" s="24" t="s">
        <v>9</v>
      </c>
      <c r="J1976" s="24" t="s">
        <v>24</v>
      </c>
      <c r="K1976" s="24" t="s">
        <v>24</v>
      </c>
      <c r="L1976" s="24" t="s">
        <v>69</v>
      </c>
    </row>
    <row r="1977">
      <c r="A1977" s="24">
        <f t="shared" si="1"/>
        <v>1975</v>
      </c>
      <c r="B1977" s="24" t="s">
        <v>841</v>
      </c>
      <c r="C1977" s="340">
        <v>43193.0</v>
      </c>
      <c r="D1977" s="24" t="str">
        <f t="shared" ref="D1977:D1987" si="150">TEXT(C1969:C1977, "mmm") &amp; "-" &amp; TEXT(C1969:C1977, "yyyy") </f>
        <v>Apr-2018</v>
      </c>
      <c r="E1977" t="s">
        <v>149</v>
      </c>
      <c r="F1977" s="24" t="s">
        <v>35</v>
      </c>
      <c r="G1977" s="24" t="s">
        <v>81</v>
      </c>
      <c r="H1977" s="24" t="s">
        <v>9</v>
      </c>
      <c r="I1977" s="24" t="s">
        <v>9</v>
      </c>
      <c r="J1977" s="24" t="s">
        <v>30</v>
      </c>
      <c r="K1977" s="24"/>
      <c r="L1977" s="24" t="s">
        <v>99</v>
      </c>
    </row>
    <row r="1978">
      <c r="A1978" s="24">
        <f t="shared" si="1"/>
        <v>1976</v>
      </c>
      <c r="B1978" s="24" t="s">
        <v>841</v>
      </c>
      <c r="C1978" s="340">
        <v>43193.0</v>
      </c>
      <c r="D1978" s="24" t="str">
        <f t="shared" si="150"/>
        <v>Apr-2018</v>
      </c>
      <c r="E1978" t="s">
        <v>222</v>
      </c>
      <c r="F1978" s="24" t="s">
        <v>35</v>
      </c>
      <c r="G1978" s="24" t="s">
        <v>81</v>
      </c>
      <c r="H1978" s="24" t="s">
        <v>9</v>
      </c>
      <c r="I1978" s="24" t="s">
        <v>9</v>
      </c>
      <c r="J1978" s="24" t="s">
        <v>24</v>
      </c>
      <c r="K1978" s="24"/>
      <c r="L1978" s="24" t="s">
        <v>29</v>
      </c>
    </row>
    <row r="1979">
      <c r="A1979" s="24">
        <f t="shared" si="1"/>
        <v>1977</v>
      </c>
      <c r="B1979" s="24" t="s">
        <v>841</v>
      </c>
      <c r="C1979" s="340">
        <v>43193.0</v>
      </c>
      <c r="D1979" s="24" t="str">
        <f t="shared" si="150"/>
        <v>Apr-2018</v>
      </c>
      <c r="E1979" t="s">
        <v>467</v>
      </c>
      <c r="F1979" s="24" t="s">
        <v>35</v>
      </c>
      <c r="G1979" s="24" t="s">
        <v>81</v>
      </c>
      <c r="H1979" s="24" t="s">
        <v>9</v>
      </c>
      <c r="I1979" s="24" t="s">
        <v>9</v>
      </c>
      <c r="J1979" s="24" t="s">
        <v>24</v>
      </c>
      <c r="K1979" s="24"/>
      <c r="L1979" s="24" t="s">
        <v>98</v>
      </c>
    </row>
    <row r="1980">
      <c r="A1980" s="24">
        <f t="shared" si="1"/>
        <v>1978</v>
      </c>
      <c r="B1980" s="24" t="s">
        <v>841</v>
      </c>
      <c r="C1980" s="340">
        <v>43193.0</v>
      </c>
      <c r="D1980" s="24" t="str">
        <f t="shared" si="150"/>
        <v>Apr-2018</v>
      </c>
      <c r="E1980" t="s">
        <v>146</v>
      </c>
      <c r="F1980" s="24" t="s">
        <v>35</v>
      </c>
      <c r="G1980" s="24" t="s">
        <v>493</v>
      </c>
      <c r="H1980" s="24" t="s">
        <v>44</v>
      </c>
      <c r="I1980" s="24" t="s">
        <v>9</v>
      </c>
      <c r="J1980" s="24" t="s">
        <v>30</v>
      </c>
      <c r="K1980" s="24" t="s">
        <v>30</v>
      </c>
      <c r="L1980" s="24" t="s">
        <v>99</v>
      </c>
    </row>
    <row r="1981">
      <c r="A1981" s="24">
        <f t="shared" si="1"/>
        <v>1979</v>
      </c>
      <c r="B1981" s="24" t="s">
        <v>841</v>
      </c>
      <c r="C1981" s="340">
        <v>43193.0</v>
      </c>
      <c r="D1981" s="24" t="str">
        <f t="shared" si="150"/>
        <v>Apr-2018</v>
      </c>
      <c r="E1981" t="s">
        <v>149</v>
      </c>
      <c r="F1981" s="24" t="s">
        <v>35</v>
      </c>
      <c r="G1981" s="24" t="s">
        <v>493</v>
      </c>
      <c r="H1981" s="24" t="s">
        <v>44</v>
      </c>
      <c r="I1981" s="24" t="s">
        <v>9</v>
      </c>
      <c r="J1981" s="24" t="s">
        <v>24</v>
      </c>
      <c r="K1981" s="24"/>
      <c r="L1981" s="24" t="s">
        <v>29</v>
      </c>
    </row>
    <row r="1982">
      <c r="A1982" s="24">
        <f t="shared" si="1"/>
        <v>1980</v>
      </c>
      <c r="B1982" s="24" t="s">
        <v>841</v>
      </c>
      <c r="C1982" s="340">
        <v>43193.0</v>
      </c>
      <c r="D1982" s="24" t="str">
        <f t="shared" si="150"/>
        <v>Apr-2018</v>
      </c>
      <c r="E1982" t="s">
        <v>222</v>
      </c>
      <c r="F1982" s="24" t="s">
        <v>35</v>
      </c>
      <c r="G1982" s="24" t="s">
        <v>493</v>
      </c>
      <c r="H1982" s="24" t="s">
        <v>44</v>
      </c>
      <c r="I1982" s="24" t="s">
        <v>9</v>
      </c>
      <c r="J1982" s="24" t="s">
        <v>30</v>
      </c>
      <c r="K1982" s="24"/>
      <c r="L1982" s="24" t="s">
        <v>69</v>
      </c>
    </row>
    <row r="1983">
      <c r="A1983" s="24">
        <f t="shared" si="1"/>
        <v>1981</v>
      </c>
      <c r="B1983" s="24" t="s">
        <v>841</v>
      </c>
      <c r="C1983" s="340">
        <v>43193.0</v>
      </c>
      <c r="D1983" s="24" t="str">
        <f t="shared" si="150"/>
        <v>Apr-2018</v>
      </c>
      <c r="E1983" t="s">
        <v>467</v>
      </c>
      <c r="F1983" s="24" t="s">
        <v>35</v>
      </c>
      <c r="G1983" s="24" t="s">
        <v>493</v>
      </c>
      <c r="H1983" s="24" t="s">
        <v>44</v>
      </c>
      <c r="I1983" s="24" t="s">
        <v>9</v>
      </c>
      <c r="J1983" s="24" t="s">
        <v>30</v>
      </c>
      <c r="K1983" s="24"/>
      <c r="L1983" s="24" t="s">
        <v>98</v>
      </c>
    </row>
    <row r="1984">
      <c r="A1984" s="24">
        <f t="shared" si="1"/>
        <v>1982</v>
      </c>
      <c r="B1984" s="24" t="s">
        <v>841</v>
      </c>
      <c r="C1984" s="340">
        <v>43193.0</v>
      </c>
      <c r="D1984" s="24" t="str">
        <f t="shared" si="150"/>
        <v>Apr-2018</v>
      </c>
      <c r="E1984" t="s">
        <v>146</v>
      </c>
      <c r="F1984" s="24" t="s">
        <v>35</v>
      </c>
      <c r="G1984" s="24" t="s">
        <v>81</v>
      </c>
      <c r="H1984" s="24" t="s">
        <v>9</v>
      </c>
      <c r="I1984" s="24" t="s">
        <v>9</v>
      </c>
      <c r="J1984" s="24" t="s">
        <v>24</v>
      </c>
      <c r="K1984" s="24" t="s">
        <v>24</v>
      </c>
      <c r="L1984" s="24" t="s">
        <v>69</v>
      </c>
    </row>
    <row r="1985">
      <c r="A1985" s="24">
        <f t="shared" si="1"/>
        <v>1983</v>
      </c>
      <c r="B1985" s="24" t="s">
        <v>841</v>
      </c>
      <c r="C1985" s="340">
        <v>43193.0</v>
      </c>
      <c r="D1985" s="24" t="str">
        <f t="shared" si="150"/>
        <v>Apr-2018</v>
      </c>
      <c r="E1985" t="s">
        <v>149</v>
      </c>
      <c r="F1985" s="24" t="s">
        <v>35</v>
      </c>
      <c r="G1985" s="24" t="s">
        <v>81</v>
      </c>
      <c r="H1985" s="24" t="s">
        <v>48</v>
      </c>
      <c r="I1985" s="24" t="s">
        <v>9</v>
      </c>
      <c r="J1985" s="24" t="s">
        <v>30</v>
      </c>
      <c r="K1985" s="24"/>
      <c r="L1985" s="24" t="s">
        <v>99</v>
      </c>
    </row>
    <row r="1986">
      <c r="A1986" s="24">
        <f t="shared" si="1"/>
        <v>1984</v>
      </c>
      <c r="B1986" s="24" t="s">
        <v>841</v>
      </c>
      <c r="C1986" s="340">
        <v>43193.0</v>
      </c>
      <c r="D1986" s="24" t="str">
        <f t="shared" si="150"/>
        <v>Apr-2018</v>
      </c>
      <c r="E1986" t="s">
        <v>222</v>
      </c>
      <c r="F1986" s="24" t="s">
        <v>35</v>
      </c>
      <c r="G1986" s="24" t="s">
        <v>81</v>
      </c>
      <c r="H1986" s="24" t="s">
        <v>48</v>
      </c>
      <c r="I1986" s="24" t="s">
        <v>9</v>
      </c>
      <c r="J1986" s="24" t="s">
        <v>24</v>
      </c>
      <c r="K1986" s="24"/>
      <c r="L1986" s="24" t="s">
        <v>99</v>
      </c>
    </row>
    <row r="1987">
      <c r="A1987" s="24">
        <f t="shared" si="1"/>
        <v>1985</v>
      </c>
      <c r="B1987" s="24" t="s">
        <v>841</v>
      </c>
      <c r="C1987" s="340">
        <v>43193.0</v>
      </c>
      <c r="D1987" s="24" t="str">
        <f t="shared" si="150"/>
        <v>Apr-2018</v>
      </c>
      <c r="E1987" t="s">
        <v>467</v>
      </c>
      <c r="F1987" s="24" t="s">
        <v>35</v>
      </c>
      <c r="G1987" s="24" t="s">
        <v>81</v>
      </c>
      <c r="H1987" s="24" t="s">
        <v>48</v>
      </c>
      <c r="I1987" s="24" t="s">
        <v>9</v>
      </c>
      <c r="J1987" s="24" t="s">
        <v>24</v>
      </c>
      <c r="K1987" s="24"/>
      <c r="L1987" s="24" t="s">
        <v>69</v>
      </c>
    </row>
    <row r="1988">
      <c r="A1988" s="24">
        <f t="shared" si="1"/>
        <v>1986</v>
      </c>
      <c r="B1988" s="24" t="s">
        <v>844</v>
      </c>
      <c r="C1988" s="275">
        <v>43198.0</v>
      </c>
      <c r="D1988" s="24" t="str">
        <f t="shared" ref="D1988:D1995" si="151">TEXT(C1981:C1988, "mmm") &amp; "-" &amp; TEXT(C1981:C1988, "yyyy") </f>
        <v>Apr-2018</v>
      </c>
      <c r="E1988" s="24" t="s">
        <v>20</v>
      </c>
      <c r="F1988" s="24" t="s">
        <v>35</v>
      </c>
      <c r="G1988" s="24" t="s">
        <v>497</v>
      </c>
      <c r="H1988" s="24" t="s">
        <v>9</v>
      </c>
      <c r="I1988" s="24" t="s">
        <v>9</v>
      </c>
      <c r="J1988" s="24" t="s">
        <v>30</v>
      </c>
      <c r="K1988" s="24" t="s">
        <v>24</v>
      </c>
      <c r="L1988" s="24" t="s">
        <v>69</v>
      </c>
    </row>
    <row r="1989">
      <c r="A1989" s="24">
        <f t="shared" si="1"/>
        <v>1987</v>
      </c>
      <c r="B1989" s="24" t="s">
        <v>844</v>
      </c>
      <c r="C1989" s="275">
        <v>43198.0</v>
      </c>
      <c r="D1989" s="24" t="str">
        <f t="shared" si="151"/>
        <v>Apr-2018</v>
      </c>
      <c r="E1989" s="24" t="s">
        <v>25</v>
      </c>
      <c r="F1989" s="24" t="s">
        <v>35</v>
      </c>
      <c r="G1989" s="24" t="s">
        <v>497</v>
      </c>
      <c r="H1989" s="24" t="s">
        <v>9</v>
      </c>
      <c r="I1989" s="24" t="s">
        <v>9</v>
      </c>
      <c r="J1989" s="24" t="s">
        <v>24</v>
      </c>
      <c r="K1989" s="24"/>
      <c r="L1989" s="24" t="s">
        <v>98</v>
      </c>
    </row>
    <row r="1990">
      <c r="A1990" s="24">
        <f t="shared" si="1"/>
        <v>1988</v>
      </c>
      <c r="B1990" s="24" t="s">
        <v>844</v>
      </c>
      <c r="C1990" s="275">
        <v>43198.0</v>
      </c>
      <c r="D1990" s="24" t="str">
        <f t="shared" si="151"/>
        <v>Apr-2018</v>
      </c>
      <c r="E1990" s="24" t="s">
        <v>32</v>
      </c>
      <c r="F1990" s="24" t="s">
        <v>35</v>
      </c>
      <c r="G1990" s="24" t="s">
        <v>497</v>
      </c>
      <c r="H1990" s="24" t="s">
        <v>9</v>
      </c>
      <c r="I1990" s="24" t="s">
        <v>9</v>
      </c>
      <c r="J1990" s="24" t="s">
        <v>24</v>
      </c>
      <c r="K1990" s="24"/>
      <c r="L1990" s="24" t="s">
        <v>106</v>
      </c>
    </row>
    <row r="1991">
      <c r="A1991" s="24">
        <f t="shared" si="1"/>
        <v>1989</v>
      </c>
      <c r="B1991" s="24" t="s">
        <v>844</v>
      </c>
      <c r="C1991" s="275">
        <v>43198.0</v>
      </c>
      <c r="D1991" s="24" t="str">
        <f t="shared" si="151"/>
        <v>Apr-2018</v>
      </c>
      <c r="E1991" s="24" t="s">
        <v>20</v>
      </c>
      <c r="F1991" s="24" t="s">
        <v>35</v>
      </c>
      <c r="G1991" s="24" t="s">
        <v>845</v>
      </c>
      <c r="H1991" s="24" t="s">
        <v>71</v>
      </c>
      <c r="I1991" s="24" t="s">
        <v>9</v>
      </c>
      <c r="J1991" s="24" t="s">
        <v>30</v>
      </c>
      <c r="K1991" s="24" t="s">
        <v>30</v>
      </c>
      <c r="L1991" s="24" t="s">
        <v>98</v>
      </c>
    </row>
    <row r="1992">
      <c r="A1992" s="24">
        <f t="shared" si="1"/>
        <v>1990</v>
      </c>
      <c r="B1992" s="24" t="s">
        <v>844</v>
      </c>
      <c r="C1992" s="275">
        <v>43198.0</v>
      </c>
      <c r="D1992" s="24" t="str">
        <f t="shared" si="151"/>
        <v>Apr-2018</v>
      </c>
      <c r="E1992" s="24" t="s">
        <v>25</v>
      </c>
      <c r="F1992" s="24" t="s">
        <v>35</v>
      </c>
      <c r="G1992" s="24" t="s">
        <v>845</v>
      </c>
      <c r="H1992" s="24" t="s">
        <v>71</v>
      </c>
      <c r="I1992" s="24" t="s">
        <v>9</v>
      </c>
      <c r="J1992" s="24" t="s">
        <v>30</v>
      </c>
      <c r="K1992" s="24"/>
      <c r="L1992" s="24" t="s">
        <v>99</v>
      </c>
    </row>
    <row r="1993">
      <c r="A1993" s="24">
        <f t="shared" si="1"/>
        <v>1991</v>
      </c>
      <c r="B1993" s="24" t="s">
        <v>844</v>
      </c>
      <c r="C1993" s="275">
        <v>43198.0</v>
      </c>
      <c r="D1993" s="24" t="str">
        <f t="shared" si="151"/>
        <v>Apr-2018</v>
      </c>
      <c r="E1993" s="24" t="s">
        <v>20</v>
      </c>
      <c r="F1993" s="24" t="s">
        <v>35</v>
      </c>
      <c r="G1993" s="24" t="s">
        <v>302</v>
      </c>
      <c r="H1993" s="24" t="s">
        <v>27</v>
      </c>
      <c r="I1993" s="24" t="s">
        <v>9</v>
      </c>
      <c r="J1993" s="24" t="s">
        <v>30</v>
      </c>
      <c r="K1993" s="24" t="s">
        <v>30</v>
      </c>
      <c r="L1993" s="24" t="s">
        <v>37</v>
      </c>
    </row>
    <row r="1994">
      <c r="A1994" s="24">
        <f t="shared" si="1"/>
        <v>1992</v>
      </c>
      <c r="B1994" s="24" t="s">
        <v>844</v>
      </c>
      <c r="C1994" s="275">
        <v>43198.0</v>
      </c>
      <c r="D1994" s="24" t="str">
        <f t="shared" si="151"/>
        <v>Apr-2018</v>
      </c>
      <c r="E1994" s="24" t="s">
        <v>25</v>
      </c>
      <c r="F1994" s="24" t="s">
        <v>35</v>
      </c>
      <c r="G1994" s="24" t="s">
        <v>302</v>
      </c>
      <c r="H1994" s="24" t="s">
        <v>27</v>
      </c>
      <c r="I1994" s="24" t="s">
        <v>9</v>
      </c>
      <c r="J1994" s="24" t="s">
        <v>24</v>
      </c>
      <c r="K1994" s="24"/>
      <c r="L1994" s="24" t="s">
        <v>99</v>
      </c>
    </row>
    <row r="1995">
      <c r="A1995" s="24">
        <f t="shared" si="1"/>
        <v>1993</v>
      </c>
      <c r="B1995" s="24" t="s">
        <v>844</v>
      </c>
      <c r="C1995" s="275">
        <v>43198.0</v>
      </c>
      <c r="D1995" s="24" t="str">
        <f t="shared" si="151"/>
        <v>Apr-2018</v>
      </c>
      <c r="E1995" s="24" t="s">
        <v>32</v>
      </c>
      <c r="F1995" s="24" t="s">
        <v>35</v>
      </c>
      <c r="G1995" s="24" t="s">
        <v>302</v>
      </c>
      <c r="H1995" s="24" t="s">
        <v>27</v>
      </c>
      <c r="I1995" s="24" t="s">
        <v>9</v>
      </c>
      <c r="J1995" s="24" t="s">
        <v>30</v>
      </c>
      <c r="K1995" s="24"/>
      <c r="L1995" s="24" t="s">
        <v>106</v>
      </c>
    </row>
    <row r="1996">
      <c r="A1996" s="24">
        <f t="shared" si="1"/>
        <v>1994</v>
      </c>
      <c r="B1996" s="24" t="s">
        <v>844</v>
      </c>
      <c r="C1996" s="275">
        <v>43198.0</v>
      </c>
      <c r="D1996" s="24" t="str">
        <f t="shared" ref="D1996:D2009" si="152">TEXT(C1988:C1996, "mmm") &amp; "-" &amp; TEXT(C1988:C1996, "yyyy") </f>
        <v>Apr-2018</v>
      </c>
      <c r="E1996" s="24" t="s">
        <v>20</v>
      </c>
      <c r="F1996" s="24" t="s">
        <v>35</v>
      </c>
      <c r="G1996" s="24" t="s">
        <v>361</v>
      </c>
      <c r="H1996" s="24" t="s">
        <v>44</v>
      </c>
      <c r="I1996" s="24" t="s">
        <v>9</v>
      </c>
      <c r="J1996" s="24" t="s">
        <v>24</v>
      </c>
      <c r="K1996" s="24" t="s">
        <v>24</v>
      </c>
      <c r="L1996" s="24" t="s">
        <v>69</v>
      </c>
    </row>
    <row r="1997">
      <c r="A1997" s="24">
        <f t="shared" si="1"/>
        <v>1995</v>
      </c>
      <c r="B1997" s="24" t="s">
        <v>844</v>
      </c>
      <c r="C1997" s="275">
        <v>43198.0</v>
      </c>
      <c r="D1997" s="24" t="str">
        <f t="shared" si="152"/>
        <v>Apr-2018</v>
      </c>
      <c r="E1997" s="24" t="s">
        <v>25</v>
      </c>
      <c r="F1997" s="24" t="s">
        <v>35</v>
      </c>
      <c r="G1997" s="24" t="s">
        <v>361</v>
      </c>
      <c r="H1997" s="24" t="s">
        <v>44</v>
      </c>
      <c r="I1997" s="24" t="s">
        <v>9</v>
      </c>
      <c r="J1997" s="24" t="s">
        <v>30</v>
      </c>
      <c r="K1997" s="24"/>
      <c r="L1997" s="24" t="s">
        <v>106</v>
      </c>
    </row>
    <row r="1998">
      <c r="A1998" s="24">
        <f t="shared" si="1"/>
        <v>1996</v>
      </c>
      <c r="B1998" s="24" t="s">
        <v>844</v>
      </c>
      <c r="C1998" s="275">
        <v>43198.0</v>
      </c>
      <c r="D1998" s="24" t="str">
        <f t="shared" si="152"/>
        <v>Apr-2018</v>
      </c>
      <c r="E1998" s="24" t="s">
        <v>32</v>
      </c>
      <c r="F1998" s="24" t="s">
        <v>35</v>
      </c>
      <c r="G1998" s="24" t="s">
        <v>361</v>
      </c>
      <c r="H1998" s="24" t="s">
        <v>44</v>
      </c>
      <c r="I1998" s="24" t="s">
        <v>9</v>
      </c>
      <c r="J1998" s="24" t="s">
        <v>24</v>
      </c>
      <c r="K1998" s="24"/>
      <c r="L1998" s="24" t="s">
        <v>99</v>
      </c>
    </row>
    <row r="1999">
      <c r="A1999" s="24">
        <f t="shared" si="1"/>
        <v>1997</v>
      </c>
      <c r="B1999" s="24" t="s">
        <v>844</v>
      </c>
      <c r="C1999" s="275">
        <v>43198.0</v>
      </c>
      <c r="D1999" s="24" t="str">
        <f t="shared" si="152"/>
        <v>Apr-2018</v>
      </c>
      <c r="E1999" s="24" t="s">
        <v>20</v>
      </c>
      <c r="F1999" s="24" t="s">
        <v>278</v>
      </c>
      <c r="G1999" s="24" t="s">
        <v>848</v>
      </c>
      <c r="H1999" s="24" t="s">
        <v>86</v>
      </c>
      <c r="I1999" s="24" t="s">
        <v>9</v>
      </c>
      <c r="J1999" s="24" t="s">
        <v>30</v>
      </c>
      <c r="K1999" s="24" t="s">
        <v>30</v>
      </c>
      <c r="L1999" s="24" t="s">
        <v>69</v>
      </c>
    </row>
    <row r="2000">
      <c r="A2000" s="24">
        <f t="shared" si="1"/>
        <v>1998</v>
      </c>
      <c r="B2000" s="24" t="s">
        <v>844</v>
      </c>
      <c r="C2000" s="275">
        <v>43198.0</v>
      </c>
      <c r="D2000" s="24" t="str">
        <f t="shared" si="152"/>
        <v>Apr-2018</v>
      </c>
      <c r="E2000" s="24" t="s">
        <v>25</v>
      </c>
      <c r="F2000" s="24" t="s">
        <v>278</v>
      </c>
      <c r="G2000" s="24" t="s">
        <v>848</v>
      </c>
      <c r="H2000" s="24" t="s">
        <v>86</v>
      </c>
      <c r="I2000" s="24" t="s">
        <v>9</v>
      </c>
      <c r="J2000" s="24" t="s">
        <v>30</v>
      </c>
      <c r="K2000" s="24"/>
      <c r="L2000" s="24" t="s">
        <v>98</v>
      </c>
    </row>
    <row r="2001">
      <c r="A2001" s="24">
        <f t="shared" si="1"/>
        <v>1999</v>
      </c>
      <c r="B2001" s="24" t="s">
        <v>844</v>
      </c>
      <c r="C2001" s="275">
        <v>43198.0</v>
      </c>
      <c r="D2001" s="24" t="str">
        <f t="shared" si="152"/>
        <v>Apr-2018</v>
      </c>
      <c r="E2001" s="24" t="s">
        <v>20</v>
      </c>
      <c r="F2001" s="24" t="s">
        <v>278</v>
      </c>
      <c r="G2001" s="24" t="s">
        <v>393</v>
      </c>
      <c r="H2001" s="24" t="s">
        <v>102</v>
      </c>
      <c r="I2001" s="24" t="s">
        <v>9</v>
      </c>
      <c r="J2001" s="24" t="s">
        <v>30</v>
      </c>
      <c r="K2001" s="24" t="s">
        <v>30</v>
      </c>
      <c r="L2001" s="24" t="s">
        <v>37</v>
      </c>
    </row>
    <row r="2002">
      <c r="A2002" s="24">
        <f t="shared" si="1"/>
        <v>2000</v>
      </c>
      <c r="B2002" s="24" t="s">
        <v>844</v>
      </c>
      <c r="C2002" s="275">
        <v>43198.0</v>
      </c>
      <c r="D2002" s="24" t="str">
        <f t="shared" si="152"/>
        <v>Apr-2018</v>
      </c>
      <c r="E2002" s="24" t="s">
        <v>25</v>
      </c>
      <c r="F2002" s="24" t="s">
        <v>278</v>
      </c>
      <c r="G2002" s="24" t="s">
        <v>393</v>
      </c>
      <c r="H2002" s="24" t="s">
        <v>102</v>
      </c>
      <c r="I2002" s="24" t="s">
        <v>9</v>
      </c>
      <c r="J2002" s="24" t="s">
        <v>30</v>
      </c>
      <c r="K2002" s="24"/>
      <c r="L2002" s="24" t="s">
        <v>99</v>
      </c>
    </row>
    <row r="2003">
      <c r="A2003" s="24">
        <f t="shared" si="1"/>
        <v>2001</v>
      </c>
      <c r="B2003" s="24" t="s">
        <v>844</v>
      </c>
      <c r="C2003" s="275">
        <v>43198.0</v>
      </c>
      <c r="D2003" s="24" t="str">
        <f t="shared" si="152"/>
        <v>Apr-2018</v>
      </c>
      <c r="E2003" s="24" t="s">
        <v>20</v>
      </c>
      <c r="F2003" s="24" t="s">
        <v>278</v>
      </c>
      <c r="G2003" s="24" t="s">
        <v>452</v>
      </c>
      <c r="H2003" s="24" t="s">
        <v>86</v>
      </c>
      <c r="I2003" s="24" t="s">
        <v>9</v>
      </c>
      <c r="J2003" s="24" t="s">
        <v>30</v>
      </c>
      <c r="K2003" s="24" t="s">
        <v>30</v>
      </c>
      <c r="L2003" s="24" t="s">
        <v>99</v>
      </c>
    </row>
    <row r="2004">
      <c r="A2004" s="24">
        <f t="shared" si="1"/>
        <v>2002</v>
      </c>
      <c r="B2004" s="24" t="s">
        <v>844</v>
      </c>
      <c r="C2004" s="275">
        <v>43198.0</v>
      </c>
      <c r="D2004" s="24" t="str">
        <f t="shared" si="152"/>
        <v>Apr-2018</v>
      </c>
      <c r="E2004" s="24" t="s">
        <v>25</v>
      </c>
      <c r="F2004" s="24" t="s">
        <v>278</v>
      </c>
      <c r="G2004" s="24" t="s">
        <v>452</v>
      </c>
      <c r="H2004" s="24" t="s">
        <v>23</v>
      </c>
      <c r="I2004" s="24" t="s">
        <v>9</v>
      </c>
      <c r="J2004" s="24" t="s">
        <v>30</v>
      </c>
      <c r="K2004" s="24"/>
      <c r="L2004" s="24" t="s">
        <v>98</v>
      </c>
    </row>
    <row r="2005">
      <c r="A2005" s="24">
        <f t="shared" si="1"/>
        <v>2003</v>
      </c>
      <c r="B2005" s="24" t="s">
        <v>844</v>
      </c>
      <c r="C2005" s="275">
        <v>43198.0</v>
      </c>
      <c r="D2005" s="24" t="str">
        <f t="shared" si="152"/>
        <v>Apr-2018</v>
      </c>
      <c r="E2005" s="24" t="s">
        <v>20</v>
      </c>
      <c r="F2005" s="24" t="s">
        <v>278</v>
      </c>
      <c r="G2005" s="24" t="s">
        <v>497</v>
      </c>
      <c r="H2005" s="24" t="s">
        <v>9</v>
      </c>
      <c r="I2005" s="24" t="s">
        <v>9</v>
      </c>
      <c r="J2005" s="24" t="s">
        <v>24</v>
      </c>
      <c r="K2005" s="24" t="s">
        <v>24</v>
      </c>
      <c r="L2005" s="24" t="s">
        <v>69</v>
      </c>
    </row>
    <row r="2006">
      <c r="A2006" s="24">
        <f t="shared" si="1"/>
        <v>2004</v>
      </c>
      <c r="B2006" s="24" t="s">
        <v>844</v>
      </c>
      <c r="C2006" s="275">
        <v>43198.0</v>
      </c>
      <c r="D2006" s="24" t="str">
        <f t="shared" si="152"/>
        <v>Apr-2018</v>
      </c>
      <c r="E2006" s="24" t="s">
        <v>25</v>
      </c>
      <c r="F2006" s="24" t="s">
        <v>278</v>
      </c>
      <c r="G2006" s="24" t="s">
        <v>497</v>
      </c>
      <c r="H2006" s="24" t="s">
        <v>9</v>
      </c>
      <c r="I2006" s="24" t="s">
        <v>9</v>
      </c>
      <c r="J2006" s="24" t="s">
        <v>24</v>
      </c>
      <c r="K2006" s="24"/>
      <c r="L2006" s="24" t="s">
        <v>99</v>
      </c>
    </row>
    <row r="2007">
      <c r="A2007" s="24">
        <f t="shared" si="1"/>
        <v>2005</v>
      </c>
      <c r="B2007" s="24" t="s">
        <v>844</v>
      </c>
      <c r="C2007" s="275">
        <v>43198.0</v>
      </c>
      <c r="D2007" s="24" t="str">
        <f t="shared" si="152"/>
        <v>Apr-2018</v>
      </c>
      <c r="E2007" s="24" t="s">
        <v>20</v>
      </c>
      <c r="F2007" s="24" t="s">
        <v>278</v>
      </c>
      <c r="G2007" s="24" t="s">
        <v>213</v>
      </c>
      <c r="H2007" s="24" t="s">
        <v>9</v>
      </c>
      <c r="I2007" s="24" t="s">
        <v>9</v>
      </c>
      <c r="J2007" s="24" t="s">
        <v>24</v>
      </c>
      <c r="K2007" s="24" t="s">
        <v>24</v>
      </c>
      <c r="L2007" s="24" t="s">
        <v>69</v>
      </c>
    </row>
    <row r="2008">
      <c r="A2008" s="24">
        <f t="shared" si="1"/>
        <v>2006</v>
      </c>
      <c r="B2008" s="24" t="s">
        <v>844</v>
      </c>
      <c r="C2008" s="275">
        <v>43198.0</v>
      </c>
      <c r="D2008" s="24" t="str">
        <f t="shared" si="152"/>
        <v>Apr-2018</v>
      </c>
      <c r="E2008" s="24" t="s">
        <v>25</v>
      </c>
      <c r="F2008" s="24" t="s">
        <v>278</v>
      </c>
      <c r="G2008" s="24" t="s">
        <v>213</v>
      </c>
      <c r="H2008" s="24" t="s">
        <v>9</v>
      </c>
      <c r="I2008" s="24" t="s">
        <v>9</v>
      </c>
      <c r="J2008" s="24" t="s">
        <v>30</v>
      </c>
      <c r="K2008" s="24"/>
      <c r="L2008" s="24" t="s">
        <v>99</v>
      </c>
    </row>
    <row r="2009">
      <c r="A2009" s="24">
        <f t="shared" si="1"/>
        <v>2007</v>
      </c>
      <c r="B2009" s="24" t="s">
        <v>844</v>
      </c>
      <c r="C2009" s="275">
        <v>43198.0</v>
      </c>
      <c r="D2009" s="24" t="str">
        <f t="shared" si="152"/>
        <v>Apr-2018</v>
      </c>
      <c r="E2009" s="24" t="s">
        <v>32</v>
      </c>
      <c r="F2009" s="24" t="s">
        <v>278</v>
      </c>
      <c r="G2009" s="24" t="s">
        <v>213</v>
      </c>
      <c r="H2009" s="24" t="s">
        <v>9</v>
      </c>
      <c r="I2009" s="24" t="s">
        <v>9</v>
      </c>
      <c r="J2009" s="24" t="s">
        <v>24</v>
      </c>
      <c r="K2009" s="24"/>
      <c r="L2009" s="24" t="s">
        <v>98</v>
      </c>
    </row>
    <row r="2010">
      <c r="A2010" s="24">
        <f t="shared" si="1"/>
        <v>2008</v>
      </c>
      <c r="B2010" s="24" t="s">
        <v>849</v>
      </c>
      <c r="C2010" s="275">
        <v>43203.0</v>
      </c>
      <c r="D2010" s="24" t="str">
        <f t="shared" ref="D2010:D2017" si="153">TEXT(C2003:C2010, "mmm") &amp; "-" &amp; TEXT(C2003:C2010, "yyyy") </f>
        <v>Apr-2018</v>
      </c>
      <c r="E2010" t="s">
        <v>20</v>
      </c>
      <c r="F2010" s="24" t="s">
        <v>850</v>
      </c>
      <c r="G2010" s="24" t="s">
        <v>219</v>
      </c>
      <c r="H2010" s="24" t="s">
        <v>97</v>
      </c>
      <c r="I2010" s="24" t="s">
        <v>9</v>
      </c>
      <c r="J2010" s="24" t="s">
        <v>30</v>
      </c>
      <c r="K2010" s="24" t="s">
        <v>24</v>
      </c>
      <c r="L2010" s="24" t="s">
        <v>98</v>
      </c>
    </row>
    <row r="2011">
      <c r="A2011" s="24">
        <f t="shared" si="1"/>
        <v>2009</v>
      </c>
      <c r="B2011" s="24" t="s">
        <v>849</v>
      </c>
      <c r="C2011" s="275">
        <v>43203.0</v>
      </c>
      <c r="D2011" s="24" t="str">
        <f t="shared" si="153"/>
        <v>Apr-2018</v>
      </c>
      <c r="E2011" t="s">
        <v>25</v>
      </c>
      <c r="F2011" s="24" t="s">
        <v>850</v>
      </c>
      <c r="G2011" s="24" t="s">
        <v>219</v>
      </c>
      <c r="H2011" s="24" t="s">
        <v>97</v>
      </c>
      <c r="I2011" s="24" t="s">
        <v>9</v>
      </c>
      <c r="J2011" s="24" t="s">
        <v>24</v>
      </c>
      <c r="K2011" s="24"/>
      <c r="L2011" s="24" t="s">
        <v>99</v>
      </c>
    </row>
    <row r="2012">
      <c r="A2012" s="24">
        <f t="shared" si="1"/>
        <v>2010</v>
      </c>
      <c r="B2012" s="24" t="s">
        <v>849</v>
      </c>
      <c r="C2012" s="275">
        <v>43203.0</v>
      </c>
      <c r="D2012" s="24" t="str">
        <f t="shared" si="153"/>
        <v>Apr-2018</v>
      </c>
      <c r="E2012" t="s">
        <v>32</v>
      </c>
      <c r="F2012" s="24" t="s">
        <v>850</v>
      </c>
      <c r="G2012" s="24" t="s">
        <v>219</v>
      </c>
      <c r="H2012" s="24" t="s">
        <v>97</v>
      </c>
      <c r="I2012" s="24" t="s">
        <v>9</v>
      </c>
      <c r="J2012" s="24" t="s">
        <v>24</v>
      </c>
      <c r="K2012" s="24"/>
      <c r="L2012" s="24" t="s">
        <v>106</v>
      </c>
    </row>
    <row r="2013">
      <c r="A2013" s="24">
        <f t="shared" si="1"/>
        <v>2011</v>
      </c>
      <c r="B2013" s="24" t="s">
        <v>849</v>
      </c>
      <c r="C2013" s="275">
        <v>43203.0</v>
      </c>
      <c r="D2013" s="24" t="str">
        <f t="shared" si="153"/>
        <v>Apr-2018</v>
      </c>
      <c r="E2013" t="s">
        <v>20</v>
      </c>
      <c r="F2013" s="24" t="s">
        <v>850</v>
      </c>
      <c r="G2013" s="24" t="s">
        <v>839</v>
      </c>
      <c r="H2013" s="24" t="s">
        <v>27</v>
      </c>
      <c r="I2013" s="24" t="s">
        <v>9</v>
      </c>
      <c r="J2013" s="24" t="s">
        <v>30</v>
      </c>
      <c r="K2013" s="24" t="s">
        <v>30</v>
      </c>
      <c r="L2013" s="24" t="s">
        <v>69</v>
      </c>
    </row>
    <row r="2014">
      <c r="A2014" s="24">
        <f t="shared" si="1"/>
        <v>2012</v>
      </c>
      <c r="B2014" s="24" t="s">
        <v>849</v>
      </c>
      <c r="C2014" s="275">
        <v>43203.0</v>
      </c>
      <c r="D2014" s="24" t="str">
        <f t="shared" si="153"/>
        <v>Apr-2018</v>
      </c>
      <c r="E2014" t="s">
        <v>25</v>
      </c>
      <c r="F2014" s="24" t="s">
        <v>850</v>
      </c>
      <c r="G2014" s="24" t="s">
        <v>839</v>
      </c>
      <c r="H2014" s="24" t="s">
        <v>27</v>
      </c>
      <c r="I2014" s="24" t="s">
        <v>9</v>
      </c>
      <c r="J2014" s="24" t="s">
        <v>30</v>
      </c>
      <c r="K2014" s="24"/>
      <c r="L2014" s="24" t="s">
        <v>99</v>
      </c>
    </row>
    <row r="2015">
      <c r="A2015" s="24">
        <f t="shared" si="1"/>
        <v>2013</v>
      </c>
      <c r="B2015" s="24" t="s">
        <v>849</v>
      </c>
      <c r="C2015" s="275">
        <v>43203.0</v>
      </c>
      <c r="D2015" s="24" t="str">
        <f t="shared" si="153"/>
        <v>Apr-2018</v>
      </c>
      <c r="E2015" t="s">
        <v>20</v>
      </c>
      <c r="F2015" s="24" t="s">
        <v>850</v>
      </c>
      <c r="G2015" s="24" t="s">
        <v>852</v>
      </c>
      <c r="H2015" s="24" t="s">
        <v>9</v>
      </c>
      <c r="I2015" s="24" t="s">
        <v>9</v>
      </c>
      <c r="J2015" s="24" t="s">
        <v>30</v>
      </c>
      <c r="K2015" s="24" t="s">
        <v>30</v>
      </c>
      <c r="L2015" s="24" t="s">
        <v>98</v>
      </c>
    </row>
    <row r="2016">
      <c r="A2016" s="24">
        <f t="shared" si="1"/>
        <v>2014</v>
      </c>
      <c r="B2016" s="24" t="s">
        <v>849</v>
      </c>
      <c r="C2016" s="275">
        <v>43203.0</v>
      </c>
      <c r="D2016" s="24" t="str">
        <f t="shared" si="153"/>
        <v>Apr-2018</v>
      </c>
      <c r="E2016" t="s">
        <v>25</v>
      </c>
      <c r="F2016" s="24" t="s">
        <v>850</v>
      </c>
      <c r="G2016" s="24" t="s">
        <v>852</v>
      </c>
      <c r="H2016" s="24" t="s">
        <v>9</v>
      </c>
      <c r="I2016" s="24" t="s">
        <v>9</v>
      </c>
      <c r="J2016" s="24" t="s">
        <v>30</v>
      </c>
      <c r="K2016" s="24"/>
      <c r="L2016" s="24" t="s">
        <v>69</v>
      </c>
    </row>
    <row r="2017">
      <c r="A2017" s="24">
        <f t="shared" si="1"/>
        <v>2015</v>
      </c>
      <c r="B2017" s="24" t="s">
        <v>849</v>
      </c>
      <c r="C2017" s="275">
        <v>43203.0</v>
      </c>
      <c r="D2017" s="24" t="str">
        <f t="shared" si="153"/>
        <v>Apr-2018</v>
      </c>
      <c r="E2017" t="s">
        <v>20</v>
      </c>
      <c r="F2017" s="24" t="s">
        <v>850</v>
      </c>
      <c r="G2017" s="24" t="s">
        <v>522</v>
      </c>
      <c r="H2017" s="24" t="s">
        <v>853</v>
      </c>
      <c r="I2017" s="24" t="s">
        <v>9</v>
      </c>
      <c r="J2017" s="24" t="s">
        <v>30</v>
      </c>
      <c r="K2017" s="24" t="s">
        <v>30</v>
      </c>
      <c r="L2017" s="24" t="s">
        <v>69</v>
      </c>
    </row>
    <row r="2018">
      <c r="A2018" s="24">
        <f t="shared" si="1"/>
        <v>2016</v>
      </c>
      <c r="B2018" s="24" t="s">
        <v>849</v>
      </c>
      <c r="C2018" s="275">
        <v>43203.0</v>
      </c>
      <c r="D2018" s="24" t="str">
        <f t="shared" ref="D2018:D2020" si="154">TEXT(C2010:C2018, "mmm") &amp; "-" &amp; TEXT(C2010:C2018, "yyyy") </f>
        <v>Apr-2018</v>
      </c>
      <c r="E2018" t="s">
        <v>25</v>
      </c>
      <c r="F2018" s="24" t="s">
        <v>850</v>
      </c>
      <c r="G2018" s="24" t="s">
        <v>522</v>
      </c>
      <c r="H2018" s="24" t="s">
        <v>853</v>
      </c>
      <c r="I2018" s="24" t="s">
        <v>86</v>
      </c>
      <c r="J2018" s="24" t="s">
        <v>30</v>
      </c>
      <c r="K2018" s="24"/>
      <c r="L2018" s="24" t="s">
        <v>37</v>
      </c>
    </row>
    <row r="2019">
      <c r="A2019" s="24">
        <f t="shared" si="1"/>
        <v>2017</v>
      </c>
      <c r="B2019" s="24" t="s">
        <v>849</v>
      </c>
      <c r="C2019" s="275">
        <v>43203.0</v>
      </c>
      <c r="D2019" s="24" t="str">
        <f t="shared" si="154"/>
        <v>Apr-2018</v>
      </c>
      <c r="E2019" t="s">
        <v>20</v>
      </c>
      <c r="F2019" s="24" t="s">
        <v>850</v>
      </c>
      <c r="G2019" s="24" t="s">
        <v>47</v>
      </c>
      <c r="H2019" s="24" t="s">
        <v>48</v>
      </c>
      <c r="I2019" s="24" t="s">
        <v>9</v>
      </c>
      <c r="J2019" s="24" t="s">
        <v>24</v>
      </c>
      <c r="K2019" s="24" t="s">
        <v>24</v>
      </c>
      <c r="L2019" s="24" t="s">
        <v>99</v>
      </c>
    </row>
    <row r="2020">
      <c r="A2020" s="24">
        <f t="shared" si="1"/>
        <v>2018</v>
      </c>
      <c r="B2020" s="24" t="s">
        <v>849</v>
      </c>
      <c r="C2020" s="275">
        <v>43203.0</v>
      </c>
      <c r="D2020" s="24" t="str">
        <f t="shared" si="154"/>
        <v>Apr-2018</v>
      </c>
      <c r="E2020" t="s">
        <v>25</v>
      </c>
      <c r="F2020" s="24" t="s">
        <v>850</v>
      </c>
      <c r="G2020" s="24" t="s">
        <v>47</v>
      </c>
      <c r="H2020" s="24" t="s">
        <v>48</v>
      </c>
      <c r="I2020" s="24" t="s">
        <v>9</v>
      </c>
      <c r="J2020" s="24" t="s">
        <v>24</v>
      </c>
      <c r="K2020" s="24"/>
      <c r="L2020" s="24" t="s">
        <v>98</v>
      </c>
    </row>
    <row r="2021">
      <c r="A2021" s="24">
        <f t="shared" si="1"/>
        <v>2019</v>
      </c>
      <c r="B2021" s="24" t="s">
        <v>854</v>
      </c>
      <c r="C2021" s="275">
        <v>43205.0</v>
      </c>
      <c r="D2021" s="24" t="str">
        <f t="shared" ref="D2021:D2028" si="155">TEXT(C2014:C2021, "mmm") &amp; "-" &amp; TEXT(C2014:C2021, "yyyy") </f>
        <v>Apr-2018</v>
      </c>
      <c r="E2021" t="s">
        <v>20</v>
      </c>
      <c r="F2021" s="24" t="s">
        <v>287</v>
      </c>
      <c r="G2021" s="24" t="s">
        <v>839</v>
      </c>
      <c r="H2021" s="24" t="s">
        <v>27</v>
      </c>
      <c r="I2021" s="24" t="s">
        <v>9</v>
      </c>
      <c r="J2021" s="24" t="s">
        <v>30</v>
      </c>
      <c r="K2021" s="24" t="s">
        <v>30</v>
      </c>
      <c r="L2021" s="24" t="s">
        <v>69</v>
      </c>
    </row>
    <row r="2022">
      <c r="A2022" s="24">
        <f t="shared" si="1"/>
        <v>2020</v>
      </c>
      <c r="B2022" s="24" t="s">
        <v>854</v>
      </c>
      <c r="C2022" s="275">
        <v>43205.0</v>
      </c>
      <c r="D2022" s="24" t="str">
        <f t="shared" si="155"/>
        <v>Apr-2018</v>
      </c>
      <c r="E2022" t="s">
        <v>25</v>
      </c>
      <c r="F2022" s="24" t="s">
        <v>287</v>
      </c>
      <c r="G2022" s="24" t="s">
        <v>839</v>
      </c>
      <c r="H2022" s="24" t="s">
        <v>27</v>
      </c>
      <c r="I2022" s="24" t="s">
        <v>9</v>
      </c>
      <c r="J2022" s="24" t="s">
        <v>30</v>
      </c>
      <c r="K2022" s="24"/>
      <c r="L2022" s="24" t="s">
        <v>106</v>
      </c>
    </row>
    <row r="2023">
      <c r="A2023" s="24">
        <f t="shared" si="1"/>
        <v>2021</v>
      </c>
      <c r="B2023" s="24" t="s">
        <v>854</v>
      </c>
      <c r="C2023" s="275">
        <v>43205.0</v>
      </c>
      <c r="D2023" s="24" t="str">
        <f t="shared" si="155"/>
        <v>Apr-2018</v>
      </c>
      <c r="E2023" t="s">
        <v>20</v>
      </c>
      <c r="F2023" s="24" t="s">
        <v>287</v>
      </c>
      <c r="G2023" s="24" t="s">
        <v>112</v>
      </c>
      <c r="H2023" s="24" t="s">
        <v>86</v>
      </c>
      <c r="I2023" s="24" t="s">
        <v>9</v>
      </c>
      <c r="J2023" s="24" t="s">
        <v>24</v>
      </c>
      <c r="K2023" s="24" t="s">
        <v>30</v>
      </c>
      <c r="L2023" s="24" t="s">
        <v>69</v>
      </c>
    </row>
    <row r="2024">
      <c r="A2024" s="24">
        <f t="shared" si="1"/>
        <v>2022</v>
      </c>
      <c r="B2024" s="24" t="s">
        <v>854</v>
      </c>
      <c r="C2024" s="275">
        <v>43205.0</v>
      </c>
      <c r="D2024" s="24" t="str">
        <f t="shared" si="155"/>
        <v>Apr-2018</v>
      </c>
      <c r="E2024" t="s">
        <v>25</v>
      </c>
      <c r="F2024" s="24" t="s">
        <v>287</v>
      </c>
      <c r="G2024" s="24" t="s">
        <v>112</v>
      </c>
      <c r="H2024" s="24" t="s">
        <v>86</v>
      </c>
      <c r="I2024" s="24" t="s">
        <v>9</v>
      </c>
      <c r="J2024" s="24" t="s">
        <v>30</v>
      </c>
      <c r="K2024" s="24"/>
      <c r="L2024" s="24" t="s">
        <v>29</v>
      </c>
    </row>
    <row r="2025">
      <c r="A2025" s="24">
        <f t="shared" si="1"/>
        <v>2023</v>
      </c>
      <c r="B2025" s="24" t="s">
        <v>854</v>
      </c>
      <c r="C2025" s="275">
        <v>43205.0</v>
      </c>
      <c r="D2025" s="24" t="str">
        <f t="shared" si="155"/>
        <v>Apr-2018</v>
      </c>
      <c r="E2025" t="s">
        <v>32</v>
      </c>
      <c r="F2025" s="24" t="s">
        <v>287</v>
      </c>
      <c r="G2025" s="24" t="s">
        <v>112</v>
      </c>
      <c r="H2025" s="24" t="s">
        <v>86</v>
      </c>
      <c r="I2025" s="24" t="s">
        <v>9</v>
      </c>
      <c r="J2025" s="24" t="s">
        <v>30</v>
      </c>
      <c r="K2025" s="24"/>
      <c r="L2025" s="24" t="s">
        <v>98</v>
      </c>
    </row>
    <row r="2026">
      <c r="A2026" s="24">
        <f t="shared" si="1"/>
        <v>2024</v>
      </c>
      <c r="B2026" s="24" t="s">
        <v>854</v>
      </c>
      <c r="C2026" s="275">
        <v>43205.0</v>
      </c>
      <c r="D2026" s="24" t="str">
        <f t="shared" si="155"/>
        <v>Apr-2018</v>
      </c>
      <c r="E2026" t="s">
        <v>20</v>
      </c>
      <c r="F2026" s="24" t="s">
        <v>287</v>
      </c>
      <c r="G2026" s="24" t="s">
        <v>325</v>
      </c>
      <c r="H2026" s="24" t="s">
        <v>86</v>
      </c>
      <c r="I2026" s="24" t="s">
        <v>9</v>
      </c>
      <c r="J2026" s="24" t="s">
        <v>30</v>
      </c>
      <c r="K2026" s="24" t="s">
        <v>30</v>
      </c>
      <c r="L2026" s="24" t="s">
        <v>69</v>
      </c>
    </row>
    <row r="2027">
      <c r="A2027" s="24">
        <f t="shared" si="1"/>
        <v>2025</v>
      </c>
      <c r="B2027" s="24" t="s">
        <v>854</v>
      </c>
      <c r="C2027" s="275">
        <v>43205.0</v>
      </c>
      <c r="D2027" s="24" t="str">
        <f t="shared" si="155"/>
        <v>Apr-2018</v>
      </c>
      <c r="E2027" t="s">
        <v>25</v>
      </c>
      <c r="F2027" s="24" t="s">
        <v>287</v>
      </c>
      <c r="G2027" s="24" t="s">
        <v>325</v>
      </c>
      <c r="H2027" s="24" t="s">
        <v>86</v>
      </c>
      <c r="I2027" s="24" t="s">
        <v>9</v>
      </c>
      <c r="J2027" s="24" t="s">
        <v>24</v>
      </c>
      <c r="K2027" s="24"/>
      <c r="L2027" s="24" t="s">
        <v>106</v>
      </c>
    </row>
    <row r="2028">
      <c r="A2028" s="24">
        <f t="shared" si="1"/>
        <v>2026</v>
      </c>
      <c r="B2028" s="24" t="s">
        <v>854</v>
      </c>
      <c r="C2028" s="275">
        <v>43205.0</v>
      </c>
      <c r="D2028" s="24" t="str">
        <f t="shared" si="155"/>
        <v>Apr-2018</v>
      </c>
      <c r="E2028" t="s">
        <v>32</v>
      </c>
      <c r="F2028" s="24" t="s">
        <v>287</v>
      </c>
      <c r="G2028" s="24" t="s">
        <v>325</v>
      </c>
      <c r="H2028" s="24" t="s">
        <v>86</v>
      </c>
      <c r="I2028" s="24" t="s">
        <v>9</v>
      </c>
      <c r="J2028" s="24" t="s">
        <v>30</v>
      </c>
      <c r="K2028" s="24"/>
      <c r="L2028" s="24" t="s">
        <v>99</v>
      </c>
    </row>
    <row r="2029">
      <c r="A2029" s="24">
        <f t="shared" si="1"/>
        <v>2027</v>
      </c>
      <c r="B2029" s="24" t="s">
        <v>854</v>
      </c>
      <c r="C2029" s="275">
        <v>43205.0</v>
      </c>
      <c r="D2029" s="24" t="str">
        <f t="shared" ref="D2029:D2063" si="156">TEXT(C2021:C2029, "mmm") &amp; "-" &amp; TEXT(C2021:C2029, "yyyy") </f>
        <v>Apr-2018</v>
      </c>
      <c r="E2029" t="s">
        <v>20</v>
      </c>
      <c r="F2029" s="24" t="s">
        <v>287</v>
      </c>
      <c r="G2029" s="24" t="s">
        <v>194</v>
      </c>
      <c r="H2029" s="24" t="s">
        <v>27</v>
      </c>
      <c r="I2029" s="24" t="s">
        <v>9</v>
      </c>
      <c r="J2029" s="24" t="s">
        <v>30</v>
      </c>
      <c r="K2029" s="24" t="s">
        <v>24</v>
      </c>
      <c r="L2029" s="24" t="s">
        <v>69</v>
      </c>
    </row>
    <row r="2030">
      <c r="A2030" s="24">
        <f t="shared" si="1"/>
        <v>2028</v>
      </c>
      <c r="B2030" s="24" t="s">
        <v>854</v>
      </c>
      <c r="C2030" s="275">
        <v>43205.0</v>
      </c>
      <c r="D2030" s="24" t="str">
        <f t="shared" si="156"/>
        <v>Apr-2018</v>
      </c>
      <c r="E2030" t="s">
        <v>25</v>
      </c>
      <c r="F2030" s="24" t="s">
        <v>287</v>
      </c>
      <c r="G2030" s="24" t="s">
        <v>194</v>
      </c>
      <c r="H2030" s="24" t="s">
        <v>23</v>
      </c>
      <c r="I2030" s="24" t="s">
        <v>9</v>
      </c>
      <c r="J2030" s="24" t="s">
        <v>24</v>
      </c>
      <c r="K2030" s="24"/>
      <c r="L2030" s="24" t="s">
        <v>98</v>
      </c>
    </row>
    <row r="2031">
      <c r="A2031" s="24">
        <f t="shared" si="1"/>
        <v>2029</v>
      </c>
      <c r="B2031" s="24" t="s">
        <v>854</v>
      </c>
      <c r="C2031" s="275">
        <v>43205.0</v>
      </c>
      <c r="D2031" s="24" t="str">
        <f t="shared" si="156"/>
        <v>Apr-2018</v>
      </c>
      <c r="E2031" t="s">
        <v>32</v>
      </c>
      <c r="F2031" s="24" t="s">
        <v>287</v>
      </c>
      <c r="G2031" s="24" t="s">
        <v>194</v>
      </c>
      <c r="H2031" s="24" t="s">
        <v>23</v>
      </c>
      <c r="I2031" s="24" t="s">
        <v>9</v>
      </c>
      <c r="J2031" s="24" t="s">
        <v>24</v>
      </c>
      <c r="K2031" s="24"/>
      <c r="L2031" s="24" t="s">
        <v>106</v>
      </c>
    </row>
    <row r="2032">
      <c r="A2032" s="24">
        <f t="shared" si="1"/>
        <v>2030</v>
      </c>
      <c r="B2032" s="24" t="s">
        <v>854</v>
      </c>
      <c r="C2032" s="275">
        <v>43205.0</v>
      </c>
      <c r="D2032" s="24" t="str">
        <f t="shared" si="156"/>
        <v>Apr-2018</v>
      </c>
      <c r="E2032" t="s">
        <v>20</v>
      </c>
      <c r="F2032" s="24" t="s">
        <v>287</v>
      </c>
      <c r="G2032" s="24" t="s">
        <v>442</v>
      </c>
      <c r="H2032" s="24" t="s">
        <v>27</v>
      </c>
      <c r="I2032" s="24" t="s">
        <v>9</v>
      </c>
      <c r="J2032" s="24" t="s">
        <v>24</v>
      </c>
      <c r="K2032" s="24" t="s">
        <v>24</v>
      </c>
      <c r="L2032" s="24" t="s">
        <v>69</v>
      </c>
    </row>
    <row r="2033">
      <c r="A2033" s="24">
        <f t="shared" si="1"/>
        <v>2031</v>
      </c>
      <c r="B2033" s="24" t="s">
        <v>854</v>
      </c>
      <c r="C2033" s="275">
        <v>43205.0</v>
      </c>
      <c r="D2033" s="24" t="str">
        <f t="shared" si="156"/>
        <v>Apr-2018</v>
      </c>
      <c r="E2033" t="s">
        <v>25</v>
      </c>
      <c r="F2033" s="24" t="s">
        <v>287</v>
      </c>
      <c r="G2033" s="24" t="s">
        <v>442</v>
      </c>
      <c r="H2033" s="24" t="s">
        <v>27</v>
      </c>
      <c r="I2033" s="24" t="s">
        <v>9</v>
      </c>
      <c r="J2033" s="24" t="s">
        <v>24</v>
      </c>
      <c r="K2033" s="24"/>
      <c r="L2033" s="24" t="s">
        <v>106</v>
      </c>
    </row>
    <row r="2034">
      <c r="A2034" s="24">
        <f t="shared" si="1"/>
        <v>2032</v>
      </c>
      <c r="B2034" s="24" t="s">
        <v>854</v>
      </c>
      <c r="C2034" s="275">
        <v>43205.0</v>
      </c>
      <c r="D2034" s="24" t="str">
        <f t="shared" si="156"/>
        <v>Apr-2018</v>
      </c>
      <c r="E2034" t="s">
        <v>20</v>
      </c>
      <c r="F2034" s="24" t="s">
        <v>287</v>
      </c>
      <c r="G2034" s="24" t="s">
        <v>861</v>
      </c>
      <c r="H2034" s="24" t="s">
        <v>64</v>
      </c>
      <c r="I2034" s="24" t="s">
        <v>9</v>
      </c>
      <c r="J2034" s="24" t="s">
        <v>30</v>
      </c>
      <c r="K2034" s="24" t="s">
        <v>30</v>
      </c>
      <c r="L2034" s="24" t="s">
        <v>98</v>
      </c>
    </row>
    <row r="2035">
      <c r="A2035" s="24">
        <f t="shared" si="1"/>
        <v>2033</v>
      </c>
      <c r="B2035" s="24" t="s">
        <v>854</v>
      </c>
      <c r="C2035" s="275">
        <v>43205.0</v>
      </c>
      <c r="D2035" s="24" t="str">
        <f t="shared" si="156"/>
        <v>Apr-2018</v>
      </c>
      <c r="E2035" t="s">
        <v>25</v>
      </c>
      <c r="F2035" s="24" t="s">
        <v>287</v>
      </c>
      <c r="G2035" s="24" t="s">
        <v>861</v>
      </c>
      <c r="H2035" s="24" t="s">
        <v>64</v>
      </c>
      <c r="I2035" s="24" t="s">
        <v>9</v>
      </c>
      <c r="J2035" s="24" t="s">
        <v>30</v>
      </c>
      <c r="K2035" s="24"/>
      <c r="L2035" s="24" t="s">
        <v>98</v>
      </c>
    </row>
    <row r="2036">
      <c r="A2036" s="24">
        <f t="shared" si="1"/>
        <v>2034</v>
      </c>
      <c r="B2036" s="24" t="s">
        <v>854</v>
      </c>
      <c r="C2036" s="275">
        <v>43205.0</v>
      </c>
      <c r="D2036" s="24" t="str">
        <f t="shared" si="156"/>
        <v>Apr-2018</v>
      </c>
      <c r="E2036" t="s">
        <v>20</v>
      </c>
      <c r="F2036" s="24" t="s">
        <v>287</v>
      </c>
      <c r="G2036" s="24" t="s">
        <v>533</v>
      </c>
      <c r="H2036" s="24" t="s">
        <v>216</v>
      </c>
      <c r="I2036" s="24" t="s">
        <v>9</v>
      </c>
      <c r="J2036" s="24" t="s">
        <v>30</v>
      </c>
      <c r="K2036" s="24" t="s">
        <v>30</v>
      </c>
      <c r="L2036" s="24" t="s">
        <v>37</v>
      </c>
    </row>
    <row r="2037">
      <c r="A2037" s="24">
        <f t="shared" si="1"/>
        <v>2035</v>
      </c>
      <c r="B2037" s="24" t="s">
        <v>854</v>
      </c>
      <c r="C2037" s="275">
        <v>43205.0</v>
      </c>
      <c r="D2037" s="24" t="str">
        <f t="shared" si="156"/>
        <v>Apr-2018</v>
      </c>
      <c r="E2037" t="s">
        <v>25</v>
      </c>
      <c r="F2037" s="24" t="s">
        <v>287</v>
      </c>
      <c r="G2037" s="24" t="s">
        <v>533</v>
      </c>
      <c r="H2037" s="24" t="s">
        <v>216</v>
      </c>
      <c r="I2037" s="24" t="s">
        <v>9</v>
      </c>
      <c r="J2037" s="24" t="s">
        <v>30</v>
      </c>
      <c r="K2037" s="24"/>
      <c r="L2037" s="24" t="s">
        <v>99</v>
      </c>
    </row>
    <row r="2038">
      <c r="A2038" s="24">
        <f t="shared" si="1"/>
        <v>2036</v>
      </c>
      <c r="B2038" s="24" t="s">
        <v>854</v>
      </c>
      <c r="C2038" s="275">
        <v>43205.0</v>
      </c>
      <c r="D2038" s="24" t="str">
        <f t="shared" si="156"/>
        <v>Apr-2018</v>
      </c>
      <c r="E2038" t="s">
        <v>20</v>
      </c>
      <c r="F2038" s="24" t="s">
        <v>862</v>
      </c>
      <c r="G2038" s="24" t="s">
        <v>863</v>
      </c>
      <c r="H2038" s="24" t="s">
        <v>140</v>
      </c>
      <c r="I2038" s="24" t="s">
        <v>9</v>
      </c>
      <c r="J2038" s="24" t="s">
        <v>30</v>
      </c>
      <c r="K2038" s="24" t="s">
        <v>30</v>
      </c>
      <c r="L2038" s="24" t="s">
        <v>69</v>
      </c>
    </row>
    <row r="2039">
      <c r="A2039" s="24">
        <f t="shared" si="1"/>
        <v>2037</v>
      </c>
      <c r="B2039" s="24" t="s">
        <v>854</v>
      </c>
      <c r="C2039" s="275">
        <v>43205.0</v>
      </c>
      <c r="D2039" s="24" t="str">
        <f t="shared" si="156"/>
        <v>Apr-2018</v>
      </c>
      <c r="E2039" t="s">
        <v>25</v>
      </c>
      <c r="F2039" s="24" t="s">
        <v>862</v>
      </c>
      <c r="G2039" s="24" t="s">
        <v>863</v>
      </c>
      <c r="H2039" s="24" t="s">
        <v>140</v>
      </c>
      <c r="I2039" s="24" t="s">
        <v>9</v>
      </c>
      <c r="J2039" s="24" t="s">
        <v>30</v>
      </c>
      <c r="K2039" s="24"/>
      <c r="L2039" s="24" t="s">
        <v>106</v>
      </c>
    </row>
    <row r="2040">
      <c r="A2040" s="24">
        <f t="shared" si="1"/>
        <v>2038</v>
      </c>
      <c r="B2040" s="24" t="s">
        <v>854</v>
      </c>
      <c r="C2040" s="275">
        <v>43205.0</v>
      </c>
      <c r="D2040" s="24" t="str">
        <f t="shared" si="156"/>
        <v>Apr-2018</v>
      </c>
      <c r="E2040" t="s">
        <v>20</v>
      </c>
      <c r="F2040" s="24" t="s">
        <v>862</v>
      </c>
      <c r="G2040" s="24" t="s">
        <v>839</v>
      </c>
      <c r="H2040" s="24" t="s">
        <v>27</v>
      </c>
      <c r="I2040" s="24" t="s">
        <v>9</v>
      </c>
      <c r="J2040" s="24" t="s">
        <v>30</v>
      </c>
      <c r="K2040" s="24" t="s">
        <v>30</v>
      </c>
      <c r="L2040" s="24" t="s">
        <v>69</v>
      </c>
    </row>
    <row r="2041">
      <c r="A2041" s="24">
        <f t="shared" si="1"/>
        <v>2039</v>
      </c>
      <c r="B2041" s="24" t="s">
        <v>854</v>
      </c>
      <c r="C2041" s="275">
        <v>43205.0</v>
      </c>
      <c r="D2041" s="24" t="str">
        <f t="shared" si="156"/>
        <v>Apr-2018</v>
      </c>
      <c r="E2041" t="s">
        <v>25</v>
      </c>
      <c r="F2041" s="24" t="s">
        <v>862</v>
      </c>
      <c r="G2041" s="24" t="s">
        <v>839</v>
      </c>
      <c r="H2041" s="24" t="s">
        <v>27</v>
      </c>
      <c r="I2041" s="24" t="s">
        <v>9</v>
      </c>
      <c r="J2041" s="24" t="s">
        <v>30</v>
      </c>
      <c r="K2041" s="24"/>
      <c r="L2041" s="24" t="s">
        <v>106</v>
      </c>
    </row>
    <row r="2042">
      <c r="A2042" s="24">
        <f t="shared" si="1"/>
        <v>2040</v>
      </c>
      <c r="B2042" s="24" t="s">
        <v>854</v>
      </c>
      <c r="C2042" s="275">
        <v>43205.0</v>
      </c>
      <c r="D2042" s="24" t="str">
        <f t="shared" si="156"/>
        <v>Apr-2018</v>
      </c>
      <c r="E2042" t="s">
        <v>20</v>
      </c>
      <c r="F2042" s="24" t="s">
        <v>862</v>
      </c>
      <c r="G2042" s="24" t="s">
        <v>663</v>
      </c>
      <c r="H2042" s="24" t="s">
        <v>27</v>
      </c>
      <c r="I2042" s="24" t="s">
        <v>9</v>
      </c>
      <c r="J2042" s="24" t="s">
        <v>30</v>
      </c>
      <c r="K2042" s="24" t="s">
        <v>30</v>
      </c>
      <c r="L2042" s="24" t="s">
        <v>69</v>
      </c>
    </row>
    <row r="2043">
      <c r="A2043" s="24">
        <f t="shared" si="1"/>
        <v>2041</v>
      </c>
      <c r="B2043" s="24" t="s">
        <v>854</v>
      </c>
      <c r="C2043" s="275">
        <v>43205.0</v>
      </c>
      <c r="D2043" s="24" t="str">
        <f t="shared" si="156"/>
        <v>Apr-2018</v>
      </c>
      <c r="E2043" t="s">
        <v>25</v>
      </c>
      <c r="F2043" s="24" t="s">
        <v>862</v>
      </c>
      <c r="G2043" s="24" t="s">
        <v>663</v>
      </c>
      <c r="H2043" s="24" t="s">
        <v>27</v>
      </c>
      <c r="I2043" s="24" t="s">
        <v>9</v>
      </c>
      <c r="J2043" s="24" t="s">
        <v>30</v>
      </c>
      <c r="K2043" s="24"/>
      <c r="L2043" s="24" t="s">
        <v>99</v>
      </c>
    </row>
    <row r="2044">
      <c r="A2044" s="24">
        <f t="shared" si="1"/>
        <v>2042</v>
      </c>
      <c r="B2044" s="24" t="s">
        <v>854</v>
      </c>
      <c r="C2044" s="275">
        <v>43205.0</v>
      </c>
      <c r="D2044" s="24" t="str">
        <f t="shared" si="156"/>
        <v>Apr-2018</v>
      </c>
      <c r="E2044" t="s">
        <v>20</v>
      </c>
      <c r="F2044" s="24" t="s">
        <v>862</v>
      </c>
      <c r="G2044" s="24" t="s">
        <v>655</v>
      </c>
      <c r="H2044" s="24" t="s">
        <v>86</v>
      </c>
      <c r="I2044" s="24" t="s">
        <v>9</v>
      </c>
      <c r="J2044" s="24" t="s">
        <v>24</v>
      </c>
      <c r="K2044" s="24" t="s">
        <v>24</v>
      </c>
      <c r="L2044" s="24" t="s">
        <v>99</v>
      </c>
    </row>
    <row r="2045">
      <c r="A2045" s="24">
        <f t="shared" si="1"/>
        <v>2043</v>
      </c>
      <c r="B2045" s="24" t="s">
        <v>854</v>
      </c>
      <c r="C2045" s="275">
        <v>43205.0</v>
      </c>
      <c r="D2045" s="24" t="str">
        <f t="shared" si="156"/>
        <v>Apr-2018</v>
      </c>
      <c r="E2045" t="s">
        <v>25</v>
      </c>
      <c r="F2045" s="24" t="s">
        <v>862</v>
      </c>
      <c r="G2045" s="24" t="s">
        <v>655</v>
      </c>
      <c r="H2045" s="24" t="s">
        <v>86</v>
      </c>
      <c r="I2045" s="24" t="s">
        <v>9</v>
      </c>
      <c r="J2045" s="24" t="s">
        <v>24</v>
      </c>
      <c r="K2045" s="24"/>
      <c r="L2045" s="24" t="s">
        <v>69</v>
      </c>
    </row>
    <row r="2046">
      <c r="A2046" s="24">
        <f t="shared" si="1"/>
        <v>2044</v>
      </c>
      <c r="B2046" s="24" t="s">
        <v>854</v>
      </c>
      <c r="C2046" s="275">
        <v>43205.0</v>
      </c>
      <c r="D2046" s="24" t="str">
        <f t="shared" si="156"/>
        <v>Apr-2018</v>
      </c>
      <c r="E2046" t="s">
        <v>20</v>
      </c>
      <c r="F2046" s="24" t="s">
        <v>862</v>
      </c>
      <c r="G2046" s="24" t="s">
        <v>836</v>
      </c>
      <c r="H2046" s="24" t="s">
        <v>216</v>
      </c>
      <c r="I2046" s="24" t="s">
        <v>9</v>
      </c>
      <c r="J2046" s="24" t="s">
        <v>24</v>
      </c>
      <c r="K2046" s="24" t="s">
        <v>30</v>
      </c>
      <c r="L2046" s="24" t="s">
        <v>37</v>
      </c>
    </row>
    <row r="2047">
      <c r="A2047" s="24">
        <f t="shared" si="1"/>
        <v>2045</v>
      </c>
      <c r="B2047" s="24" t="s">
        <v>854</v>
      </c>
      <c r="C2047" s="275">
        <v>43205.0</v>
      </c>
      <c r="D2047" s="24" t="str">
        <f t="shared" si="156"/>
        <v>Apr-2018</v>
      </c>
      <c r="E2047" t="s">
        <v>25</v>
      </c>
      <c r="F2047" s="24" t="s">
        <v>862</v>
      </c>
      <c r="G2047" s="24" t="s">
        <v>836</v>
      </c>
      <c r="H2047" s="24" t="s">
        <v>216</v>
      </c>
      <c r="I2047" s="24" t="s">
        <v>9</v>
      </c>
      <c r="J2047" s="24" t="s">
        <v>30</v>
      </c>
      <c r="K2047" s="24"/>
      <c r="L2047" s="24" t="s">
        <v>98</v>
      </c>
    </row>
    <row r="2048">
      <c r="A2048" s="24">
        <f t="shared" si="1"/>
        <v>2046</v>
      </c>
      <c r="B2048" s="24" t="s">
        <v>854</v>
      </c>
      <c r="C2048" s="275">
        <v>43205.0</v>
      </c>
      <c r="D2048" s="24" t="str">
        <f t="shared" si="156"/>
        <v>Apr-2018</v>
      </c>
      <c r="E2048" t="s">
        <v>32</v>
      </c>
      <c r="F2048" s="24" t="s">
        <v>862</v>
      </c>
      <c r="G2048" s="24" t="s">
        <v>836</v>
      </c>
      <c r="H2048" s="24" t="s">
        <v>216</v>
      </c>
      <c r="I2048" s="24" t="s">
        <v>9</v>
      </c>
      <c r="J2048" s="24" t="s">
        <v>30</v>
      </c>
      <c r="K2048" s="24"/>
      <c r="L2048" s="24" t="s">
        <v>106</v>
      </c>
    </row>
    <row r="2049">
      <c r="A2049" s="24">
        <f t="shared" si="1"/>
        <v>2047</v>
      </c>
      <c r="B2049" s="24" t="s">
        <v>854</v>
      </c>
      <c r="C2049" s="275">
        <v>43205.0</v>
      </c>
      <c r="D2049" s="24" t="str">
        <f t="shared" si="156"/>
        <v>Apr-2018</v>
      </c>
      <c r="E2049" t="s">
        <v>20</v>
      </c>
      <c r="F2049" s="24" t="s">
        <v>862</v>
      </c>
      <c r="G2049" s="24" t="s">
        <v>663</v>
      </c>
      <c r="H2049" s="24" t="s">
        <v>27</v>
      </c>
      <c r="I2049" s="24" t="s">
        <v>9</v>
      </c>
      <c r="J2049" s="24" t="s">
        <v>30</v>
      </c>
      <c r="K2049" s="24" t="s">
        <v>30</v>
      </c>
      <c r="L2049" s="24" t="s">
        <v>69</v>
      </c>
    </row>
    <row r="2050">
      <c r="A2050" s="24">
        <f t="shared" si="1"/>
        <v>2048</v>
      </c>
      <c r="B2050" s="24" t="s">
        <v>854</v>
      </c>
      <c r="C2050" s="275">
        <v>43205.0</v>
      </c>
      <c r="D2050" s="24" t="str">
        <f t="shared" si="156"/>
        <v>Apr-2018</v>
      </c>
      <c r="E2050" t="s">
        <v>25</v>
      </c>
      <c r="F2050" s="24" t="s">
        <v>862</v>
      </c>
      <c r="G2050" s="24" t="s">
        <v>663</v>
      </c>
      <c r="H2050" s="24" t="s">
        <v>9</v>
      </c>
      <c r="I2050" s="24" t="s">
        <v>9</v>
      </c>
      <c r="J2050" s="24" t="s">
        <v>30</v>
      </c>
      <c r="K2050" s="24"/>
      <c r="L2050" s="24" t="s">
        <v>98</v>
      </c>
    </row>
    <row r="2051">
      <c r="A2051" s="24">
        <f t="shared" si="1"/>
        <v>2049</v>
      </c>
      <c r="B2051" s="24" t="s">
        <v>854</v>
      </c>
      <c r="C2051" s="275">
        <v>43205.0</v>
      </c>
      <c r="D2051" s="24" t="str">
        <f t="shared" si="156"/>
        <v>Apr-2018</v>
      </c>
      <c r="E2051" t="s">
        <v>146</v>
      </c>
      <c r="F2051" s="24" t="s">
        <v>862</v>
      </c>
      <c r="G2051" s="24" t="s">
        <v>655</v>
      </c>
      <c r="H2051" s="24" t="s">
        <v>86</v>
      </c>
      <c r="I2051" s="24" t="s">
        <v>9</v>
      </c>
      <c r="J2051" s="24" t="s">
        <v>30</v>
      </c>
      <c r="K2051" s="24" t="s">
        <v>30</v>
      </c>
      <c r="L2051" s="24" t="s">
        <v>99</v>
      </c>
    </row>
    <row r="2052">
      <c r="A2052" s="24">
        <f t="shared" si="1"/>
        <v>2050</v>
      </c>
      <c r="B2052" s="24" t="s">
        <v>854</v>
      </c>
      <c r="C2052" s="275">
        <v>43205.0</v>
      </c>
      <c r="D2052" s="24" t="str">
        <f t="shared" si="156"/>
        <v>Apr-2018</v>
      </c>
      <c r="E2052" t="s">
        <v>149</v>
      </c>
      <c r="F2052" s="24" t="s">
        <v>862</v>
      </c>
      <c r="G2052" s="24" t="s">
        <v>655</v>
      </c>
      <c r="H2052" s="24" t="s">
        <v>86</v>
      </c>
      <c r="I2052" s="24" t="s">
        <v>9</v>
      </c>
      <c r="J2052" s="24" t="s">
        <v>30</v>
      </c>
      <c r="K2052" s="24"/>
      <c r="L2052" s="24" t="s">
        <v>37</v>
      </c>
    </row>
    <row r="2053">
      <c r="A2053" s="24">
        <f t="shared" si="1"/>
        <v>2051</v>
      </c>
      <c r="B2053" s="24" t="s">
        <v>854</v>
      </c>
      <c r="C2053" s="275">
        <v>43205.0</v>
      </c>
      <c r="D2053" s="24" t="str">
        <f t="shared" si="156"/>
        <v>Apr-2018</v>
      </c>
      <c r="E2053" t="s">
        <v>222</v>
      </c>
      <c r="F2053" s="24" t="s">
        <v>862</v>
      </c>
      <c r="G2053" s="24" t="s">
        <v>655</v>
      </c>
      <c r="H2053" s="24" t="s">
        <v>86</v>
      </c>
      <c r="I2053" s="24" t="s">
        <v>9</v>
      </c>
      <c r="J2053" s="24" t="s">
        <v>24</v>
      </c>
      <c r="K2053" s="24"/>
      <c r="L2053" s="24" t="s">
        <v>98</v>
      </c>
    </row>
    <row r="2054">
      <c r="A2054" s="24">
        <f t="shared" si="1"/>
        <v>2052</v>
      </c>
      <c r="B2054" s="24" t="s">
        <v>854</v>
      </c>
      <c r="C2054" s="275">
        <v>43205.0</v>
      </c>
      <c r="D2054" s="24" t="str">
        <f t="shared" si="156"/>
        <v>Apr-2018</v>
      </c>
      <c r="E2054" t="s">
        <v>467</v>
      </c>
      <c r="F2054" s="24" t="s">
        <v>862</v>
      </c>
      <c r="G2054" s="24" t="s">
        <v>655</v>
      </c>
      <c r="H2054" s="24" t="s">
        <v>86</v>
      </c>
      <c r="I2054" s="24" t="s">
        <v>9</v>
      </c>
      <c r="J2054" s="24" t="s">
        <v>30</v>
      </c>
      <c r="K2054" s="24"/>
      <c r="L2054" s="24" t="s">
        <v>29</v>
      </c>
    </row>
    <row r="2055">
      <c r="A2055" s="24">
        <f t="shared" si="1"/>
        <v>2053</v>
      </c>
      <c r="B2055" s="24" t="s">
        <v>854</v>
      </c>
      <c r="C2055" s="275">
        <v>43205.0</v>
      </c>
      <c r="D2055" s="24" t="str">
        <f t="shared" si="156"/>
        <v>Apr-2018</v>
      </c>
      <c r="E2055" t="s">
        <v>146</v>
      </c>
      <c r="F2055" s="24" t="s">
        <v>862</v>
      </c>
      <c r="G2055" s="24" t="s">
        <v>100</v>
      </c>
      <c r="H2055" s="24" t="s">
        <v>9</v>
      </c>
      <c r="I2055" s="24" t="s">
        <v>9</v>
      </c>
      <c r="J2055" s="24" t="s">
        <v>24</v>
      </c>
      <c r="K2055" s="24" t="s">
        <v>30</v>
      </c>
      <c r="L2055" s="24" t="s">
        <v>69</v>
      </c>
    </row>
    <row r="2056">
      <c r="A2056" s="24">
        <f t="shared" si="1"/>
        <v>2054</v>
      </c>
      <c r="B2056" s="24" t="s">
        <v>854</v>
      </c>
      <c r="C2056" s="275">
        <v>43205.0</v>
      </c>
      <c r="D2056" s="24" t="str">
        <f t="shared" si="156"/>
        <v>Apr-2018</v>
      </c>
      <c r="E2056" t="s">
        <v>149</v>
      </c>
      <c r="F2056" s="24" t="s">
        <v>862</v>
      </c>
      <c r="G2056" s="24" t="s">
        <v>100</v>
      </c>
      <c r="H2056" s="24" t="s">
        <v>9</v>
      </c>
      <c r="I2056" s="24" t="s">
        <v>9</v>
      </c>
      <c r="J2056" s="24" t="s">
        <v>30</v>
      </c>
      <c r="K2056" s="24"/>
      <c r="L2056" s="24" t="s">
        <v>99</v>
      </c>
    </row>
    <row r="2057">
      <c r="A2057" s="24">
        <f t="shared" si="1"/>
        <v>2055</v>
      </c>
      <c r="B2057" s="24" t="s">
        <v>854</v>
      </c>
      <c r="C2057" s="275">
        <v>43205.0</v>
      </c>
      <c r="D2057" s="24" t="str">
        <f t="shared" si="156"/>
        <v>Apr-2018</v>
      </c>
      <c r="E2057" t="s">
        <v>222</v>
      </c>
      <c r="F2057" s="24" t="s">
        <v>862</v>
      </c>
      <c r="G2057" s="24" t="s">
        <v>100</v>
      </c>
      <c r="H2057" s="24" t="s">
        <v>9</v>
      </c>
      <c r="I2057" s="24" t="s">
        <v>9</v>
      </c>
      <c r="J2057" s="24" t="s">
        <v>30</v>
      </c>
      <c r="K2057" s="24"/>
      <c r="L2057" s="24" t="s">
        <v>98</v>
      </c>
    </row>
    <row r="2058">
      <c r="A2058" s="24">
        <f t="shared" si="1"/>
        <v>2056</v>
      </c>
      <c r="B2058" s="24" t="s">
        <v>854</v>
      </c>
      <c r="C2058" s="275">
        <v>43205.0</v>
      </c>
      <c r="D2058" s="24" t="str">
        <f t="shared" si="156"/>
        <v>Apr-2018</v>
      </c>
      <c r="E2058" t="s">
        <v>467</v>
      </c>
      <c r="F2058" s="24" t="s">
        <v>862</v>
      </c>
      <c r="G2058" s="24" t="s">
        <v>100</v>
      </c>
      <c r="H2058" s="24" t="s">
        <v>9</v>
      </c>
      <c r="I2058" s="24" t="s">
        <v>9</v>
      </c>
      <c r="J2058" s="24" t="s">
        <v>30</v>
      </c>
      <c r="K2058" s="24"/>
      <c r="L2058" s="24" t="s">
        <v>98</v>
      </c>
    </row>
    <row r="2059">
      <c r="A2059" s="24">
        <f t="shared" si="1"/>
        <v>2057</v>
      </c>
      <c r="B2059" s="24" t="s">
        <v>854</v>
      </c>
      <c r="C2059" s="275">
        <v>43205.0</v>
      </c>
      <c r="D2059" s="24" t="str">
        <f t="shared" si="156"/>
        <v>Apr-2018</v>
      </c>
      <c r="E2059" t="s">
        <v>146</v>
      </c>
      <c r="F2059" s="24" t="s">
        <v>862</v>
      </c>
      <c r="G2059" s="24" t="s">
        <v>100</v>
      </c>
      <c r="H2059" s="24" t="s">
        <v>9</v>
      </c>
      <c r="I2059" s="24" t="s">
        <v>9</v>
      </c>
      <c r="J2059" s="24" t="s">
        <v>24</v>
      </c>
      <c r="K2059" s="24" t="s">
        <v>30</v>
      </c>
      <c r="L2059" s="24" t="s">
        <v>69</v>
      </c>
    </row>
    <row r="2060">
      <c r="A2060" s="24">
        <f t="shared" si="1"/>
        <v>2058</v>
      </c>
      <c r="B2060" s="24" t="s">
        <v>854</v>
      </c>
      <c r="C2060" s="275">
        <v>43205.0</v>
      </c>
      <c r="D2060" s="24" t="str">
        <f t="shared" si="156"/>
        <v>Apr-2018</v>
      </c>
      <c r="E2060" t="s">
        <v>149</v>
      </c>
      <c r="F2060" s="24" t="s">
        <v>862</v>
      </c>
      <c r="G2060" s="24" t="s">
        <v>100</v>
      </c>
      <c r="H2060" s="24" t="s">
        <v>9</v>
      </c>
      <c r="I2060" s="24" t="s">
        <v>9</v>
      </c>
      <c r="J2060" s="24" t="s">
        <v>24</v>
      </c>
      <c r="K2060" s="24"/>
      <c r="L2060" s="24" t="s">
        <v>99</v>
      </c>
    </row>
    <row r="2061">
      <c r="A2061" s="24">
        <f t="shared" si="1"/>
        <v>2059</v>
      </c>
      <c r="B2061" s="24" t="s">
        <v>854</v>
      </c>
      <c r="C2061" s="275">
        <v>43205.0</v>
      </c>
      <c r="D2061" s="24" t="str">
        <f t="shared" si="156"/>
        <v>Apr-2018</v>
      </c>
      <c r="E2061" t="s">
        <v>222</v>
      </c>
      <c r="F2061" s="24" t="s">
        <v>862</v>
      </c>
      <c r="G2061" s="24" t="s">
        <v>100</v>
      </c>
      <c r="H2061" s="24" t="s">
        <v>9</v>
      </c>
      <c r="I2061" s="24" t="s">
        <v>9</v>
      </c>
      <c r="J2061" s="24" t="s">
        <v>30</v>
      </c>
      <c r="K2061" s="24"/>
      <c r="L2061" s="24" t="s">
        <v>98</v>
      </c>
    </row>
    <row r="2062">
      <c r="A2062" s="24">
        <f t="shared" si="1"/>
        <v>2060</v>
      </c>
      <c r="B2062" s="24" t="s">
        <v>854</v>
      </c>
      <c r="C2062" s="275">
        <v>43205.0</v>
      </c>
      <c r="D2062" s="24" t="str">
        <f t="shared" si="156"/>
        <v>Apr-2018</v>
      </c>
      <c r="E2062" t="s">
        <v>467</v>
      </c>
      <c r="F2062" s="24" t="s">
        <v>862</v>
      </c>
      <c r="G2062" s="24" t="s">
        <v>100</v>
      </c>
      <c r="H2062" s="24" t="s">
        <v>9</v>
      </c>
      <c r="I2062" s="24" t="s">
        <v>9</v>
      </c>
      <c r="J2062" s="24" t="s">
        <v>30</v>
      </c>
      <c r="K2062" s="24"/>
      <c r="L2062" s="24" t="s">
        <v>29</v>
      </c>
    </row>
    <row r="2063">
      <c r="A2063" s="24">
        <f t="shared" si="1"/>
        <v>2061</v>
      </c>
      <c r="B2063" s="24" t="s">
        <v>854</v>
      </c>
      <c r="C2063" s="275">
        <v>43205.0</v>
      </c>
      <c r="D2063" s="24" t="str">
        <f t="shared" si="156"/>
        <v>Apr-2018</v>
      </c>
      <c r="E2063" t="s">
        <v>480</v>
      </c>
      <c r="F2063" s="24" t="s">
        <v>862</v>
      </c>
      <c r="G2063" s="24" t="s">
        <v>100</v>
      </c>
      <c r="H2063" s="24" t="s">
        <v>9</v>
      </c>
      <c r="I2063" s="24" t="s">
        <v>9</v>
      </c>
      <c r="J2063" s="24" t="s">
        <v>30</v>
      </c>
      <c r="K2063" s="24"/>
      <c r="L2063" s="24" t="s">
        <v>29</v>
      </c>
    </row>
    <row r="2064">
      <c r="A2064" s="24">
        <f t="shared" si="1"/>
        <v>2062</v>
      </c>
      <c r="B2064" s="24" t="s">
        <v>864</v>
      </c>
      <c r="C2064" s="275">
        <v>43211.0</v>
      </c>
      <c r="D2064" s="24" t="str">
        <f t="shared" ref="D2064:D2071" si="157">TEXT(C2057:C2064, "mmm") &amp; "-" &amp; TEXT(C2057:C2064, "yyyy") </f>
        <v>Apr-2018</v>
      </c>
      <c r="E2064" t="s">
        <v>20</v>
      </c>
      <c r="F2064" s="24" t="s">
        <v>287</v>
      </c>
      <c r="G2064" s="24" t="s">
        <v>865</v>
      </c>
      <c r="H2064" s="24" t="s">
        <v>44</v>
      </c>
      <c r="I2064" s="24" t="s">
        <v>9</v>
      </c>
      <c r="J2064" s="24" t="s">
        <v>30</v>
      </c>
      <c r="K2064" s="24" t="s">
        <v>30</v>
      </c>
      <c r="L2064" s="24" t="s">
        <v>98</v>
      </c>
    </row>
    <row r="2065">
      <c r="A2065" s="24">
        <f t="shared" si="1"/>
        <v>2063</v>
      </c>
      <c r="B2065" s="24" t="s">
        <v>864</v>
      </c>
      <c r="C2065" s="275">
        <v>43211.0</v>
      </c>
      <c r="D2065" s="24" t="str">
        <f t="shared" si="157"/>
        <v>Apr-2018</v>
      </c>
      <c r="E2065" t="s">
        <v>25</v>
      </c>
      <c r="F2065" s="24" t="s">
        <v>287</v>
      </c>
      <c r="G2065" s="24" t="s">
        <v>865</v>
      </c>
      <c r="H2065" s="24" t="s">
        <v>44</v>
      </c>
      <c r="I2065" s="24" t="s">
        <v>9</v>
      </c>
      <c r="J2065" s="24" t="s">
        <v>30</v>
      </c>
      <c r="K2065" s="24"/>
      <c r="L2065" s="24" t="s">
        <v>99</v>
      </c>
    </row>
    <row r="2066">
      <c r="A2066" s="24">
        <f t="shared" si="1"/>
        <v>2064</v>
      </c>
      <c r="B2066" s="24" t="s">
        <v>864</v>
      </c>
      <c r="C2066" s="275">
        <v>43211.0</v>
      </c>
      <c r="D2066" s="24" t="str">
        <f t="shared" si="157"/>
        <v>Apr-2018</v>
      </c>
      <c r="E2066" t="s">
        <v>20</v>
      </c>
      <c r="F2066" s="24" t="s">
        <v>287</v>
      </c>
      <c r="G2066" s="24" t="s">
        <v>866</v>
      </c>
      <c r="H2066" s="24" t="s">
        <v>27</v>
      </c>
      <c r="I2066" s="24" t="s">
        <v>9</v>
      </c>
      <c r="J2066" s="24" t="s">
        <v>30</v>
      </c>
      <c r="K2066" s="24" t="s">
        <v>30</v>
      </c>
      <c r="L2066" s="24" t="s">
        <v>98</v>
      </c>
    </row>
    <row r="2067">
      <c r="A2067" s="24">
        <f t="shared" si="1"/>
        <v>2065</v>
      </c>
      <c r="B2067" s="24" t="s">
        <v>864</v>
      </c>
      <c r="C2067" s="275">
        <v>43211.0</v>
      </c>
      <c r="D2067" s="24" t="str">
        <f t="shared" si="157"/>
        <v>Apr-2018</v>
      </c>
      <c r="E2067" t="s">
        <v>25</v>
      </c>
      <c r="F2067" s="24" t="s">
        <v>287</v>
      </c>
      <c r="G2067" s="24" t="s">
        <v>866</v>
      </c>
      <c r="H2067" s="24" t="s">
        <v>27</v>
      </c>
      <c r="I2067" s="24" t="s">
        <v>9</v>
      </c>
      <c r="J2067" s="24" t="s">
        <v>30</v>
      </c>
      <c r="K2067" s="24"/>
      <c r="L2067" s="24" t="s">
        <v>69</v>
      </c>
    </row>
    <row r="2068">
      <c r="A2068" s="24">
        <f t="shared" si="1"/>
        <v>2066</v>
      </c>
      <c r="B2068" s="24" t="s">
        <v>864</v>
      </c>
      <c r="C2068" s="275">
        <v>43211.0</v>
      </c>
      <c r="D2068" s="24" t="str">
        <f t="shared" si="157"/>
        <v>Apr-2018</v>
      </c>
      <c r="E2068" t="s">
        <v>20</v>
      </c>
      <c r="F2068" s="24" t="s">
        <v>287</v>
      </c>
      <c r="G2068" s="24" t="s">
        <v>112</v>
      </c>
      <c r="H2068" s="24" t="s">
        <v>86</v>
      </c>
      <c r="I2068" s="24" t="s">
        <v>9</v>
      </c>
      <c r="J2068" s="24" t="s">
        <v>30</v>
      </c>
      <c r="K2068" s="24" t="s">
        <v>24</v>
      </c>
      <c r="L2068" s="24" t="s">
        <v>69</v>
      </c>
    </row>
    <row r="2069">
      <c r="A2069" s="24">
        <f t="shared" si="1"/>
        <v>2067</v>
      </c>
      <c r="B2069" s="24" t="s">
        <v>864</v>
      </c>
      <c r="C2069" s="275">
        <v>43211.0</v>
      </c>
      <c r="D2069" s="24" t="str">
        <f t="shared" si="157"/>
        <v>Apr-2018</v>
      </c>
      <c r="E2069" t="s">
        <v>25</v>
      </c>
      <c r="F2069" s="24" t="s">
        <v>287</v>
      </c>
      <c r="G2069" s="24" t="s">
        <v>112</v>
      </c>
      <c r="H2069" s="24" t="s">
        <v>86</v>
      </c>
      <c r="I2069" s="24" t="s">
        <v>9</v>
      </c>
      <c r="J2069" s="24" t="s">
        <v>24</v>
      </c>
      <c r="K2069" s="24"/>
      <c r="L2069" s="24" t="s">
        <v>98</v>
      </c>
    </row>
    <row r="2070">
      <c r="A2070" s="24">
        <f t="shared" si="1"/>
        <v>2068</v>
      </c>
      <c r="B2070" s="24" t="s">
        <v>864</v>
      </c>
      <c r="C2070" s="275">
        <v>43211.0</v>
      </c>
      <c r="D2070" s="24" t="str">
        <f t="shared" si="157"/>
        <v>Apr-2018</v>
      </c>
      <c r="E2070" t="s">
        <v>32</v>
      </c>
      <c r="F2070" s="24" t="s">
        <v>287</v>
      </c>
      <c r="G2070" s="24" t="s">
        <v>112</v>
      </c>
      <c r="H2070" s="24" t="s">
        <v>86</v>
      </c>
      <c r="I2070" s="24" t="s">
        <v>9</v>
      </c>
      <c r="J2070" s="24" t="s">
        <v>24</v>
      </c>
      <c r="K2070" s="24"/>
      <c r="L2070" s="24" t="s">
        <v>99</v>
      </c>
    </row>
    <row r="2071">
      <c r="A2071" s="24">
        <f t="shared" si="1"/>
        <v>2069</v>
      </c>
      <c r="B2071" s="24" t="s">
        <v>864</v>
      </c>
      <c r="C2071" s="275">
        <v>43211.0</v>
      </c>
      <c r="D2071" s="24" t="str">
        <f t="shared" si="157"/>
        <v>Apr-2018</v>
      </c>
      <c r="E2071" t="s">
        <v>20</v>
      </c>
      <c r="F2071" s="24" t="s">
        <v>287</v>
      </c>
      <c r="G2071" s="24" t="s">
        <v>869</v>
      </c>
      <c r="H2071" s="24" t="s">
        <v>23</v>
      </c>
      <c r="I2071" s="24" t="s">
        <v>9</v>
      </c>
      <c r="J2071" s="24" t="s">
        <v>30</v>
      </c>
      <c r="K2071" s="24" t="s">
        <v>30</v>
      </c>
      <c r="L2071" s="24" t="s">
        <v>37</v>
      </c>
    </row>
    <row r="2072">
      <c r="A2072" s="24">
        <f t="shared" si="1"/>
        <v>2070</v>
      </c>
      <c r="B2072" s="24" t="s">
        <v>864</v>
      </c>
      <c r="C2072" s="275">
        <v>43211.0</v>
      </c>
      <c r="D2072" s="24" t="str">
        <f t="shared" ref="D2072:D2096" si="158">TEXT(C2064:C2072, "mmm") &amp; "-" &amp; TEXT(C2064:C2072, "yyyy") </f>
        <v>Apr-2018</v>
      </c>
      <c r="E2072" t="s">
        <v>25</v>
      </c>
      <c r="F2072" s="24" t="s">
        <v>287</v>
      </c>
      <c r="G2072" s="24" t="s">
        <v>869</v>
      </c>
      <c r="H2072" s="24" t="s">
        <v>23</v>
      </c>
      <c r="I2072" s="24" t="s">
        <v>9</v>
      </c>
      <c r="J2072" s="24" t="s">
        <v>30</v>
      </c>
      <c r="K2072" s="24"/>
      <c r="L2072" s="24" t="s">
        <v>99</v>
      </c>
    </row>
    <row r="2073">
      <c r="A2073" s="24">
        <f t="shared" si="1"/>
        <v>2071</v>
      </c>
      <c r="B2073" s="24" t="s">
        <v>864</v>
      </c>
      <c r="C2073" s="275">
        <v>43211.0</v>
      </c>
      <c r="D2073" s="24" t="str">
        <f t="shared" si="158"/>
        <v>Apr-2018</v>
      </c>
      <c r="E2073" t="s">
        <v>20</v>
      </c>
      <c r="F2073" s="24" t="s">
        <v>287</v>
      </c>
      <c r="G2073" s="24" t="s">
        <v>870</v>
      </c>
      <c r="H2073" s="24" t="s">
        <v>216</v>
      </c>
      <c r="I2073" s="24" t="s">
        <v>9</v>
      </c>
      <c r="J2073" s="24" t="s">
        <v>30</v>
      </c>
      <c r="K2073" s="24" t="s">
        <v>30</v>
      </c>
      <c r="L2073" s="24" t="s">
        <v>69</v>
      </c>
    </row>
    <row r="2074">
      <c r="A2074" s="24">
        <f t="shared" si="1"/>
        <v>2072</v>
      </c>
      <c r="B2074" s="24" t="s">
        <v>864</v>
      </c>
      <c r="C2074" s="275">
        <v>43211.0</v>
      </c>
      <c r="D2074" s="24" t="str">
        <f t="shared" si="158"/>
        <v>Apr-2018</v>
      </c>
      <c r="E2074" t="s">
        <v>25</v>
      </c>
      <c r="F2074" s="24" t="s">
        <v>287</v>
      </c>
      <c r="G2074" s="24" t="s">
        <v>870</v>
      </c>
      <c r="H2074" s="24" t="s">
        <v>23</v>
      </c>
      <c r="I2074" s="24" t="s">
        <v>9</v>
      </c>
      <c r="J2074" s="24" t="s">
        <v>30</v>
      </c>
      <c r="K2074" s="24"/>
      <c r="L2074" s="24" t="s">
        <v>98</v>
      </c>
    </row>
    <row r="2075">
      <c r="A2075" s="24">
        <f t="shared" si="1"/>
        <v>2073</v>
      </c>
      <c r="B2075" s="24" t="s">
        <v>864</v>
      </c>
      <c r="C2075" s="275">
        <v>43211.0</v>
      </c>
      <c r="D2075" s="24" t="str">
        <f t="shared" si="158"/>
        <v>Apr-2018</v>
      </c>
      <c r="E2075" t="s">
        <v>20</v>
      </c>
      <c r="F2075" s="24" t="s">
        <v>287</v>
      </c>
      <c r="G2075" s="24" t="s">
        <v>520</v>
      </c>
      <c r="H2075" s="24" t="s">
        <v>27</v>
      </c>
      <c r="I2075" s="24" t="s">
        <v>9</v>
      </c>
      <c r="J2075" s="24" t="s">
        <v>30</v>
      </c>
      <c r="K2075" s="24" t="s">
        <v>30</v>
      </c>
      <c r="L2075" s="24" t="s">
        <v>69</v>
      </c>
    </row>
    <row r="2076">
      <c r="A2076" s="24">
        <f t="shared" si="1"/>
        <v>2074</v>
      </c>
      <c r="B2076" s="24" t="s">
        <v>864</v>
      </c>
      <c r="C2076" s="275">
        <v>43211.0</v>
      </c>
      <c r="D2076" s="24" t="str">
        <f t="shared" si="158"/>
        <v>Apr-2018</v>
      </c>
      <c r="E2076" t="s">
        <v>25</v>
      </c>
      <c r="F2076" s="24" t="s">
        <v>287</v>
      </c>
      <c r="G2076" s="24" t="s">
        <v>520</v>
      </c>
      <c r="H2076" s="24" t="s">
        <v>27</v>
      </c>
      <c r="I2076" s="24" t="s">
        <v>9</v>
      </c>
      <c r="J2076" s="24" t="s">
        <v>30</v>
      </c>
      <c r="K2076" s="24"/>
      <c r="L2076" s="24" t="s">
        <v>106</v>
      </c>
    </row>
    <row r="2077">
      <c r="A2077" s="24">
        <f t="shared" si="1"/>
        <v>2075</v>
      </c>
      <c r="B2077" s="24" t="s">
        <v>864</v>
      </c>
      <c r="C2077" s="275">
        <v>43211.0</v>
      </c>
      <c r="D2077" s="24" t="str">
        <f t="shared" si="158"/>
        <v>Apr-2018</v>
      </c>
      <c r="E2077" t="s">
        <v>20</v>
      </c>
      <c r="F2077" s="24" t="s">
        <v>35</v>
      </c>
      <c r="G2077" s="24" t="s">
        <v>472</v>
      </c>
      <c r="H2077" s="24" t="s">
        <v>71</v>
      </c>
      <c r="I2077" s="24" t="s">
        <v>9</v>
      </c>
      <c r="J2077" s="24" t="s">
        <v>24</v>
      </c>
      <c r="K2077" s="24" t="s">
        <v>24</v>
      </c>
      <c r="L2077" s="24" t="s">
        <v>98</v>
      </c>
    </row>
    <row r="2078">
      <c r="A2078" s="24">
        <f t="shared" si="1"/>
        <v>2076</v>
      </c>
      <c r="B2078" s="24" t="s">
        <v>864</v>
      </c>
      <c r="C2078" s="275">
        <v>43211.0</v>
      </c>
      <c r="D2078" s="24" t="str">
        <f t="shared" si="158"/>
        <v>Apr-2018</v>
      </c>
      <c r="E2078" t="s">
        <v>25</v>
      </c>
      <c r="F2078" s="24" t="s">
        <v>35</v>
      </c>
      <c r="G2078" s="24" t="s">
        <v>472</v>
      </c>
      <c r="H2078" s="24" t="s">
        <v>71</v>
      </c>
      <c r="I2078" s="24" t="s">
        <v>9</v>
      </c>
      <c r="J2078" s="24" t="s">
        <v>24</v>
      </c>
      <c r="K2078" s="24"/>
      <c r="L2078" s="24" t="s">
        <v>106</v>
      </c>
    </row>
    <row r="2079">
      <c r="A2079" s="24">
        <f t="shared" si="1"/>
        <v>2077</v>
      </c>
      <c r="B2079" s="24" t="s">
        <v>864</v>
      </c>
      <c r="C2079" s="275">
        <v>43211.0</v>
      </c>
      <c r="D2079" s="24" t="str">
        <f t="shared" si="158"/>
        <v>Apr-2018</v>
      </c>
      <c r="E2079" t="s">
        <v>20</v>
      </c>
      <c r="F2079" s="24" t="s">
        <v>35</v>
      </c>
      <c r="G2079" s="24" t="s">
        <v>793</v>
      </c>
      <c r="H2079" s="24" t="s">
        <v>71</v>
      </c>
      <c r="I2079" s="24" t="s">
        <v>9</v>
      </c>
      <c r="J2079" s="24" t="s">
        <v>30</v>
      </c>
      <c r="K2079" s="24" t="s">
        <v>30</v>
      </c>
      <c r="L2079" s="24" t="s">
        <v>99</v>
      </c>
    </row>
    <row r="2080">
      <c r="A2080" s="24">
        <f t="shared" si="1"/>
        <v>2078</v>
      </c>
      <c r="B2080" s="24" t="s">
        <v>864</v>
      </c>
      <c r="C2080" s="275">
        <v>43211.0</v>
      </c>
      <c r="D2080" s="24" t="str">
        <f t="shared" si="158"/>
        <v>Apr-2018</v>
      </c>
      <c r="E2080" t="s">
        <v>25</v>
      </c>
      <c r="F2080" s="24" t="s">
        <v>35</v>
      </c>
      <c r="G2080" s="24" t="s">
        <v>793</v>
      </c>
      <c r="H2080" s="24" t="s">
        <v>71</v>
      </c>
      <c r="I2080" s="24" t="s">
        <v>9</v>
      </c>
      <c r="J2080" s="24" t="s">
        <v>30</v>
      </c>
      <c r="K2080" s="24"/>
      <c r="L2080" s="24" t="s">
        <v>98</v>
      </c>
    </row>
    <row r="2081">
      <c r="A2081" s="24">
        <f t="shared" si="1"/>
        <v>2079</v>
      </c>
      <c r="B2081" s="24" t="s">
        <v>864</v>
      </c>
      <c r="C2081" s="275">
        <v>43211.0</v>
      </c>
      <c r="D2081" s="24" t="str">
        <f t="shared" si="158"/>
        <v>Apr-2018</v>
      </c>
      <c r="E2081" t="s">
        <v>20</v>
      </c>
      <c r="F2081" s="24" t="s">
        <v>35</v>
      </c>
      <c r="G2081" s="24">
        <v>248.0</v>
      </c>
      <c r="H2081" s="24" t="s">
        <v>27</v>
      </c>
      <c r="I2081" s="24" t="s">
        <v>9</v>
      </c>
      <c r="J2081" s="24" t="s">
        <v>30</v>
      </c>
      <c r="K2081" s="24" t="s">
        <v>30</v>
      </c>
      <c r="L2081" s="24" t="s">
        <v>37</v>
      </c>
    </row>
    <row r="2082">
      <c r="A2082" s="24">
        <f t="shared" si="1"/>
        <v>2080</v>
      </c>
      <c r="B2082" s="24" t="s">
        <v>864</v>
      </c>
      <c r="C2082" s="275">
        <v>43211.0</v>
      </c>
      <c r="D2082" s="24" t="str">
        <f t="shared" si="158"/>
        <v>Apr-2018</v>
      </c>
      <c r="E2082" t="s">
        <v>25</v>
      </c>
      <c r="F2082" s="24" t="s">
        <v>35</v>
      </c>
      <c r="G2082" s="24">
        <v>248.0</v>
      </c>
      <c r="H2082" s="24" t="s">
        <v>27</v>
      </c>
      <c r="I2082" s="24" t="s">
        <v>9</v>
      </c>
      <c r="J2082" s="24" t="s">
        <v>24</v>
      </c>
      <c r="K2082" s="24"/>
      <c r="L2082" s="24" t="s">
        <v>106</v>
      </c>
    </row>
    <row r="2083">
      <c r="A2083" s="24">
        <f t="shared" si="1"/>
        <v>2081</v>
      </c>
      <c r="B2083" s="24" t="s">
        <v>864</v>
      </c>
      <c r="C2083" s="275">
        <v>43211.0</v>
      </c>
      <c r="D2083" s="24" t="str">
        <f t="shared" si="158"/>
        <v>Apr-2018</v>
      </c>
      <c r="E2083" t="s">
        <v>32</v>
      </c>
      <c r="F2083" s="24" t="s">
        <v>35</v>
      </c>
      <c r="G2083" s="24">
        <v>248.0</v>
      </c>
      <c r="H2083" s="24" t="s">
        <v>27</v>
      </c>
      <c r="I2083" s="24" t="s">
        <v>9</v>
      </c>
      <c r="J2083" s="24" t="s">
        <v>30</v>
      </c>
      <c r="K2083" s="24"/>
      <c r="L2083" s="24" t="s">
        <v>69</v>
      </c>
    </row>
    <row r="2084">
      <c r="A2084" s="24">
        <f t="shared" si="1"/>
        <v>2082</v>
      </c>
      <c r="B2084" s="24" t="s">
        <v>864</v>
      </c>
      <c r="C2084" s="275">
        <v>43211.0</v>
      </c>
      <c r="D2084" s="24" t="str">
        <f t="shared" si="158"/>
        <v>Apr-2018</v>
      </c>
      <c r="E2084" t="s">
        <v>20</v>
      </c>
      <c r="F2084" s="24" t="s">
        <v>35</v>
      </c>
      <c r="G2084" s="24" t="s">
        <v>771</v>
      </c>
      <c r="H2084" s="24" t="s">
        <v>64</v>
      </c>
      <c r="I2084" s="24" t="s">
        <v>9</v>
      </c>
      <c r="J2084" s="24" t="s">
        <v>30</v>
      </c>
      <c r="K2084" s="24" t="s">
        <v>30</v>
      </c>
      <c r="L2084" s="24" t="s">
        <v>98</v>
      </c>
    </row>
    <row r="2085">
      <c r="A2085" s="24">
        <f t="shared" si="1"/>
        <v>2083</v>
      </c>
      <c r="B2085" s="24" t="s">
        <v>864</v>
      </c>
      <c r="C2085" s="275">
        <v>43211.0</v>
      </c>
      <c r="D2085" s="24" t="str">
        <f t="shared" si="158"/>
        <v>Apr-2018</v>
      </c>
      <c r="E2085" t="s">
        <v>25</v>
      </c>
      <c r="F2085" s="24" t="s">
        <v>35</v>
      </c>
      <c r="G2085" s="24" t="s">
        <v>771</v>
      </c>
      <c r="H2085" s="24" t="s">
        <v>64</v>
      </c>
      <c r="I2085" s="24" t="s">
        <v>9</v>
      </c>
      <c r="J2085" s="24" t="s">
        <v>24</v>
      </c>
      <c r="K2085" s="24"/>
      <c r="L2085" s="24" t="s">
        <v>98</v>
      </c>
    </row>
    <row r="2086">
      <c r="A2086" s="24">
        <f t="shared" si="1"/>
        <v>2084</v>
      </c>
      <c r="B2086" s="24" t="s">
        <v>864</v>
      </c>
      <c r="C2086" s="275">
        <v>43211.0</v>
      </c>
      <c r="D2086" s="24" t="str">
        <f t="shared" si="158"/>
        <v>Apr-2018</v>
      </c>
      <c r="E2086" t="s">
        <v>32</v>
      </c>
      <c r="F2086" s="24" t="s">
        <v>35</v>
      </c>
      <c r="G2086" s="24" t="s">
        <v>771</v>
      </c>
      <c r="H2086" s="24" t="s">
        <v>64</v>
      </c>
      <c r="I2086" s="24" t="s">
        <v>9</v>
      </c>
      <c r="J2086" s="24" t="s">
        <v>30</v>
      </c>
      <c r="K2086" s="24"/>
      <c r="L2086" s="24" t="s">
        <v>106</v>
      </c>
    </row>
    <row r="2087">
      <c r="A2087" s="24">
        <f t="shared" si="1"/>
        <v>2085</v>
      </c>
      <c r="B2087" s="24" t="s">
        <v>864</v>
      </c>
      <c r="C2087" s="275">
        <v>43211.0</v>
      </c>
      <c r="D2087" s="24" t="str">
        <f t="shared" si="158"/>
        <v>Apr-2018</v>
      </c>
      <c r="E2087" t="s">
        <v>146</v>
      </c>
      <c r="F2087" s="24" t="s">
        <v>35</v>
      </c>
      <c r="G2087" s="24" t="s">
        <v>871</v>
      </c>
      <c r="H2087" s="24" t="s">
        <v>138</v>
      </c>
      <c r="I2087" s="24" t="s">
        <v>9</v>
      </c>
      <c r="J2087" s="24" t="s">
        <v>30</v>
      </c>
      <c r="K2087" s="24" t="s">
        <v>30</v>
      </c>
      <c r="L2087" s="24" t="s">
        <v>37</v>
      </c>
    </row>
    <row r="2088">
      <c r="A2088" s="24">
        <f t="shared" si="1"/>
        <v>2086</v>
      </c>
      <c r="B2088" s="24" t="s">
        <v>864</v>
      </c>
      <c r="C2088" s="275">
        <v>43211.0</v>
      </c>
      <c r="D2088" s="24" t="str">
        <f t="shared" si="158"/>
        <v>Apr-2018</v>
      </c>
      <c r="E2088" t="s">
        <v>149</v>
      </c>
      <c r="F2088" s="24" t="s">
        <v>35</v>
      </c>
      <c r="G2088" s="24" t="s">
        <v>871</v>
      </c>
      <c r="H2088" s="24" t="s">
        <v>138</v>
      </c>
      <c r="I2088" s="24" t="s">
        <v>9</v>
      </c>
      <c r="J2088" s="24" t="s">
        <v>24</v>
      </c>
      <c r="K2088" s="24"/>
      <c r="L2088" s="24" t="s">
        <v>106</v>
      </c>
    </row>
    <row r="2089">
      <c r="A2089" s="24">
        <f t="shared" si="1"/>
        <v>2087</v>
      </c>
      <c r="B2089" s="24" t="s">
        <v>864</v>
      </c>
      <c r="C2089" s="275">
        <v>43211.0</v>
      </c>
      <c r="D2089" s="24" t="str">
        <f t="shared" si="158"/>
        <v>Apr-2018</v>
      </c>
      <c r="E2089" t="s">
        <v>222</v>
      </c>
      <c r="F2089" s="24" t="s">
        <v>35</v>
      </c>
      <c r="G2089" s="24" t="s">
        <v>871</v>
      </c>
      <c r="H2089" s="24" t="s">
        <v>138</v>
      </c>
      <c r="I2089" s="24" t="s">
        <v>9</v>
      </c>
      <c r="J2089" s="24" t="s">
        <v>30</v>
      </c>
      <c r="K2089" s="24"/>
      <c r="L2089" s="24" t="s">
        <v>69</v>
      </c>
    </row>
    <row r="2090">
      <c r="A2090" s="24">
        <f t="shared" si="1"/>
        <v>2088</v>
      </c>
      <c r="B2090" s="24" t="s">
        <v>864</v>
      </c>
      <c r="C2090" s="275">
        <v>43211.0</v>
      </c>
      <c r="D2090" s="24" t="str">
        <f t="shared" si="158"/>
        <v>Apr-2018</v>
      </c>
      <c r="E2090" t="s">
        <v>467</v>
      </c>
      <c r="F2090" s="24" t="s">
        <v>35</v>
      </c>
      <c r="G2090" s="24" t="s">
        <v>871</v>
      </c>
      <c r="H2090" s="24" t="s">
        <v>138</v>
      </c>
      <c r="I2090" s="24" t="s">
        <v>9</v>
      </c>
      <c r="J2090" s="24" t="s">
        <v>24</v>
      </c>
      <c r="K2090" s="24"/>
      <c r="L2090" s="24" t="s">
        <v>29</v>
      </c>
    </row>
    <row r="2091">
      <c r="A2091" s="24">
        <f t="shared" si="1"/>
        <v>2089</v>
      </c>
      <c r="B2091" s="24" t="s">
        <v>864</v>
      </c>
      <c r="C2091" s="275">
        <v>43211.0</v>
      </c>
      <c r="D2091" s="24" t="str">
        <f t="shared" si="158"/>
        <v>Apr-2018</v>
      </c>
      <c r="E2091" s="24" t="s">
        <v>480</v>
      </c>
      <c r="F2091" s="24" t="s">
        <v>35</v>
      </c>
      <c r="G2091" s="24" t="s">
        <v>871</v>
      </c>
      <c r="H2091" s="24" t="s">
        <v>138</v>
      </c>
      <c r="I2091" s="24" t="s">
        <v>9</v>
      </c>
      <c r="J2091" s="24" t="s">
        <v>30</v>
      </c>
      <c r="K2091" s="24"/>
      <c r="L2091" s="24" t="s">
        <v>98</v>
      </c>
    </row>
    <row r="2092">
      <c r="A2092" s="24">
        <f t="shared" si="1"/>
        <v>2090</v>
      </c>
      <c r="B2092" s="24" t="s">
        <v>864</v>
      </c>
      <c r="C2092" s="275">
        <v>43211.0</v>
      </c>
      <c r="D2092" s="24" t="str">
        <f t="shared" si="158"/>
        <v>Apr-2018</v>
      </c>
      <c r="E2092" t="s">
        <v>146</v>
      </c>
      <c r="F2092" s="24" t="s">
        <v>35</v>
      </c>
      <c r="G2092" s="24" t="s">
        <v>148</v>
      </c>
      <c r="H2092" s="24" t="s">
        <v>27</v>
      </c>
      <c r="I2092" s="24" t="s">
        <v>9</v>
      </c>
      <c r="J2092" s="24" t="s">
        <v>30</v>
      </c>
      <c r="K2092" s="24" t="s">
        <v>24</v>
      </c>
      <c r="L2092" s="24" t="s">
        <v>69</v>
      </c>
    </row>
    <row r="2093">
      <c r="A2093" s="24">
        <f t="shared" si="1"/>
        <v>2091</v>
      </c>
      <c r="B2093" s="24" t="s">
        <v>864</v>
      </c>
      <c r="C2093" s="275">
        <v>43211.0</v>
      </c>
      <c r="D2093" s="24" t="str">
        <f t="shared" si="158"/>
        <v>Apr-2018</v>
      </c>
      <c r="E2093" t="s">
        <v>149</v>
      </c>
      <c r="F2093" s="24" t="s">
        <v>35</v>
      </c>
      <c r="G2093" s="24" t="s">
        <v>148</v>
      </c>
      <c r="H2093" s="24" t="s">
        <v>27</v>
      </c>
      <c r="I2093" s="24" t="s">
        <v>9</v>
      </c>
      <c r="J2093" s="24" t="s">
        <v>30</v>
      </c>
      <c r="K2093" s="24"/>
      <c r="L2093" s="24" t="s">
        <v>29</v>
      </c>
    </row>
    <row r="2094">
      <c r="A2094" s="24">
        <f t="shared" si="1"/>
        <v>2092</v>
      </c>
      <c r="B2094" s="24" t="s">
        <v>864</v>
      </c>
      <c r="C2094" s="275">
        <v>43211.0</v>
      </c>
      <c r="D2094" s="24" t="str">
        <f t="shared" si="158"/>
        <v>Apr-2018</v>
      </c>
      <c r="E2094" t="s">
        <v>222</v>
      </c>
      <c r="F2094" s="24" t="s">
        <v>35</v>
      </c>
      <c r="G2094" s="24" t="s">
        <v>148</v>
      </c>
      <c r="H2094" s="24" t="s">
        <v>9</v>
      </c>
      <c r="I2094" s="24" t="s">
        <v>9</v>
      </c>
      <c r="J2094" s="24" t="s">
        <v>24</v>
      </c>
      <c r="K2094" s="24"/>
      <c r="L2094" s="24" t="s">
        <v>29</v>
      </c>
    </row>
    <row r="2095">
      <c r="A2095" s="24">
        <f t="shared" si="1"/>
        <v>2093</v>
      </c>
      <c r="B2095" s="24" t="s">
        <v>864</v>
      </c>
      <c r="C2095" s="275">
        <v>43211.0</v>
      </c>
      <c r="D2095" s="24" t="str">
        <f t="shared" si="158"/>
        <v>Apr-2018</v>
      </c>
      <c r="E2095" t="s">
        <v>467</v>
      </c>
      <c r="F2095" s="24" t="s">
        <v>35</v>
      </c>
      <c r="G2095" s="24" t="s">
        <v>148</v>
      </c>
      <c r="H2095" s="24" t="s">
        <v>27</v>
      </c>
      <c r="I2095" s="24" t="s">
        <v>9</v>
      </c>
      <c r="J2095" s="24" t="s">
        <v>24</v>
      </c>
      <c r="K2095" s="24"/>
      <c r="L2095" s="24" t="s">
        <v>106</v>
      </c>
    </row>
    <row r="2096">
      <c r="A2096" s="24">
        <f t="shared" si="1"/>
        <v>2094</v>
      </c>
      <c r="B2096" s="24" t="s">
        <v>864</v>
      </c>
      <c r="C2096" s="275">
        <v>43211.0</v>
      </c>
      <c r="D2096" s="24" t="str">
        <f t="shared" si="158"/>
        <v>Apr-2018</v>
      </c>
      <c r="E2096" s="24" t="s">
        <v>480</v>
      </c>
      <c r="F2096" s="24" t="s">
        <v>35</v>
      </c>
      <c r="G2096" s="24" t="s">
        <v>148</v>
      </c>
      <c r="H2096" s="24" t="s">
        <v>27</v>
      </c>
      <c r="I2096" s="24" t="s">
        <v>9</v>
      </c>
      <c r="J2096" s="24" t="s">
        <v>24</v>
      </c>
      <c r="K2096" s="24"/>
      <c r="L2096" s="24" t="s">
        <v>98</v>
      </c>
    </row>
    <row r="2097">
      <c r="A2097" s="24">
        <f t="shared" si="1"/>
        <v>2095</v>
      </c>
      <c r="B2097" s="24" t="s">
        <v>872</v>
      </c>
      <c r="C2097" s="275">
        <v>43219.0</v>
      </c>
      <c r="D2097" s="24" t="str">
        <f t="shared" ref="D2097:D2104" si="159">TEXT(C2090:C2097, "mmm") &amp; "-" &amp; TEXT(C2090:C2097, "yyyy") </f>
        <v>Apr-2018</v>
      </c>
      <c r="E2097" t="s">
        <v>146</v>
      </c>
      <c r="F2097" s="24" t="s">
        <v>35</v>
      </c>
      <c r="G2097" s="24" t="s">
        <v>633</v>
      </c>
      <c r="H2097" s="24" t="s">
        <v>27</v>
      </c>
      <c r="I2097" s="24" t="s">
        <v>9</v>
      </c>
      <c r="J2097" s="24" t="s">
        <v>30</v>
      </c>
      <c r="K2097" s="24" t="s">
        <v>30</v>
      </c>
      <c r="L2097" s="24" t="s">
        <v>69</v>
      </c>
    </row>
    <row r="2098">
      <c r="A2098" s="24">
        <f t="shared" si="1"/>
        <v>2096</v>
      </c>
      <c r="B2098" s="24" t="s">
        <v>872</v>
      </c>
      <c r="C2098" s="275">
        <v>43219.0</v>
      </c>
      <c r="D2098" s="24" t="str">
        <f t="shared" si="159"/>
        <v>Apr-2018</v>
      </c>
      <c r="E2098" t="s">
        <v>149</v>
      </c>
      <c r="F2098" s="24" t="s">
        <v>35</v>
      </c>
      <c r="G2098" s="24" t="s">
        <v>633</v>
      </c>
      <c r="H2098" s="24" t="s">
        <v>27</v>
      </c>
      <c r="I2098" s="24" t="s">
        <v>9</v>
      </c>
      <c r="J2098" s="24" t="s">
        <v>24</v>
      </c>
      <c r="K2098" s="24"/>
      <c r="L2098" s="24" t="s">
        <v>99</v>
      </c>
    </row>
    <row r="2099">
      <c r="A2099" s="24">
        <f t="shared" si="1"/>
        <v>2097</v>
      </c>
      <c r="B2099" s="24" t="s">
        <v>872</v>
      </c>
      <c r="C2099" s="275">
        <v>43219.0</v>
      </c>
      <c r="D2099" s="24" t="str">
        <f t="shared" si="159"/>
        <v>Apr-2018</v>
      </c>
      <c r="E2099" t="s">
        <v>222</v>
      </c>
      <c r="F2099" s="24" t="s">
        <v>35</v>
      </c>
      <c r="G2099" s="24" t="s">
        <v>633</v>
      </c>
      <c r="H2099" s="24" t="s">
        <v>27</v>
      </c>
      <c r="I2099" s="24" t="s">
        <v>9</v>
      </c>
      <c r="J2099" s="24" t="s">
        <v>30</v>
      </c>
      <c r="K2099" s="24"/>
      <c r="L2099" s="24" t="s">
        <v>98</v>
      </c>
    </row>
    <row r="2100">
      <c r="A2100" s="24">
        <f t="shared" si="1"/>
        <v>2098</v>
      </c>
      <c r="B2100" s="24" t="s">
        <v>872</v>
      </c>
      <c r="C2100" s="275">
        <v>43219.0</v>
      </c>
      <c r="D2100" s="24" t="str">
        <f t="shared" si="159"/>
        <v>Apr-2018</v>
      </c>
      <c r="E2100" t="s">
        <v>467</v>
      </c>
      <c r="F2100" s="24" t="s">
        <v>35</v>
      </c>
      <c r="G2100" s="24" t="s">
        <v>633</v>
      </c>
      <c r="H2100" s="24" t="s">
        <v>27</v>
      </c>
      <c r="I2100" s="24" t="s">
        <v>9</v>
      </c>
      <c r="J2100" s="24" t="s">
        <v>30</v>
      </c>
      <c r="K2100" s="24"/>
      <c r="L2100" s="24" t="s">
        <v>29</v>
      </c>
    </row>
    <row r="2101">
      <c r="A2101" s="24">
        <f t="shared" si="1"/>
        <v>2099</v>
      </c>
      <c r="B2101" s="24" t="s">
        <v>872</v>
      </c>
      <c r="C2101" s="275">
        <v>43219.0</v>
      </c>
      <c r="D2101" s="24" t="str">
        <f t="shared" si="159"/>
        <v>Apr-2018</v>
      </c>
      <c r="E2101" t="s">
        <v>146</v>
      </c>
      <c r="F2101" s="24" t="s">
        <v>35</v>
      </c>
      <c r="G2101" s="24" t="s">
        <v>194</v>
      </c>
      <c r="H2101" s="24" t="s">
        <v>23</v>
      </c>
      <c r="I2101" s="24" t="s">
        <v>9</v>
      </c>
      <c r="J2101" s="24" t="s">
        <v>24</v>
      </c>
      <c r="K2101" s="24" t="s">
        <v>24</v>
      </c>
      <c r="L2101" s="24" t="s">
        <v>37</v>
      </c>
    </row>
    <row r="2102">
      <c r="A2102" s="24">
        <f t="shared" si="1"/>
        <v>2100</v>
      </c>
      <c r="B2102" s="24" t="s">
        <v>872</v>
      </c>
      <c r="C2102" s="275">
        <v>43219.0</v>
      </c>
      <c r="D2102" s="24" t="str">
        <f t="shared" si="159"/>
        <v>Apr-2018</v>
      </c>
      <c r="E2102" t="s">
        <v>149</v>
      </c>
      <c r="F2102" s="24" t="s">
        <v>35</v>
      </c>
      <c r="G2102" s="24" t="s">
        <v>194</v>
      </c>
      <c r="H2102" s="24" t="s">
        <v>23</v>
      </c>
      <c r="I2102" s="24" t="s">
        <v>9</v>
      </c>
      <c r="J2102" s="24" t="s">
        <v>24</v>
      </c>
      <c r="K2102" s="24"/>
      <c r="L2102" s="24" t="s">
        <v>29</v>
      </c>
    </row>
    <row r="2103">
      <c r="A2103" s="24">
        <f t="shared" si="1"/>
        <v>2101</v>
      </c>
      <c r="B2103" s="24" t="s">
        <v>872</v>
      </c>
      <c r="C2103" s="275">
        <v>43219.0</v>
      </c>
      <c r="D2103" s="24" t="str">
        <f t="shared" si="159"/>
        <v>Apr-2018</v>
      </c>
      <c r="E2103" t="s">
        <v>222</v>
      </c>
      <c r="F2103" s="24" t="s">
        <v>35</v>
      </c>
      <c r="G2103" s="24" t="s">
        <v>194</v>
      </c>
      <c r="H2103" s="24" t="s">
        <v>23</v>
      </c>
      <c r="I2103" s="24" t="s">
        <v>9</v>
      </c>
      <c r="J2103" s="24" t="s">
        <v>24</v>
      </c>
      <c r="K2103" s="24"/>
      <c r="L2103" s="24" t="s">
        <v>106</v>
      </c>
    </row>
    <row r="2104">
      <c r="A2104" s="24">
        <f t="shared" si="1"/>
        <v>2102</v>
      </c>
      <c r="B2104" s="24" t="s">
        <v>872</v>
      </c>
      <c r="C2104" s="275">
        <v>43219.0</v>
      </c>
      <c r="D2104" s="24" t="str">
        <f t="shared" si="159"/>
        <v>Apr-2018</v>
      </c>
      <c r="E2104" t="s">
        <v>146</v>
      </c>
      <c r="F2104" s="24" t="s">
        <v>35</v>
      </c>
      <c r="G2104" s="24" t="s">
        <v>378</v>
      </c>
      <c r="H2104" s="24" t="s">
        <v>27</v>
      </c>
      <c r="I2104" s="24" t="s">
        <v>9</v>
      </c>
      <c r="J2104" s="24" t="s">
        <v>30</v>
      </c>
      <c r="K2104" s="24" t="s">
        <v>30</v>
      </c>
      <c r="L2104" s="24" t="s">
        <v>98</v>
      </c>
    </row>
    <row r="2105">
      <c r="A2105" s="24">
        <f t="shared" si="1"/>
        <v>2103</v>
      </c>
      <c r="B2105" s="24" t="s">
        <v>872</v>
      </c>
      <c r="C2105" s="275">
        <v>43219.0</v>
      </c>
      <c r="D2105" s="24" t="str">
        <f t="shared" ref="D2105:D2109" si="160">TEXT(C2097:C2105, "mmm") &amp; "-" &amp; TEXT(C2097:C2105, "yyyy") </f>
        <v>Apr-2018</v>
      </c>
      <c r="E2105" t="s">
        <v>149</v>
      </c>
      <c r="F2105" s="24" t="s">
        <v>35</v>
      </c>
      <c r="G2105" s="24" t="s">
        <v>378</v>
      </c>
      <c r="H2105" s="24" t="s">
        <v>44</v>
      </c>
      <c r="I2105" s="24" t="s">
        <v>9</v>
      </c>
      <c r="J2105" s="24" t="s">
        <v>30</v>
      </c>
      <c r="K2105" s="24"/>
      <c r="L2105" s="24" t="s">
        <v>29</v>
      </c>
    </row>
    <row r="2106">
      <c r="A2106" s="24">
        <f t="shared" si="1"/>
        <v>2104</v>
      </c>
      <c r="B2106" s="24" t="s">
        <v>872</v>
      </c>
      <c r="C2106" s="275">
        <v>43219.0</v>
      </c>
      <c r="D2106" s="24" t="str">
        <f t="shared" si="160"/>
        <v>Apr-2018</v>
      </c>
      <c r="E2106" t="s">
        <v>222</v>
      </c>
      <c r="F2106" s="24" t="s">
        <v>35</v>
      </c>
      <c r="G2106" s="24" t="s">
        <v>378</v>
      </c>
      <c r="H2106" s="24" t="s">
        <v>44</v>
      </c>
      <c r="I2106" s="24" t="s">
        <v>9</v>
      </c>
      <c r="J2106" s="24" t="s">
        <v>30</v>
      </c>
      <c r="K2106" s="24"/>
      <c r="L2106" s="24" t="s">
        <v>98</v>
      </c>
    </row>
    <row r="2107">
      <c r="A2107" s="24">
        <f t="shared" si="1"/>
        <v>2105</v>
      </c>
      <c r="B2107" s="24" t="s">
        <v>872</v>
      </c>
      <c r="C2107" s="275">
        <v>43219.0</v>
      </c>
      <c r="D2107" s="24" t="str">
        <f t="shared" si="160"/>
        <v>Apr-2018</v>
      </c>
      <c r="E2107" t="s">
        <v>146</v>
      </c>
      <c r="F2107" s="24" t="s">
        <v>35</v>
      </c>
      <c r="G2107" s="24" t="s">
        <v>346</v>
      </c>
      <c r="H2107" s="24" t="s">
        <v>44</v>
      </c>
      <c r="I2107" s="24" t="s">
        <v>9</v>
      </c>
      <c r="J2107" s="24" t="s">
        <v>24</v>
      </c>
      <c r="K2107" s="24" t="s">
        <v>24</v>
      </c>
      <c r="L2107" s="24" t="s">
        <v>69</v>
      </c>
    </row>
    <row r="2108">
      <c r="A2108" s="24">
        <f t="shared" si="1"/>
        <v>2106</v>
      </c>
      <c r="B2108" s="24" t="s">
        <v>872</v>
      </c>
      <c r="C2108" s="275">
        <v>43219.0</v>
      </c>
      <c r="D2108" s="24" t="str">
        <f t="shared" si="160"/>
        <v>Apr-2018</v>
      </c>
      <c r="E2108" t="s">
        <v>149</v>
      </c>
      <c r="F2108" s="24" t="s">
        <v>35</v>
      </c>
      <c r="G2108" s="24" t="s">
        <v>346</v>
      </c>
      <c r="H2108" s="24" t="s">
        <v>44</v>
      </c>
      <c r="I2108" s="24" t="s">
        <v>9</v>
      </c>
      <c r="J2108" s="24" t="s">
        <v>24</v>
      </c>
      <c r="K2108" s="24"/>
      <c r="L2108" s="24" t="s">
        <v>106</v>
      </c>
    </row>
    <row r="2109">
      <c r="A2109" s="24">
        <f t="shared" si="1"/>
        <v>2107</v>
      </c>
      <c r="B2109" s="24" t="s">
        <v>872</v>
      </c>
      <c r="C2109" s="275">
        <v>43219.0</v>
      </c>
      <c r="D2109" s="24" t="str">
        <f t="shared" si="160"/>
        <v>Apr-2018</v>
      </c>
      <c r="E2109" t="s">
        <v>222</v>
      </c>
      <c r="F2109" s="24" t="s">
        <v>35</v>
      </c>
      <c r="G2109" s="24" t="s">
        <v>346</v>
      </c>
      <c r="H2109" s="24" t="s">
        <v>44</v>
      </c>
      <c r="I2109" s="24" t="s">
        <v>9</v>
      </c>
      <c r="J2109" s="24" t="s">
        <v>24</v>
      </c>
      <c r="K2109" s="24"/>
      <c r="L2109" s="24" t="s">
        <v>69</v>
      </c>
    </row>
    <row r="2110">
      <c r="A2110" s="24">
        <f t="shared" si="1"/>
        <v>2108</v>
      </c>
      <c r="B2110" s="24" t="s">
        <v>874</v>
      </c>
      <c r="C2110" s="275">
        <v>43224.0</v>
      </c>
      <c r="D2110" s="24" t="str">
        <f t="shared" ref="D2110:D2117" si="161">TEXT(C2103:C2110, "mmm") &amp; "-" &amp; TEXT(C2103:C2110, "yyyy") </f>
        <v>May-2018</v>
      </c>
      <c r="E2110" t="s">
        <v>20</v>
      </c>
      <c r="F2110" s="24" t="s">
        <v>35</v>
      </c>
      <c r="G2110" s="24" t="s">
        <v>875</v>
      </c>
      <c r="H2110" s="24" t="s">
        <v>9</v>
      </c>
      <c r="I2110" s="24" t="s">
        <v>9</v>
      </c>
      <c r="J2110" s="24" t="s">
        <v>30</v>
      </c>
      <c r="K2110" s="24" t="s">
        <v>30</v>
      </c>
      <c r="L2110" s="24" t="s">
        <v>98</v>
      </c>
    </row>
    <row r="2111">
      <c r="A2111" s="24">
        <f t="shared" si="1"/>
        <v>2109</v>
      </c>
      <c r="B2111" s="24" t="s">
        <v>874</v>
      </c>
      <c r="C2111" s="275">
        <v>43224.0</v>
      </c>
      <c r="D2111" s="24" t="str">
        <f t="shared" si="161"/>
        <v>May-2018</v>
      </c>
      <c r="E2111" t="s">
        <v>25</v>
      </c>
      <c r="F2111" s="24" t="s">
        <v>35</v>
      </c>
      <c r="G2111" s="24" t="s">
        <v>875</v>
      </c>
      <c r="H2111" s="24" t="s">
        <v>9</v>
      </c>
      <c r="I2111" s="24" t="s">
        <v>9</v>
      </c>
      <c r="J2111" s="24" t="s">
        <v>30</v>
      </c>
      <c r="K2111" s="24"/>
      <c r="L2111" s="24" t="s">
        <v>69</v>
      </c>
    </row>
    <row r="2112">
      <c r="A2112" s="24">
        <f t="shared" si="1"/>
        <v>2110</v>
      </c>
      <c r="B2112" s="24" t="s">
        <v>874</v>
      </c>
      <c r="C2112" s="275">
        <v>43224.0</v>
      </c>
      <c r="D2112" s="24" t="str">
        <f t="shared" si="161"/>
        <v>May-2018</v>
      </c>
      <c r="E2112" t="s">
        <v>20</v>
      </c>
      <c r="F2112" s="24" t="s">
        <v>35</v>
      </c>
      <c r="G2112" s="24" t="s">
        <v>111</v>
      </c>
      <c r="H2112" s="24" t="s">
        <v>216</v>
      </c>
      <c r="I2112" s="24" t="s">
        <v>9</v>
      </c>
      <c r="J2112" s="24" t="s">
        <v>24</v>
      </c>
      <c r="K2112" s="24" t="s">
        <v>24</v>
      </c>
      <c r="L2112" s="24" t="s">
        <v>98</v>
      </c>
    </row>
    <row r="2113">
      <c r="A2113" s="24">
        <f t="shared" si="1"/>
        <v>2111</v>
      </c>
      <c r="B2113" s="24" t="s">
        <v>874</v>
      </c>
      <c r="C2113" s="275">
        <v>43224.0</v>
      </c>
      <c r="D2113" s="24" t="str">
        <f t="shared" si="161"/>
        <v>May-2018</v>
      </c>
      <c r="E2113" t="s">
        <v>25</v>
      </c>
      <c r="F2113" s="24" t="s">
        <v>35</v>
      </c>
      <c r="G2113" s="24" t="s">
        <v>111</v>
      </c>
      <c r="H2113" s="24" t="s">
        <v>216</v>
      </c>
      <c r="I2113" s="24" t="s">
        <v>9</v>
      </c>
      <c r="J2113" s="24" t="s">
        <v>24</v>
      </c>
      <c r="K2113" s="24"/>
      <c r="L2113" s="24" t="s">
        <v>106</v>
      </c>
    </row>
    <row r="2114">
      <c r="A2114" s="24">
        <f t="shared" si="1"/>
        <v>2112</v>
      </c>
      <c r="B2114" s="24" t="s">
        <v>874</v>
      </c>
      <c r="C2114" s="275">
        <v>43224.0</v>
      </c>
      <c r="D2114" s="24" t="str">
        <f t="shared" si="161"/>
        <v>May-2018</v>
      </c>
      <c r="E2114" t="s">
        <v>20</v>
      </c>
      <c r="F2114" s="24" t="s">
        <v>35</v>
      </c>
      <c r="G2114" s="24" t="s">
        <v>877</v>
      </c>
      <c r="H2114" s="24" t="s">
        <v>27</v>
      </c>
      <c r="I2114" s="24" t="s">
        <v>9</v>
      </c>
      <c r="J2114" s="24" t="s">
        <v>30</v>
      </c>
      <c r="K2114" s="24" t="s">
        <v>30</v>
      </c>
      <c r="L2114" s="24" t="s">
        <v>69</v>
      </c>
    </row>
    <row r="2115">
      <c r="A2115" s="24">
        <f t="shared" si="1"/>
        <v>2113</v>
      </c>
      <c r="B2115" s="24" t="s">
        <v>874</v>
      </c>
      <c r="C2115" s="275">
        <v>43224.0</v>
      </c>
      <c r="D2115" s="24" t="str">
        <f t="shared" si="161"/>
        <v>May-2018</v>
      </c>
      <c r="E2115" t="s">
        <v>25</v>
      </c>
      <c r="F2115" s="24" t="s">
        <v>35</v>
      </c>
      <c r="G2115" s="24" t="s">
        <v>877</v>
      </c>
      <c r="H2115" s="24" t="s">
        <v>27</v>
      </c>
      <c r="I2115" s="24" t="s">
        <v>9</v>
      </c>
      <c r="J2115" s="24" t="s">
        <v>30</v>
      </c>
      <c r="K2115" s="24"/>
      <c r="L2115" s="24" t="s">
        <v>69</v>
      </c>
    </row>
    <row r="2116">
      <c r="A2116" s="24">
        <f t="shared" si="1"/>
        <v>2114</v>
      </c>
      <c r="B2116" s="24" t="s">
        <v>874</v>
      </c>
      <c r="C2116" s="275">
        <v>43224.0</v>
      </c>
      <c r="D2116" s="24" t="str">
        <f t="shared" si="161"/>
        <v>May-2018</v>
      </c>
      <c r="E2116" t="s">
        <v>20</v>
      </c>
      <c r="F2116" s="24" t="s">
        <v>35</v>
      </c>
      <c r="G2116" s="24">
        <v>248.0</v>
      </c>
      <c r="H2116" s="24" t="s">
        <v>27</v>
      </c>
      <c r="I2116" s="24" t="s">
        <v>9</v>
      </c>
      <c r="J2116" s="24" t="s">
        <v>24</v>
      </c>
      <c r="K2116" s="24" t="s">
        <v>24</v>
      </c>
      <c r="L2116" s="24" t="s">
        <v>69</v>
      </c>
    </row>
    <row r="2117">
      <c r="A2117" s="24">
        <f t="shared" si="1"/>
        <v>2115</v>
      </c>
      <c r="B2117" s="24" t="s">
        <v>874</v>
      </c>
      <c r="C2117" s="275">
        <v>43224.0</v>
      </c>
      <c r="D2117" s="24" t="str">
        <f t="shared" si="161"/>
        <v>May-2018</v>
      </c>
      <c r="E2117" t="s">
        <v>25</v>
      </c>
      <c r="F2117" s="24" t="s">
        <v>35</v>
      </c>
      <c r="G2117" s="24">
        <v>248.0</v>
      </c>
      <c r="H2117" s="24" t="s">
        <v>27</v>
      </c>
      <c r="I2117" s="24" t="s">
        <v>9</v>
      </c>
      <c r="J2117" s="24" t="s">
        <v>24</v>
      </c>
      <c r="K2117" s="24"/>
      <c r="L2117" s="24" t="s">
        <v>106</v>
      </c>
    </row>
    <row r="2118">
      <c r="A2118" s="24">
        <f t="shared" si="1"/>
        <v>2116</v>
      </c>
      <c r="B2118" s="24" t="s">
        <v>874</v>
      </c>
      <c r="C2118" s="275">
        <v>43224.0</v>
      </c>
      <c r="D2118" s="24" t="str">
        <f t="shared" ref="D2118:D2133" si="162">TEXT(C2110:C2118, "mmm") &amp; "-" &amp; TEXT(C2110:C2118, "yyyy") </f>
        <v>May-2018</v>
      </c>
      <c r="E2118" t="s">
        <v>20</v>
      </c>
      <c r="F2118" s="24" t="s">
        <v>862</v>
      </c>
      <c r="G2118" s="24" t="s">
        <v>878</v>
      </c>
      <c r="H2118" s="24" t="s">
        <v>44</v>
      </c>
      <c r="I2118" s="24" t="s">
        <v>9</v>
      </c>
      <c r="J2118" s="24" t="s">
        <v>30</v>
      </c>
      <c r="K2118" s="24" t="s">
        <v>30</v>
      </c>
      <c r="L2118" s="24" t="s">
        <v>98</v>
      </c>
    </row>
    <row r="2119">
      <c r="A2119" s="24">
        <f t="shared" si="1"/>
        <v>2117</v>
      </c>
      <c r="B2119" s="24" t="s">
        <v>874</v>
      </c>
      <c r="C2119" s="275">
        <v>43224.0</v>
      </c>
      <c r="D2119" s="24" t="str">
        <f t="shared" si="162"/>
        <v>May-2018</v>
      </c>
      <c r="E2119" t="s">
        <v>25</v>
      </c>
      <c r="F2119" s="24" t="s">
        <v>862</v>
      </c>
      <c r="G2119" s="24" t="s">
        <v>878</v>
      </c>
      <c r="H2119" s="24" t="s">
        <v>44</v>
      </c>
      <c r="I2119" s="24" t="s">
        <v>9</v>
      </c>
      <c r="J2119" s="24" t="s">
        <v>30</v>
      </c>
      <c r="K2119" s="24"/>
      <c r="L2119" s="24" t="s">
        <v>106</v>
      </c>
    </row>
    <row r="2120">
      <c r="A2120" s="24">
        <f t="shared" si="1"/>
        <v>2118</v>
      </c>
      <c r="B2120" s="24" t="s">
        <v>874</v>
      </c>
      <c r="C2120" s="275">
        <v>43224.0</v>
      </c>
      <c r="D2120" s="24" t="str">
        <f t="shared" si="162"/>
        <v>May-2018</v>
      </c>
      <c r="E2120" t="s">
        <v>20</v>
      </c>
      <c r="F2120" s="24" t="s">
        <v>862</v>
      </c>
      <c r="G2120" s="24" t="s">
        <v>245</v>
      </c>
      <c r="H2120" s="24" t="s">
        <v>27</v>
      </c>
      <c r="I2120" s="24" t="s">
        <v>9</v>
      </c>
      <c r="J2120" s="24" t="s">
        <v>30</v>
      </c>
      <c r="K2120" s="24" t="s">
        <v>30</v>
      </c>
      <c r="L2120" s="24" t="s">
        <v>37</v>
      </c>
    </row>
    <row r="2121">
      <c r="A2121" s="24">
        <f t="shared" si="1"/>
        <v>2119</v>
      </c>
      <c r="B2121" s="24" t="s">
        <v>874</v>
      </c>
      <c r="C2121" s="275">
        <v>43224.0</v>
      </c>
      <c r="D2121" s="24" t="str">
        <f t="shared" si="162"/>
        <v>May-2018</v>
      </c>
      <c r="E2121" t="s">
        <v>25</v>
      </c>
      <c r="F2121" s="24" t="s">
        <v>862</v>
      </c>
      <c r="G2121" s="24" t="s">
        <v>245</v>
      </c>
      <c r="H2121" s="24" t="s">
        <v>27</v>
      </c>
      <c r="I2121" s="24" t="s">
        <v>9</v>
      </c>
      <c r="J2121" s="24" t="s">
        <v>30</v>
      </c>
      <c r="K2121" s="24"/>
      <c r="L2121" s="24" t="s">
        <v>99</v>
      </c>
    </row>
    <row r="2122">
      <c r="A2122" s="24">
        <f t="shared" si="1"/>
        <v>2120</v>
      </c>
      <c r="B2122" s="24" t="s">
        <v>874</v>
      </c>
      <c r="C2122" s="275">
        <v>43224.0</v>
      </c>
      <c r="D2122" s="24" t="str">
        <f t="shared" si="162"/>
        <v>May-2018</v>
      </c>
      <c r="E2122" t="s">
        <v>146</v>
      </c>
      <c r="F2122" s="24" t="s">
        <v>862</v>
      </c>
      <c r="G2122" s="24" t="s">
        <v>592</v>
      </c>
      <c r="H2122" s="24" t="s">
        <v>9</v>
      </c>
      <c r="I2122" s="24" t="s">
        <v>9</v>
      </c>
      <c r="J2122" s="24" t="s">
        <v>24</v>
      </c>
      <c r="K2122" s="24" t="s">
        <v>30</v>
      </c>
      <c r="L2122" s="24" t="s">
        <v>98</v>
      </c>
    </row>
    <row r="2123">
      <c r="A2123" s="24">
        <f t="shared" si="1"/>
        <v>2121</v>
      </c>
      <c r="B2123" s="24" t="s">
        <v>874</v>
      </c>
      <c r="C2123" s="275">
        <v>43224.0</v>
      </c>
      <c r="D2123" s="24" t="str">
        <f t="shared" si="162"/>
        <v>May-2018</v>
      </c>
      <c r="E2123" t="s">
        <v>149</v>
      </c>
      <c r="F2123" s="24" t="s">
        <v>862</v>
      </c>
      <c r="G2123" s="24" t="s">
        <v>592</v>
      </c>
      <c r="H2123" s="24" t="s">
        <v>9</v>
      </c>
      <c r="I2123" s="24" t="s">
        <v>9</v>
      </c>
      <c r="J2123" s="24" t="s">
        <v>30</v>
      </c>
      <c r="K2123" s="24"/>
      <c r="L2123" s="24" t="s">
        <v>69</v>
      </c>
    </row>
    <row r="2124">
      <c r="A2124" s="24">
        <f t="shared" si="1"/>
        <v>2122</v>
      </c>
      <c r="B2124" s="24" t="s">
        <v>874</v>
      </c>
      <c r="C2124" s="275">
        <v>43224.0</v>
      </c>
      <c r="D2124" s="24" t="str">
        <f t="shared" si="162"/>
        <v>May-2018</v>
      </c>
      <c r="E2124" t="s">
        <v>222</v>
      </c>
      <c r="F2124" s="24" t="s">
        <v>862</v>
      </c>
      <c r="G2124" s="24" t="s">
        <v>592</v>
      </c>
      <c r="H2124" s="24" t="s">
        <v>9</v>
      </c>
      <c r="I2124" s="24" t="s">
        <v>9</v>
      </c>
      <c r="J2124" s="24" t="s">
        <v>24</v>
      </c>
      <c r="K2124" s="24"/>
      <c r="L2124" s="24" t="s">
        <v>106</v>
      </c>
    </row>
    <row r="2125">
      <c r="A2125" s="24">
        <f t="shared" si="1"/>
        <v>2123</v>
      </c>
      <c r="B2125" s="24" t="s">
        <v>874</v>
      </c>
      <c r="C2125" s="275">
        <v>43224.0</v>
      </c>
      <c r="D2125" s="24" t="str">
        <f t="shared" si="162"/>
        <v>May-2018</v>
      </c>
      <c r="E2125" t="s">
        <v>467</v>
      </c>
      <c r="F2125" s="24" t="s">
        <v>862</v>
      </c>
      <c r="G2125" s="24" t="s">
        <v>592</v>
      </c>
      <c r="H2125" s="24" t="s">
        <v>9</v>
      </c>
      <c r="I2125" s="24" t="s">
        <v>9</v>
      </c>
      <c r="J2125" s="24" t="s">
        <v>30</v>
      </c>
      <c r="K2125" s="24"/>
      <c r="L2125" s="24" t="s">
        <v>99</v>
      </c>
    </row>
    <row r="2126">
      <c r="A2126" s="24">
        <f t="shared" si="1"/>
        <v>2124</v>
      </c>
      <c r="B2126" s="24" t="s">
        <v>874</v>
      </c>
      <c r="C2126" s="275">
        <v>43224.0</v>
      </c>
      <c r="D2126" s="24" t="str">
        <f t="shared" si="162"/>
        <v>May-2018</v>
      </c>
      <c r="E2126" s="24" t="s">
        <v>480</v>
      </c>
      <c r="F2126" s="24" t="s">
        <v>862</v>
      </c>
      <c r="G2126" s="24" t="s">
        <v>592</v>
      </c>
      <c r="H2126" s="24" t="s">
        <v>9</v>
      </c>
      <c r="I2126" s="24" t="s">
        <v>9</v>
      </c>
      <c r="J2126" s="24" t="s">
        <v>30</v>
      </c>
      <c r="K2126" s="24"/>
      <c r="L2126" s="24" t="s">
        <v>69</v>
      </c>
    </row>
    <row r="2127">
      <c r="A2127" s="24">
        <f t="shared" si="1"/>
        <v>2125</v>
      </c>
      <c r="B2127" s="24" t="s">
        <v>874</v>
      </c>
      <c r="C2127" s="275">
        <v>43224.0</v>
      </c>
      <c r="D2127" s="24" t="str">
        <f t="shared" si="162"/>
        <v>May-2018</v>
      </c>
      <c r="E2127" t="s">
        <v>146</v>
      </c>
      <c r="F2127" s="24" t="s">
        <v>862</v>
      </c>
      <c r="G2127" s="24" t="s">
        <v>592</v>
      </c>
      <c r="H2127" s="24" t="s">
        <v>9</v>
      </c>
      <c r="I2127" s="24" t="s">
        <v>27</v>
      </c>
      <c r="J2127" s="24" t="s">
        <v>30</v>
      </c>
      <c r="K2127" s="24" t="s">
        <v>24</v>
      </c>
      <c r="L2127" s="24" t="s">
        <v>69</v>
      </c>
    </row>
    <row r="2128">
      <c r="A2128" s="24">
        <f t="shared" si="1"/>
        <v>2126</v>
      </c>
      <c r="B2128" s="24" t="s">
        <v>874</v>
      </c>
      <c r="C2128" s="275">
        <v>43224.0</v>
      </c>
      <c r="D2128" s="24" t="str">
        <f t="shared" si="162"/>
        <v>May-2018</v>
      </c>
      <c r="E2128" t="s">
        <v>149</v>
      </c>
      <c r="F2128" s="24" t="s">
        <v>862</v>
      </c>
      <c r="G2128" s="24" t="s">
        <v>592</v>
      </c>
      <c r="H2128" s="24" t="s">
        <v>9</v>
      </c>
      <c r="I2128" s="24" t="s">
        <v>27</v>
      </c>
      <c r="J2128" s="24" t="s">
        <v>24</v>
      </c>
      <c r="K2128" s="24"/>
      <c r="L2128" s="24" t="s">
        <v>99</v>
      </c>
    </row>
    <row r="2129">
      <c r="A2129" s="24">
        <f t="shared" si="1"/>
        <v>2127</v>
      </c>
      <c r="B2129" s="24" t="s">
        <v>874</v>
      </c>
      <c r="C2129" s="275">
        <v>43224.0</v>
      </c>
      <c r="D2129" s="24" t="str">
        <f t="shared" si="162"/>
        <v>May-2018</v>
      </c>
      <c r="E2129" t="s">
        <v>222</v>
      </c>
      <c r="F2129" s="24" t="s">
        <v>862</v>
      </c>
      <c r="G2129" s="24" t="s">
        <v>592</v>
      </c>
      <c r="H2129" s="24" t="s">
        <v>44</v>
      </c>
      <c r="I2129" s="24" t="s">
        <v>27</v>
      </c>
      <c r="J2129" s="24" t="s">
        <v>24</v>
      </c>
      <c r="K2129" s="24"/>
      <c r="L2129" s="24" t="s">
        <v>29</v>
      </c>
    </row>
    <row r="2130">
      <c r="A2130" s="24">
        <f t="shared" si="1"/>
        <v>2128</v>
      </c>
      <c r="B2130" s="24" t="s">
        <v>874</v>
      </c>
      <c r="C2130" s="275">
        <v>43224.0</v>
      </c>
      <c r="D2130" s="24" t="str">
        <f t="shared" si="162"/>
        <v>May-2018</v>
      </c>
      <c r="E2130" t="s">
        <v>467</v>
      </c>
      <c r="F2130" s="24" t="s">
        <v>862</v>
      </c>
      <c r="G2130" s="24" t="s">
        <v>592</v>
      </c>
      <c r="H2130" s="24" t="s">
        <v>9</v>
      </c>
      <c r="I2130" s="24" t="s">
        <v>27</v>
      </c>
      <c r="J2130" s="24" t="s">
        <v>24</v>
      </c>
      <c r="K2130" s="24"/>
      <c r="L2130" s="24" t="s">
        <v>106</v>
      </c>
    </row>
    <row r="2131">
      <c r="A2131" s="24">
        <f t="shared" si="1"/>
        <v>2129</v>
      </c>
      <c r="B2131" s="24" t="s">
        <v>874</v>
      </c>
      <c r="C2131" s="275">
        <v>43224.0</v>
      </c>
      <c r="D2131" s="24" t="str">
        <f t="shared" si="162"/>
        <v>May-2018</v>
      </c>
      <c r="E2131" t="s">
        <v>146</v>
      </c>
      <c r="F2131" s="24" t="s">
        <v>862</v>
      </c>
      <c r="G2131" s="24" t="s">
        <v>592</v>
      </c>
      <c r="H2131" s="24" t="s">
        <v>9</v>
      </c>
      <c r="I2131" s="24" t="s">
        <v>9</v>
      </c>
      <c r="J2131" s="24" t="s">
        <v>30</v>
      </c>
      <c r="K2131" s="24" t="s">
        <v>30</v>
      </c>
      <c r="L2131" s="24" t="s">
        <v>69</v>
      </c>
    </row>
    <row r="2132">
      <c r="A2132" s="24">
        <f t="shared" si="1"/>
        <v>2130</v>
      </c>
      <c r="B2132" s="24" t="s">
        <v>874</v>
      </c>
      <c r="C2132" s="275">
        <v>43224.0</v>
      </c>
      <c r="D2132" s="24" t="str">
        <f t="shared" si="162"/>
        <v>May-2018</v>
      </c>
      <c r="E2132" t="s">
        <v>149</v>
      </c>
      <c r="F2132" s="24" t="s">
        <v>862</v>
      </c>
      <c r="G2132" s="24" t="s">
        <v>592</v>
      </c>
      <c r="H2132" s="24" t="s">
        <v>9</v>
      </c>
      <c r="I2132" s="24" t="s">
        <v>9</v>
      </c>
      <c r="J2132" s="24" t="s">
        <v>30</v>
      </c>
      <c r="K2132" s="24"/>
      <c r="L2132" s="24" t="s">
        <v>98</v>
      </c>
    </row>
    <row r="2133">
      <c r="A2133" s="24">
        <f t="shared" si="1"/>
        <v>2131</v>
      </c>
      <c r="B2133" s="24" t="s">
        <v>874</v>
      </c>
      <c r="C2133" s="275">
        <v>43224.0</v>
      </c>
      <c r="D2133" s="24" t="str">
        <f t="shared" si="162"/>
        <v>May-2018</v>
      </c>
      <c r="E2133" t="s">
        <v>222</v>
      </c>
      <c r="F2133" s="24" t="s">
        <v>862</v>
      </c>
      <c r="G2133" s="24" t="s">
        <v>592</v>
      </c>
      <c r="H2133" s="24" t="s">
        <v>9</v>
      </c>
      <c r="I2133" s="24" t="s">
        <v>9</v>
      </c>
      <c r="J2133" s="24" t="s">
        <v>30</v>
      </c>
      <c r="K2133" s="24"/>
      <c r="L2133" s="24" t="s">
        <v>106</v>
      </c>
    </row>
    <row r="2134">
      <c r="A2134" s="24">
        <f t="shared" si="1"/>
        <v>2132</v>
      </c>
      <c r="B2134" s="24" t="s">
        <v>879</v>
      </c>
      <c r="C2134" s="275">
        <v>43225.0</v>
      </c>
      <c r="D2134" s="24" t="str">
        <f t="shared" ref="D2134:D2141" si="163">TEXT(C2127:C2134, "mmm") &amp; "-" &amp; TEXT(C2127:C2134, "yyyy") </f>
        <v>May-2018</v>
      </c>
      <c r="E2134" t="s">
        <v>20</v>
      </c>
      <c r="F2134" s="24" t="s">
        <v>287</v>
      </c>
      <c r="G2134" s="24" t="s">
        <v>880</v>
      </c>
      <c r="H2134" s="24" t="s">
        <v>86</v>
      </c>
      <c r="I2134" s="24" t="s">
        <v>9</v>
      </c>
      <c r="J2134" s="24" t="s">
        <v>30</v>
      </c>
      <c r="K2134" s="24" t="s">
        <v>30</v>
      </c>
      <c r="L2134" s="24" t="s">
        <v>29</v>
      </c>
    </row>
    <row r="2135">
      <c r="A2135" s="24">
        <f t="shared" si="1"/>
        <v>2133</v>
      </c>
      <c r="B2135" s="24" t="s">
        <v>879</v>
      </c>
      <c r="C2135" s="275">
        <v>43225.0</v>
      </c>
      <c r="D2135" s="24" t="str">
        <f t="shared" si="163"/>
        <v>May-2018</v>
      </c>
      <c r="E2135" t="s">
        <v>25</v>
      </c>
      <c r="F2135" s="24" t="s">
        <v>287</v>
      </c>
      <c r="G2135" s="24" t="s">
        <v>880</v>
      </c>
      <c r="H2135" s="24" t="s">
        <v>86</v>
      </c>
      <c r="I2135" s="24" t="s">
        <v>9</v>
      </c>
      <c r="J2135" s="24" t="s">
        <v>30</v>
      </c>
      <c r="K2135" s="24"/>
      <c r="L2135" s="24" t="s">
        <v>98</v>
      </c>
    </row>
    <row r="2136">
      <c r="A2136" s="24">
        <f t="shared" si="1"/>
        <v>2134</v>
      </c>
      <c r="B2136" s="24" t="s">
        <v>879</v>
      </c>
      <c r="C2136" s="275">
        <v>43225.0</v>
      </c>
      <c r="D2136" s="24" t="str">
        <f t="shared" si="163"/>
        <v>May-2018</v>
      </c>
      <c r="E2136" t="s">
        <v>20</v>
      </c>
      <c r="F2136" s="24" t="s">
        <v>287</v>
      </c>
      <c r="G2136" s="24" t="s">
        <v>881</v>
      </c>
      <c r="H2136" s="24" t="s">
        <v>882</v>
      </c>
      <c r="I2136" s="24" t="s">
        <v>9</v>
      </c>
      <c r="J2136" s="24" t="s">
        <v>30</v>
      </c>
      <c r="K2136" s="24" t="s">
        <v>30</v>
      </c>
      <c r="L2136" s="24" t="s">
        <v>69</v>
      </c>
    </row>
    <row r="2137">
      <c r="A2137" s="24">
        <f t="shared" si="1"/>
        <v>2135</v>
      </c>
      <c r="B2137" s="24" t="s">
        <v>879</v>
      </c>
      <c r="C2137" s="275">
        <v>43225.0</v>
      </c>
      <c r="D2137" s="24" t="str">
        <f t="shared" si="163"/>
        <v>May-2018</v>
      </c>
      <c r="E2137" t="s">
        <v>25</v>
      </c>
      <c r="F2137" s="24" t="s">
        <v>287</v>
      </c>
      <c r="G2137" s="24" t="s">
        <v>881</v>
      </c>
      <c r="H2137" s="24" t="s">
        <v>882</v>
      </c>
      <c r="I2137" s="24" t="s">
        <v>9</v>
      </c>
      <c r="J2137" s="24" t="s">
        <v>30</v>
      </c>
      <c r="K2137" s="24"/>
      <c r="L2137" s="24" t="s">
        <v>106</v>
      </c>
    </row>
    <row r="2138">
      <c r="A2138" s="24">
        <f t="shared" si="1"/>
        <v>2136</v>
      </c>
      <c r="B2138" s="24" t="s">
        <v>879</v>
      </c>
      <c r="C2138" s="275">
        <v>43225.0</v>
      </c>
      <c r="D2138" s="24" t="str">
        <f t="shared" si="163"/>
        <v>May-2018</v>
      </c>
      <c r="E2138" t="s">
        <v>20</v>
      </c>
      <c r="F2138" s="24" t="s">
        <v>287</v>
      </c>
      <c r="G2138" s="24" t="s">
        <v>245</v>
      </c>
      <c r="H2138" s="24" t="s">
        <v>27</v>
      </c>
      <c r="I2138" s="24" t="s">
        <v>9</v>
      </c>
      <c r="J2138" s="24" t="s">
        <v>30</v>
      </c>
      <c r="K2138" s="24" t="s">
        <v>30</v>
      </c>
      <c r="L2138" s="24" t="s">
        <v>37</v>
      </c>
    </row>
    <row r="2139">
      <c r="A2139" s="24">
        <f t="shared" si="1"/>
        <v>2137</v>
      </c>
      <c r="B2139" s="24" t="s">
        <v>879</v>
      </c>
      <c r="C2139" s="275">
        <v>43225.0</v>
      </c>
      <c r="D2139" s="24" t="str">
        <f t="shared" si="163"/>
        <v>May-2018</v>
      </c>
      <c r="E2139" t="s">
        <v>25</v>
      </c>
      <c r="F2139" s="24" t="s">
        <v>287</v>
      </c>
      <c r="G2139" s="24" t="s">
        <v>245</v>
      </c>
      <c r="H2139" s="24" t="s">
        <v>27</v>
      </c>
      <c r="I2139" s="24" t="s">
        <v>9</v>
      </c>
      <c r="J2139" s="24" t="s">
        <v>30</v>
      </c>
      <c r="K2139" s="24"/>
      <c r="L2139" s="24" t="s">
        <v>99</v>
      </c>
    </row>
    <row r="2140">
      <c r="A2140" s="24">
        <f t="shared" si="1"/>
        <v>2138</v>
      </c>
      <c r="B2140" s="24" t="s">
        <v>879</v>
      </c>
      <c r="C2140" s="275">
        <v>43225.0</v>
      </c>
      <c r="D2140" s="24" t="str">
        <f t="shared" si="163"/>
        <v>May-2018</v>
      </c>
      <c r="E2140" t="s">
        <v>20</v>
      </c>
      <c r="F2140" s="24" t="s">
        <v>287</v>
      </c>
      <c r="G2140" s="24" t="s">
        <v>267</v>
      </c>
      <c r="H2140" s="24" t="s">
        <v>9</v>
      </c>
      <c r="I2140" s="24" t="s">
        <v>9</v>
      </c>
      <c r="J2140" s="24" t="s">
        <v>30</v>
      </c>
      <c r="K2140" s="24" t="s">
        <v>30</v>
      </c>
      <c r="L2140" s="24" t="s">
        <v>69</v>
      </c>
    </row>
    <row r="2141">
      <c r="A2141" s="24">
        <f t="shared" si="1"/>
        <v>2139</v>
      </c>
      <c r="B2141" s="24" t="s">
        <v>879</v>
      </c>
      <c r="C2141" s="275">
        <v>43225.0</v>
      </c>
      <c r="D2141" s="24" t="str">
        <f t="shared" si="163"/>
        <v>May-2018</v>
      </c>
      <c r="E2141" t="s">
        <v>25</v>
      </c>
      <c r="F2141" s="24" t="s">
        <v>287</v>
      </c>
      <c r="G2141" s="24" t="s">
        <v>267</v>
      </c>
      <c r="H2141" s="24" t="s">
        <v>9</v>
      </c>
      <c r="I2141" s="24" t="s">
        <v>9</v>
      </c>
      <c r="J2141" s="24" t="s">
        <v>24</v>
      </c>
      <c r="K2141" s="24"/>
      <c r="L2141" s="24" t="s">
        <v>106</v>
      </c>
    </row>
    <row r="2142">
      <c r="A2142" s="24">
        <f t="shared" si="1"/>
        <v>2140</v>
      </c>
      <c r="B2142" s="24" t="s">
        <v>879</v>
      </c>
      <c r="C2142" s="275">
        <v>43225.0</v>
      </c>
      <c r="D2142" s="24" t="str">
        <f t="shared" ref="D2142:D2156" si="164">TEXT(C2134:C2142, "mmm") &amp; "-" &amp; TEXT(C2134:C2142, "yyyy") </f>
        <v>May-2018</v>
      </c>
      <c r="E2142" t="s">
        <v>32</v>
      </c>
      <c r="F2142" s="24" t="s">
        <v>287</v>
      </c>
      <c r="G2142" s="24" t="s">
        <v>267</v>
      </c>
      <c r="H2142" s="24" t="s">
        <v>9</v>
      </c>
      <c r="I2142" s="24" t="s">
        <v>9</v>
      </c>
      <c r="J2142" s="24" t="s">
        <v>30</v>
      </c>
      <c r="K2142" s="24"/>
      <c r="L2142" s="24" t="s">
        <v>99</v>
      </c>
    </row>
    <row r="2143">
      <c r="A2143" s="24">
        <f t="shared" si="1"/>
        <v>2141</v>
      </c>
      <c r="B2143" s="24" t="s">
        <v>879</v>
      </c>
      <c r="C2143" s="275">
        <v>43225.0</v>
      </c>
      <c r="D2143" s="24" t="str">
        <f t="shared" si="164"/>
        <v>May-2018</v>
      </c>
      <c r="E2143" t="s">
        <v>20</v>
      </c>
      <c r="F2143" s="24" t="s">
        <v>287</v>
      </c>
      <c r="G2143" s="24" t="s">
        <v>364</v>
      </c>
      <c r="H2143" s="24" t="s">
        <v>86</v>
      </c>
      <c r="I2143" s="24" t="s">
        <v>9</v>
      </c>
      <c r="J2143" s="24" t="s">
        <v>24</v>
      </c>
      <c r="K2143" s="24" t="s">
        <v>24</v>
      </c>
      <c r="L2143" s="24" t="s">
        <v>69</v>
      </c>
    </row>
    <row r="2144">
      <c r="A2144" s="24">
        <f t="shared" si="1"/>
        <v>2142</v>
      </c>
      <c r="B2144" s="24" t="s">
        <v>879</v>
      </c>
      <c r="C2144" s="275">
        <v>43225.0</v>
      </c>
      <c r="D2144" s="24" t="str">
        <f t="shared" si="164"/>
        <v>May-2018</v>
      </c>
      <c r="E2144" t="s">
        <v>25</v>
      </c>
      <c r="F2144" s="24" t="s">
        <v>287</v>
      </c>
      <c r="G2144" s="24" t="s">
        <v>364</v>
      </c>
      <c r="H2144" s="24" t="s">
        <v>86</v>
      </c>
      <c r="I2144" s="24" t="s">
        <v>9</v>
      </c>
      <c r="J2144" s="24" t="s">
        <v>24</v>
      </c>
      <c r="K2144" s="24"/>
      <c r="L2144" s="24" t="s">
        <v>69</v>
      </c>
    </row>
    <row r="2145">
      <c r="A2145" s="24">
        <f t="shared" si="1"/>
        <v>2143</v>
      </c>
      <c r="B2145" s="24" t="s">
        <v>879</v>
      </c>
      <c r="C2145" s="275">
        <v>43225.0</v>
      </c>
      <c r="D2145" s="24" t="str">
        <f t="shared" si="164"/>
        <v>May-2018</v>
      </c>
      <c r="E2145" t="s">
        <v>20</v>
      </c>
      <c r="F2145" s="24" t="s">
        <v>287</v>
      </c>
      <c r="G2145" s="24" t="s">
        <v>375</v>
      </c>
      <c r="H2145" s="24" t="s">
        <v>48</v>
      </c>
      <c r="I2145" s="24" t="s">
        <v>9</v>
      </c>
      <c r="J2145" s="24" t="s">
        <v>24</v>
      </c>
      <c r="K2145" s="24" t="s">
        <v>24</v>
      </c>
      <c r="L2145" s="24" t="s">
        <v>98</v>
      </c>
    </row>
    <row r="2146">
      <c r="A2146" s="24">
        <f t="shared" si="1"/>
        <v>2144</v>
      </c>
      <c r="B2146" s="24" t="s">
        <v>879</v>
      </c>
      <c r="C2146" s="275">
        <v>43225.0</v>
      </c>
      <c r="D2146" s="24" t="str">
        <f t="shared" si="164"/>
        <v>May-2018</v>
      </c>
      <c r="E2146" t="s">
        <v>25</v>
      </c>
      <c r="F2146" s="24" t="s">
        <v>287</v>
      </c>
      <c r="G2146" s="24" t="s">
        <v>375</v>
      </c>
      <c r="H2146" s="24" t="s">
        <v>48</v>
      </c>
      <c r="I2146" s="24" t="s">
        <v>9</v>
      </c>
      <c r="J2146" s="24" t="s">
        <v>24</v>
      </c>
      <c r="K2146" s="24"/>
      <c r="L2146" s="24" t="s">
        <v>69</v>
      </c>
    </row>
    <row r="2147">
      <c r="A2147" s="24">
        <f t="shared" si="1"/>
        <v>2145</v>
      </c>
      <c r="B2147" s="24" t="s">
        <v>879</v>
      </c>
      <c r="C2147" s="275">
        <v>43225.0</v>
      </c>
      <c r="D2147" s="24" t="str">
        <f t="shared" si="164"/>
        <v>May-2018</v>
      </c>
      <c r="E2147" t="s">
        <v>20</v>
      </c>
      <c r="F2147" s="24" t="s">
        <v>287</v>
      </c>
      <c r="G2147" s="24" t="s">
        <v>886</v>
      </c>
      <c r="H2147" s="24" t="s">
        <v>44</v>
      </c>
      <c r="I2147" s="24" t="s">
        <v>9</v>
      </c>
      <c r="J2147" s="24" t="s">
        <v>30</v>
      </c>
      <c r="K2147" s="24" t="s">
        <v>30</v>
      </c>
      <c r="L2147" s="24" t="s">
        <v>98</v>
      </c>
    </row>
    <row r="2148">
      <c r="A2148" s="24">
        <f t="shared" si="1"/>
        <v>2146</v>
      </c>
      <c r="B2148" s="24" t="s">
        <v>879</v>
      </c>
      <c r="C2148" s="275">
        <v>43225.0</v>
      </c>
      <c r="D2148" s="24" t="str">
        <f t="shared" si="164"/>
        <v>May-2018</v>
      </c>
      <c r="E2148" t="s">
        <v>25</v>
      </c>
      <c r="F2148" s="24" t="s">
        <v>287</v>
      </c>
      <c r="G2148" s="24" t="s">
        <v>886</v>
      </c>
      <c r="H2148" s="24" t="s">
        <v>44</v>
      </c>
      <c r="I2148" s="24" t="s">
        <v>9</v>
      </c>
      <c r="J2148" s="24" t="s">
        <v>30</v>
      </c>
      <c r="K2148" s="24"/>
      <c r="L2148" s="24" t="s">
        <v>106</v>
      </c>
    </row>
    <row r="2149">
      <c r="A2149" s="24">
        <f t="shared" si="1"/>
        <v>2147</v>
      </c>
      <c r="B2149" s="24" t="s">
        <v>879</v>
      </c>
      <c r="C2149" s="275">
        <v>43225.0</v>
      </c>
      <c r="D2149" s="24" t="str">
        <f t="shared" si="164"/>
        <v>May-2018</v>
      </c>
      <c r="E2149" t="s">
        <v>20</v>
      </c>
      <c r="F2149" s="24" t="s">
        <v>35</v>
      </c>
      <c r="G2149" s="24" t="s">
        <v>122</v>
      </c>
      <c r="H2149" s="24" t="s">
        <v>44</v>
      </c>
      <c r="I2149" s="24" t="s">
        <v>9</v>
      </c>
      <c r="J2149" s="24" t="s">
        <v>30</v>
      </c>
      <c r="K2149" s="24" t="s">
        <v>30</v>
      </c>
      <c r="L2149" s="24" t="s">
        <v>98</v>
      </c>
    </row>
    <row r="2150">
      <c r="A2150" s="24">
        <f t="shared" si="1"/>
        <v>2148</v>
      </c>
      <c r="B2150" s="24" t="s">
        <v>879</v>
      </c>
      <c r="C2150" s="275">
        <v>43225.0</v>
      </c>
      <c r="D2150" s="24" t="str">
        <f t="shared" si="164"/>
        <v>May-2018</v>
      </c>
      <c r="E2150" t="s">
        <v>25</v>
      </c>
      <c r="F2150" s="24" t="s">
        <v>35</v>
      </c>
      <c r="G2150" s="24" t="s">
        <v>122</v>
      </c>
      <c r="H2150" s="24" t="s">
        <v>44</v>
      </c>
      <c r="I2150" s="24" t="s">
        <v>9</v>
      </c>
      <c r="J2150" s="24" t="s">
        <v>30</v>
      </c>
      <c r="K2150" s="24"/>
      <c r="L2150" s="24" t="s">
        <v>106</v>
      </c>
    </row>
    <row r="2151">
      <c r="A2151" s="24">
        <f t="shared" si="1"/>
        <v>2149</v>
      </c>
      <c r="B2151" s="24" t="s">
        <v>879</v>
      </c>
      <c r="C2151" s="275">
        <v>43225.0</v>
      </c>
      <c r="D2151" s="24" t="str">
        <f t="shared" si="164"/>
        <v>May-2018</v>
      </c>
      <c r="E2151" t="s">
        <v>20</v>
      </c>
      <c r="F2151" s="24" t="s">
        <v>35</v>
      </c>
      <c r="G2151" s="24" t="s">
        <v>424</v>
      </c>
      <c r="H2151" s="24" t="s">
        <v>27</v>
      </c>
      <c r="I2151" s="24" t="s">
        <v>9</v>
      </c>
      <c r="J2151" s="24" t="s">
        <v>30</v>
      </c>
      <c r="K2151" s="24" t="s">
        <v>30</v>
      </c>
      <c r="L2151" s="24" t="s">
        <v>69</v>
      </c>
    </row>
    <row r="2152">
      <c r="A2152" s="24">
        <f t="shared" si="1"/>
        <v>2150</v>
      </c>
      <c r="B2152" s="24" t="s">
        <v>879</v>
      </c>
      <c r="C2152" s="275">
        <v>43225.0</v>
      </c>
      <c r="D2152" s="24" t="str">
        <f t="shared" si="164"/>
        <v>May-2018</v>
      </c>
      <c r="E2152" t="s">
        <v>25</v>
      </c>
      <c r="F2152" s="24" t="s">
        <v>35</v>
      </c>
      <c r="G2152" s="24" t="s">
        <v>424</v>
      </c>
      <c r="H2152" s="24" t="s">
        <v>27</v>
      </c>
      <c r="I2152" s="24" t="s">
        <v>9</v>
      </c>
      <c r="J2152" s="24" t="s">
        <v>30</v>
      </c>
      <c r="K2152" s="24"/>
      <c r="L2152" s="24" t="s">
        <v>106</v>
      </c>
    </row>
    <row r="2153">
      <c r="A2153" s="24">
        <f t="shared" si="1"/>
        <v>2151</v>
      </c>
      <c r="B2153" s="24" t="s">
        <v>879</v>
      </c>
      <c r="C2153" s="275">
        <v>43225.0</v>
      </c>
      <c r="D2153" s="24" t="str">
        <f t="shared" si="164"/>
        <v>May-2018</v>
      </c>
      <c r="E2153" t="s">
        <v>20</v>
      </c>
      <c r="F2153" s="24" t="s">
        <v>35</v>
      </c>
      <c r="G2153" s="24" t="s">
        <v>257</v>
      </c>
      <c r="H2153" s="24" t="s">
        <v>71</v>
      </c>
      <c r="I2153" s="24" t="s">
        <v>9</v>
      </c>
      <c r="J2153" s="24" t="s">
        <v>24</v>
      </c>
      <c r="K2153" s="24" t="s">
        <v>24</v>
      </c>
      <c r="L2153" s="24" t="s">
        <v>99</v>
      </c>
    </row>
    <row r="2154">
      <c r="A2154" s="24">
        <f t="shared" si="1"/>
        <v>2152</v>
      </c>
      <c r="B2154" s="24" t="s">
        <v>879</v>
      </c>
      <c r="C2154" s="275">
        <v>43225.0</v>
      </c>
      <c r="D2154" s="24" t="str">
        <f t="shared" si="164"/>
        <v>May-2018</v>
      </c>
      <c r="E2154" t="s">
        <v>25</v>
      </c>
      <c r="F2154" s="24" t="s">
        <v>35</v>
      </c>
      <c r="G2154" s="24" t="s">
        <v>257</v>
      </c>
      <c r="H2154" s="24" t="s">
        <v>71</v>
      </c>
      <c r="I2154" s="24" t="s">
        <v>9</v>
      </c>
      <c r="J2154" s="24" t="s">
        <v>24</v>
      </c>
      <c r="K2154" s="24"/>
      <c r="L2154" s="24" t="s">
        <v>69</v>
      </c>
    </row>
    <row r="2155">
      <c r="A2155" s="24">
        <f t="shared" si="1"/>
        <v>2153</v>
      </c>
      <c r="B2155" s="24" t="s">
        <v>879</v>
      </c>
      <c r="C2155" s="275">
        <v>43225.0</v>
      </c>
      <c r="D2155" s="24" t="str">
        <f t="shared" si="164"/>
        <v>May-2018</v>
      </c>
      <c r="E2155" t="s">
        <v>20</v>
      </c>
      <c r="F2155" s="24" t="s">
        <v>35</v>
      </c>
      <c r="G2155" s="24" t="s">
        <v>501</v>
      </c>
      <c r="H2155" s="24" t="s">
        <v>102</v>
      </c>
      <c r="I2155" s="24" t="s">
        <v>9</v>
      </c>
      <c r="J2155" s="24" t="s">
        <v>24</v>
      </c>
      <c r="K2155" s="24" t="s">
        <v>24</v>
      </c>
      <c r="L2155" s="24" t="s">
        <v>98</v>
      </c>
    </row>
    <row r="2156">
      <c r="A2156" s="24">
        <f t="shared" si="1"/>
        <v>2154</v>
      </c>
      <c r="B2156" s="24" t="s">
        <v>879</v>
      </c>
      <c r="C2156" s="275">
        <v>43225.0</v>
      </c>
      <c r="D2156" s="24" t="str">
        <f t="shared" si="164"/>
        <v>May-2018</v>
      </c>
      <c r="E2156" t="s">
        <v>25</v>
      </c>
      <c r="F2156" s="24" t="s">
        <v>35</v>
      </c>
      <c r="G2156" s="24" t="s">
        <v>501</v>
      </c>
      <c r="H2156" s="24" t="s">
        <v>102</v>
      </c>
      <c r="I2156" s="24" t="s">
        <v>9</v>
      </c>
      <c r="J2156" s="24" t="s">
        <v>24</v>
      </c>
      <c r="K2156" s="24"/>
      <c r="L2156" s="24" t="s">
        <v>106</v>
      </c>
    </row>
    <row r="2157">
      <c r="A2157" s="24">
        <f t="shared" si="1"/>
        <v>2155</v>
      </c>
      <c r="B2157" s="24" t="s">
        <v>887</v>
      </c>
      <c r="C2157" s="340">
        <v>43243.0</v>
      </c>
      <c r="D2157" s="24" t="str">
        <f t="shared" ref="D2157:D2164" si="165">TEXT(C2150:C2157, "mmm") &amp; "-" &amp; TEXT(C2150:C2157, "yyyy") </f>
        <v>May-2018</v>
      </c>
      <c r="E2157" t="s">
        <v>20</v>
      </c>
      <c r="F2157" s="24" t="s">
        <v>35</v>
      </c>
      <c r="G2157" s="24" t="s">
        <v>579</v>
      </c>
      <c r="H2157" s="24" t="s">
        <v>97</v>
      </c>
      <c r="I2157" s="24" t="s">
        <v>9</v>
      </c>
      <c r="J2157" s="24" t="s">
        <v>30</v>
      </c>
      <c r="K2157" s="24" t="s">
        <v>30</v>
      </c>
      <c r="L2157" s="24" t="s">
        <v>69</v>
      </c>
    </row>
    <row r="2158">
      <c r="A2158" s="24">
        <f t="shared" si="1"/>
        <v>2156</v>
      </c>
      <c r="B2158" s="24" t="s">
        <v>887</v>
      </c>
      <c r="C2158" s="340">
        <v>43243.0</v>
      </c>
      <c r="D2158" s="24" t="str">
        <f t="shared" si="165"/>
        <v>May-2018</v>
      </c>
      <c r="E2158" t="s">
        <v>25</v>
      </c>
      <c r="F2158" s="24" t="s">
        <v>35</v>
      </c>
      <c r="G2158" s="24" t="s">
        <v>579</v>
      </c>
      <c r="H2158" s="24" t="s">
        <v>97</v>
      </c>
      <c r="I2158" s="24" t="s">
        <v>9</v>
      </c>
      <c r="J2158" s="24" t="s">
        <v>30</v>
      </c>
      <c r="K2158" s="24"/>
      <c r="L2158" s="24" t="s">
        <v>37</v>
      </c>
    </row>
    <row r="2159">
      <c r="A2159" s="24">
        <f t="shared" si="1"/>
        <v>2157</v>
      </c>
      <c r="B2159" s="24" t="s">
        <v>887</v>
      </c>
      <c r="C2159" s="340">
        <v>43243.0</v>
      </c>
      <c r="D2159" s="24" t="str">
        <f t="shared" si="165"/>
        <v>May-2018</v>
      </c>
      <c r="E2159" t="s">
        <v>20</v>
      </c>
      <c r="F2159" s="24" t="s">
        <v>35</v>
      </c>
      <c r="G2159" s="24" t="s">
        <v>218</v>
      </c>
      <c r="H2159" s="24" t="s">
        <v>86</v>
      </c>
      <c r="I2159" s="24" t="s">
        <v>9</v>
      </c>
      <c r="J2159" s="24" t="s">
        <v>30</v>
      </c>
      <c r="K2159" s="24" t="s">
        <v>30</v>
      </c>
      <c r="L2159" s="24" t="s">
        <v>69</v>
      </c>
    </row>
    <row r="2160">
      <c r="A2160" s="24">
        <f t="shared" si="1"/>
        <v>2158</v>
      </c>
      <c r="B2160" s="24" t="s">
        <v>887</v>
      </c>
      <c r="C2160" s="340">
        <v>43243.0</v>
      </c>
      <c r="D2160" s="24" t="str">
        <f t="shared" si="165"/>
        <v>May-2018</v>
      </c>
      <c r="E2160" t="s">
        <v>25</v>
      </c>
      <c r="F2160" s="24" t="s">
        <v>35</v>
      </c>
      <c r="G2160" s="24" t="s">
        <v>218</v>
      </c>
      <c r="H2160" s="24" t="s">
        <v>86</v>
      </c>
      <c r="I2160" s="24" t="s">
        <v>9</v>
      </c>
      <c r="J2160" s="24" t="s">
        <v>30</v>
      </c>
      <c r="K2160" s="24"/>
      <c r="L2160" s="24" t="s">
        <v>98</v>
      </c>
    </row>
    <row r="2161">
      <c r="A2161" s="24">
        <f t="shared" si="1"/>
        <v>2159</v>
      </c>
      <c r="B2161" s="24" t="s">
        <v>887</v>
      </c>
      <c r="C2161" s="340">
        <v>43243.0</v>
      </c>
      <c r="D2161" s="24" t="str">
        <f t="shared" si="165"/>
        <v>May-2018</v>
      </c>
      <c r="E2161" t="s">
        <v>20</v>
      </c>
      <c r="F2161" s="24" t="s">
        <v>35</v>
      </c>
      <c r="G2161" s="24" t="s">
        <v>409</v>
      </c>
      <c r="H2161" s="24" t="s">
        <v>23</v>
      </c>
      <c r="I2161" s="24" t="s">
        <v>9</v>
      </c>
      <c r="J2161" s="24" t="s">
        <v>30</v>
      </c>
      <c r="K2161" s="24" t="s">
        <v>30</v>
      </c>
      <c r="L2161" s="24" t="s">
        <v>69</v>
      </c>
    </row>
    <row r="2162">
      <c r="A2162" s="24">
        <f t="shared" si="1"/>
        <v>2160</v>
      </c>
      <c r="B2162" s="24" t="s">
        <v>887</v>
      </c>
      <c r="C2162" s="340">
        <v>43243.0</v>
      </c>
      <c r="D2162" s="24" t="str">
        <f t="shared" si="165"/>
        <v>May-2018</v>
      </c>
      <c r="E2162" t="s">
        <v>25</v>
      </c>
      <c r="F2162" s="24" t="s">
        <v>35</v>
      </c>
      <c r="G2162" s="24" t="s">
        <v>409</v>
      </c>
      <c r="H2162" s="24" t="s">
        <v>23</v>
      </c>
      <c r="I2162" s="24" t="s">
        <v>9</v>
      </c>
      <c r="J2162" s="24" t="s">
        <v>30</v>
      </c>
      <c r="K2162" s="24"/>
      <c r="L2162" s="24" t="s">
        <v>99</v>
      </c>
    </row>
    <row r="2163">
      <c r="A2163" s="24">
        <f t="shared" si="1"/>
        <v>2161</v>
      </c>
      <c r="B2163" s="24" t="s">
        <v>887</v>
      </c>
      <c r="C2163" s="340">
        <v>43243.0</v>
      </c>
      <c r="D2163" s="24" t="str">
        <f t="shared" si="165"/>
        <v>May-2018</v>
      </c>
      <c r="E2163" t="s">
        <v>146</v>
      </c>
      <c r="F2163" s="24" t="s">
        <v>35</v>
      </c>
      <c r="G2163" s="24" t="s">
        <v>194</v>
      </c>
      <c r="H2163" s="24" t="s">
        <v>23</v>
      </c>
      <c r="I2163" s="24" t="s">
        <v>9</v>
      </c>
      <c r="J2163" s="24" t="s">
        <v>24</v>
      </c>
      <c r="K2163" s="24" t="s">
        <v>24</v>
      </c>
      <c r="L2163" s="24" t="s">
        <v>37</v>
      </c>
    </row>
    <row r="2164">
      <c r="A2164" s="24">
        <f t="shared" si="1"/>
        <v>2162</v>
      </c>
      <c r="B2164" s="24" t="s">
        <v>887</v>
      </c>
      <c r="C2164" s="340">
        <v>43243.0</v>
      </c>
      <c r="D2164" s="24" t="str">
        <f t="shared" si="165"/>
        <v>May-2018</v>
      </c>
      <c r="E2164" t="s">
        <v>149</v>
      </c>
      <c r="F2164" s="24" t="s">
        <v>35</v>
      </c>
      <c r="G2164" s="24" t="s">
        <v>194</v>
      </c>
      <c r="H2164" s="24" t="s">
        <v>23</v>
      </c>
      <c r="I2164" s="24" t="s">
        <v>9</v>
      </c>
      <c r="J2164" s="24" t="s">
        <v>24</v>
      </c>
      <c r="K2164" s="24"/>
      <c r="L2164" s="24" t="s">
        <v>29</v>
      </c>
    </row>
    <row r="2165">
      <c r="A2165" s="24">
        <f t="shared" si="1"/>
        <v>2163</v>
      </c>
      <c r="B2165" s="24" t="s">
        <v>887</v>
      </c>
      <c r="C2165" s="340">
        <v>43243.0</v>
      </c>
      <c r="D2165" s="24" t="str">
        <f t="shared" ref="D2165:D2168" si="166">TEXT(C2157:C2165, "mmm") &amp; "-" &amp; TEXT(C2157:C2165, "yyyy") </f>
        <v>May-2018</v>
      </c>
      <c r="E2165" t="s">
        <v>222</v>
      </c>
      <c r="F2165" s="24" t="s">
        <v>35</v>
      </c>
      <c r="G2165" s="24" t="s">
        <v>194</v>
      </c>
      <c r="H2165" s="24" t="s">
        <v>23</v>
      </c>
      <c r="I2165" s="24" t="s">
        <v>9</v>
      </c>
      <c r="J2165" s="24" t="s">
        <v>24</v>
      </c>
      <c r="K2165" s="24"/>
      <c r="L2165" s="24" t="s">
        <v>29</v>
      </c>
    </row>
    <row r="2166">
      <c r="A2166" s="24">
        <f t="shared" si="1"/>
        <v>2164</v>
      </c>
      <c r="B2166" s="24" t="s">
        <v>887</v>
      </c>
      <c r="C2166" s="340">
        <v>43243.0</v>
      </c>
      <c r="D2166" s="24" t="str">
        <f t="shared" si="166"/>
        <v>May-2018</v>
      </c>
      <c r="E2166" t="s">
        <v>146</v>
      </c>
      <c r="F2166" s="24" t="s">
        <v>35</v>
      </c>
      <c r="G2166" s="24" t="s">
        <v>218</v>
      </c>
      <c r="H2166" s="24" t="s">
        <v>86</v>
      </c>
      <c r="I2166" s="24" t="s">
        <v>9</v>
      </c>
      <c r="J2166" s="24" t="s">
        <v>24</v>
      </c>
      <c r="K2166" s="24" t="s">
        <v>24</v>
      </c>
      <c r="L2166" s="24" t="s">
        <v>69</v>
      </c>
    </row>
    <row r="2167">
      <c r="A2167" s="24">
        <f t="shared" si="1"/>
        <v>2165</v>
      </c>
      <c r="B2167" s="24" t="s">
        <v>887</v>
      </c>
      <c r="C2167" s="340">
        <v>43243.0</v>
      </c>
      <c r="D2167" s="24" t="str">
        <f t="shared" si="166"/>
        <v>May-2018</v>
      </c>
      <c r="E2167" t="s">
        <v>149</v>
      </c>
      <c r="F2167" s="24" t="s">
        <v>35</v>
      </c>
      <c r="G2167" s="24" t="s">
        <v>218</v>
      </c>
      <c r="H2167" s="24" t="s">
        <v>86</v>
      </c>
      <c r="I2167" s="24" t="s">
        <v>9</v>
      </c>
      <c r="J2167" s="24" t="s">
        <v>24</v>
      </c>
      <c r="K2167" s="24"/>
      <c r="L2167" s="24" t="s">
        <v>29</v>
      </c>
    </row>
    <row r="2168">
      <c r="A2168" s="24">
        <f t="shared" si="1"/>
        <v>2166</v>
      </c>
      <c r="B2168" s="24" t="s">
        <v>887</v>
      </c>
      <c r="C2168" s="340">
        <v>43243.0</v>
      </c>
      <c r="D2168" s="24" t="str">
        <f t="shared" si="166"/>
        <v>May-2018</v>
      </c>
      <c r="E2168" t="s">
        <v>222</v>
      </c>
      <c r="F2168" s="24" t="s">
        <v>35</v>
      </c>
      <c r="G2168" s="24" t="s">
        <v>218</v>
      </c>
      <c r="H2168" s="24" t="s">
        <v>86</v>
      </c>
      <c r="I2168" s="24" t="s">
        <v>9</v>
      </c>
      <c r="J2168" s="24" t="s">
        <v>24</v>
      </c>
      <c r="K2168" s="24"/>
      <c r="L2168" s="24" t="s">
        <v>29</v>
      </c>
    </row>
    <row r="2169">
      <c r="A2169" s="24">
        <f t="shared" si="1"/>
        <v>2167</v>
      </c>
      <c r="B2169" s="24" t="s">
        <v>890</v>
      </c>
      <c r="C2169" s="275">
        <v>43249.0</v>
      </c>
      <c r="D2169" s="24" t="str">
        <f t="shared" ref="D2169:D2176" si="167">TEXT(C2162:C2169, "mmm") &amp; "-" &amp; TEXT(C2162:C2169, "yyyy") </f>
        <v>May-2018</v>
      </c>
      <c r="E2169" t="s">
        <v>146</v>
      </c>
      <c r="F2169" s="24" t="s">
        <v>35</v>
      </c>
      <c r="G2169" s="24" t="s">
        <v>607</v>
      </c>
      <c r="H2169" s="24" t="s">
        <v>27</v>
      </c>
      <c r="I2169" s="24" t="s">
        <v>9</v>
      </c>
      <c r="J2169" s="24" t="s">
        <v>30</v>
      </c>
      <c r="K2169" s="24" t="s">
        <v>30</v>
      </c>
      <c r="L2169" s="24" t="s">
        <v>98</v>
      </c>
    </row>
    <row r="2170">
      <c r="A2170" s="24">
        <f t="shared" si="1"/>
        <v>2168</v>
      </c>
      <c r="B2170" s="24" t="s">
        <v>890</v>
      </c>
      <c r="C2170" s="275">
        <v>43249.0</v>
      </c>
      <c r="D2170" s="24" t="str">
        <f t="shared" si="167"/>
        <v>May-2018</v>
      </c>
      <c r="E2170" t="s">
        <v>149</v>
      </c>
      <c r="F2170" s="24" t="s">
        <v>35</v>
      </c>
      <c r="G2170" s="24" t="s">
        <v>607</v>
      </c>
      <c r="H2170" s="24" t="s">
        <v>139</v>
      </c>
      <c r="I2170" s="24" t="s">
        <v>9</v>
      </c>
      <c r="J2170" s="24" t="s">
        <v>30</v>
      </c>
      <c r="K2170" s="24"/>
      <c r="L2170" s="24" t="s">
        <v>29</v>
      </c>
    </row>
    <row r="2171">
      <c r="A2171" s="24">
        <f t="shared" si="1"/>
        <v>2169</v>
      </c>
      <c r="B2171" s="24" t="s">
        <v>890</v>
      </c>
      <c r="C2171" s="275">
        <v>43249.0</v>
      </c>
      <c r="D2171" s="24" t="str">
        <f t="shared" si="167"/>
        <v>May-2018</v>
      </c>
      <c r="E2171" t="s">
        <v>222</v>
      </c>
      <c r="F2171" s="24" t="s">
        <v>35</v>
      </c>
      <c r="G2171" s="24" t="s">
        <v>607</v>
      </c>
      <c r="H2171" s="24" t="s">
        <v>27</v>
      </c>
      <c r="I2171" s="24" t="s">
        <v>64</v>
      </c>
      <c r="J2171" s="24" t="s">
        <v>24</v>
      </c>
      <c r="K2171" s="24"/>
      <c r="L2171" s="24" t="s">
        <v>29</v>
      </c>
    </row>
    <row r="2172">
      <c r="A2172" s="24">
        <f t="shared" si="1"/>
        <v>2170</v>
      </c>
      <c r="B2172" s="24" t="s">
        <v>890</v>
      </c>
      <c r="C2172" s="275">
        <v>43249.0</v>
      </c>
      <c r="D2172" s="24" t="str">
        <f t="shared" si="167"/>
        <v>May-2018</v>
      </c>
      <c r="E2172" t="s">
        <v>467</v>
      </c>
      <c r="F2172" s="24" t="s">
        <v>35</v>
      </c>
      <c r="G2172" s="24" t="s">
        <v>607</v>
      </c>
      <c r="H2172" s="24" t="s">
        <v>40</v>
      </c>
      <c r="I2172" s="24" t="s">
        <v>64</v>
      </c>
      <c r="J2172" s="24" t="s">
        <v>30</v>
      </c>
      <c r="K2172" s="24"/>
      <c r="L2172" s="24" t="s">
        <v>69</v>
      </c>
    </row>
    <row r="2173">
      <c r="A2173" s="24">
        <f t="shared" si="1"/>
        <v>2171</v>
      </c>
      <c r="B2173" s="24" t="s">
        <v>890</v>
      </c>
      <c r="C2173" s="275">
        <v>43249.0</v>
      </c>
      <c r="D2173" s="24" t="str">
        <f t="shared" si="167"/>
        <v>May-2018</v>
      </c>
      <c r="E2173" t="s">
        <v>146</v>
      </c>
      <c r="F2173" s="24" t="s">
        <v>35</v>
      </c>
      <c r="G2173" s="24" t="s">
        <v>148</v>
      </c>
      <c r="H2173" s="24" t="s">
        <v>27</v>
      </c>
      <c r="I2173" s="24" t="s">
        <v>9</v>
      </c>
      <c r="J2173" s="24" t="s">
        <v>24</v>
      </c>
      <c r="K2173" s="24" t="s">
        <v>24</v>
      </c>
      <c r="L2173" s="24" t="s">
        <v>37</v>
      </c>
    </row>
    <row r="2174">
      <c r="A2174" s="24">
        <f t="shared" si="1"/>
        <v>2172</v>
      </c>
      <c r="B2174" s="24" t="s">
        <v>890</v>
      </c>
      <c r="C2174" s="275">
        <v>43249.0</v>
      </c>
      <c r="D2174" s="24" t="str">
        <f t="shared" si="167"/>
        <v>May-2018</v>
      </c>
      <c r="E2174" t="s">
        <v>149</v>
      </c>
      <c r="F2174" s="24" t="s">
        <v>35</v>
      </c>
      <c r="G2174" s="24" t="s">
        <v>148</v>
      </c>
      <c r="H2174" s="24" t="s">
        <v>27</v>
      </c>
      <c r="I2174" s="24" t="s">
        <v>9</v>
      </c>
      <c r="J2174" s="24" t="s">
        <v>24</v>
      </c>
      <c r="K2174" s="24"/>
      <c r="L2174" s="24" t="s">
        <v>98</v>
      </c>
    </row>
    <row r="2175">
      <c r="A2175" s="24">
        <f t="shared" si="1"/>
        <v>2173</v>
      </c>
      <c r="B2175" s="24" t="s">
        <v>890</v>
      </c>
      <c r="C2175" s="275">
        <v>43249.0</v>
      </c>
      <c r="D2175" s="24" t="str">
        <f t="shared" si="167"/>
        <v>May-2018</v>
      </c>
      <c r="E2175" t="s">
        <v>222</v>
      </c>
      <c r="F2175" s="24" t="s">
        <v>35</v>
      </c>
      <c r="G2175" s="24" t="s">
        <v>148</v>
      </c>
      <c r="H2175" s="24" t="s">
        <v>27</v>
      </c>
      <c r="I2175" s="24" t="s">
        <v>9</v>
      </c>
      <c r="J2175" s="24" t="s">
        <v>24</v>
      </c>
      <c r="K2175" s="24"/>
      <c r="L2175" s="24" t="s">
        <v>69</v>
      </c>
    </row>
    <row r="2176">
      <c r="A2176" s="24">
        <f t="shared" si="1"/>
        <v>2174</v>
      </c>
      <c r="B2176" s="24" t="s">
        <v>890</v>
      </c>
      <c r="C2176" s="275">
        <v>43249.0</v>
      </c>
      <c r="D2176" s="24" t="str">
        <f t="shared" si="167"/>
        <v>May-2018</v>
      </c>
      <c r="E2176" t="s">
        <v>146</v>
      </c>
      <c r="F2176" s="24" t="s">
        <v>35</v>
      </c>
      <c r="G2176" s="24">
        <v>808.0</v>
      </c>
      <c r="H2176" s="24" t="s">
        <v>216</v>
      </c>
      <c r="I2176" s="24" t="s">
        <v>9</v>
      </c>
      <c r="J2176" s="24" t="s">
        <v>30</v>
      </c>
      <c r="K2176" s="24" t="s">
        <v>30</v>
      </c>
      <c r="L2176" s="24" t="s">
        <v>37</v>
      </c>
    </row>
    <row r="2177">
      <c r="A2177" s="24">
        <f t="shared" si="1"/>
        <v>2175</v>
      </c>
      <c r="B2177" s="24" t="s">
        <v>890</v>
      </c>
      <c r="C2177" s="275">
        <v>43249.0</v>
      </c>
      <c r="D2177" s="24" t="str">
        <f t="shared" ref="D2177:D2194" si="168">TEXT(C2169:C2177, "mmm") &amp; "-" &amp; TEXT(C2169:C2177, "yyyy") </f>
        <v>May-2018</v>
      </c>
      <c r="E2177" t="s">
        <v>149</v>
      </c>
      <c r="F2177" s="24" t="s">
        <v>35</v>
      </c>
      <c r="G2177" s="24">
        <v>808.0</v>
      </c>
      <c r="H2177" s="24" t="s">
        <v>216</v>
      </c>
      <c r="I2177" s="24" t="s">
        <v>64</v>
      </c>
      <c r="J2177" s="24" t="s">
        <v>30</v>
      </c>
      <c r="K2177" s="24"/>
      <c r="L2177" s="24" t="s">
        <v>29</v>
      </c>
    </row>
    <row r="2178">
      <c r="A2178" s="24">
        <f t="shared" si="1"/>
        <v>2176</v>
      </c>
      <c r="B2178" s="24" t="s">
        <v>890</v>
      </c>
      <c r="C2178" s="275">
        <v>43249.0</v>
      </c>
      <c r="D2178" s="24" t="str">
        <f t="shared" si="168"/>
        <v>May-2018</v>
      </c>
      <c r="E2178" t="s">
        <v>222</v>
      </c>
      <c r="F2178" s="24" t="s">
        <v>35</v>
      </c>
      <c r="G2178" s="24">
        <v>808.0</v>
      </c>
      <c r="H2178" s="24" t="s">
        <v>216</v>
      </c>
      <c r="I2178" s="24" t="s">
        <v>64</v>
      </c>
      <c r="J2178" s="24" t="s">
        <v>24</v>
      </c>
      <c r="K2178" s="24"/>
      <c r="L2178" s="24" t="s">
        <v>29</v>
      </c>
    </row>
    <row r="2179">
      <c r="A2179" s="24">
        <f t="shared" si="1"/>
        <v>2177</v>
      </c>
      <c r="B2179" s="24" t="s">
        <v>890</v>
      </c>
      <c r="C2179" s="275">
        <v>43249.0</v>
      </c>
      <c r="D2179" s="24" t="str">
        <f t="shared" si="168"/>
        <v>May-2018</v>
      </c>
      <c r="E2179" t="s">
        <v>467</v>
      </c>
      <c r="F2179" s="24" t="s">
        <v>35</v>
      </c>
      <c r="G2179" s="24">
        <v>808.0</v>
      </c>
      <c r="H2179" s="24" t="s">
        <v>216</v>
      </c>
      <c r="I2179" s="24" t="s">
        <v>9</v>
      </c>
      <c r="J2179" s="24" t="s">
        <v>24</v>
      </c>
      <c r="K2179" s="24"/>
      <c r="L2179" s="24" t="s">
        <v>69</v>
      </c>
    </row>
    <row r="2180">
      <c r="A2180" s="24">
        <f t="shared" si="1"/>
        <v>2178</v>
      </c>
      <c r="B2180" s="24" t="s">
        <v>890</v>
      </c>
      <c r="C2180" s="275">
        <v>43249.0</v>
      </c>
      <c r="D2180" s="24" t="str">
        <f t="shared" si="168"/>
        <v>May-2018</v>
      </c>
      <c r="E2180" s="24" t="s">
        <v>480</v>
      </c>
      <c r="F2180" s="24" t="s">
        <v>35</v>
      </c>
      <c r="G2180" s="24">
        <v>808.0</v>
      </c>
      <c r="H2180" s="24" t="s">
        <v>216</v>
      </c>
      <c r="I2180" s="24" t="s">
        <v>64</v>
      </c>
      <c r="J2180" s="24" t="s">
        <v>30</v>
      </c>
      <c r="K2180" s="24"/>
      <c r="L2180" s="24" t="s">
        <v>69</v>
      </c>
    </row>
    <row r="2181">
      <c r="A2181" s="24">
        <f t="shared" si="1"/>
        <v>2179</v>
      </c>
      <c r="B2181" s="24" t="s">
        <v>890</v>
      </c>
      <c r="C2181" s="275">
        <v>43249.0</v>
      </c>
      <c r="D2181" s="24" t="str">
        <f t="shared" si="168"/>
        <v>May-2018</v>
      </c>
      <c r="E2181" t="s">
        <v>146</v>
      </c>
      <c r="F2181" s="24" t="s">
        <v>35</v>
      </c>
      <c r="G2181" s="24" t="s">
        <v>892</v>
      </c>
      <c r="H2181" s="24" t="s">
        <v>40</v>
      </c>
      <c r="I2181" s="24" t="s">
        <v>9</v>
      </c>
      <c r="J2181" s="24" t="s">
        <v>30</v>
      </c>
      <c r="K2181" s="24" t="s">
        <v>30</v>
      </c>
      <c r="L2181" s="24" t="s">
        <v>69</v>
      </c>
    </row>
    <row r="2182">
      <c r="A2182" s="24">
        <f t="shared" si="1"/>
        <v>2180</v>
      </c>
      <c r="B2182" s="24" t="s">
        <v>890</v>
      </c>
      <c r="C2182" s="275">
        <v>43249.0</v>
      </c>
      <c r="D2182" s="24" t="str">
        <f t="shared" si="168"/>
        <v>May-2018</v>
      </c>
      <c r="E2182" t="s">
        <v>149</v>
      </c>
      <c r="F2182" s="24" t="s">
        <v>35</v>
      </c>
      <c r="G2182" s="24" t="s">
        <v>892</v>
      </c>
      <c r="H2182" s="24" t="s">
        <v>23</v>
      </c>
      <c r="I2182" s="24" t="s">
        <v>9</v>
      </c>
      <c r="J2182" s="24" t="s">
        <v>30</v>
      </c>
      <c r="K2182" s="24"/>
      <c r="L2182" s="24" t="s">
        <v>98</v>
      </c>
    </row>
    <row r="2183">
      <c r="A2183" s="24">
        <f t="shared" si="1"/>
        <v>2181</v>
      </c>
      <c r="B2183" s="24" t="s">
        <v>890</v>
      </c>
      <c r="C2183" s="275">
        <v>43249.0</v>
      </c>
      <c r="D2183" s="24" t="str">
        <f t="shared" si="168"/>
        <v>May-2018</v>
      </c>
      <c r="E2183" t="s">
        <v>222</v>
      </c>
      <c r="F2183" s="24" t="s">
        <v>35</v>
      </c>
      <c r="G2183" s="24" t="s">
        <v>892</v>
      </c>
      <c r="H2183" s="24" t="s">
        <v>44</v>
      </c>
      <c r="I2183" s="24" t="s">
        <v>64</v>
      </c>
      <c r="J2183" s="24" t="s">
        <v>24</v>
      </c>
      <c r="K2183" s="24"/>
      <c r="L2183" s="24" t="s">
        <v>98</v>
      </c>
    </row>
    <row r="2184">
      <c r="A2184" s="24">
        <f t="shared" si="1"/>
        <v>2182</v>
      </c>
      <c r="B2184" s="24" t="s">
        <v>890</v>
      </c>
      <c r="C2184" s="275">
        <v>43249.0</v>
      </c>
      <c r="D2184" s="24" t="str">
        <f t="shared" si="168"/>
        <v>May-2018</v>
      </c>
      <c r="E2184" t="s">
        <v>467</v>
      </c>
      <c r="F2184" s="24" t="s">
        <v>35</v>
      </c>
      <c r="G2184" s="24" t="s">
        <v>892</v>
      </c>
      <c r="H2184" s="24" t="s">
        <v>44</v>
      </c>
      <c r="I2184" s="24" t="s">
        <v>9</v>
      </c>
      <c r="J2184" s="24" t="s">
        <v>30</v>
      </c>
      <c r="K2184" s="24"/>
      <c r="L2184" s="24" t="s">
        <v>106</v>
      </c>
    </row>
    <row r="2185">
      <c r="A2185" s="24">
        <f t="shared" si="1"/>
        <v>2183</v>
      </c>
      <c r="B2185" s="24" t="s">
        <v>890</v>
      </c>
      <c r="C2185" s="275">
        <v>43249.0</v>
      </c>
      <c r="D2185" s="24" t="str">
        <f t="shared" si="168"/>
        <v>May-2018</v>
      </c>
      <c r="E2185" t="s">
        <v>146</v>
      </c>
      <c r="F2185" s="24" t="s">
        <v>35</v>
      </c>
      <c r="G2185" s="24" t="s">
        <v>148</v>
      </c>
      <c r="H2185" s="24" t="s">
        <v>9</v>
      </c>
      <c r="I2185" s="24" t="s">
        <v>9</v>
      </c>
      <c r="J2185" s="24" t="s">
        <v>24</v>
      </c>
      <c r="K2185" s="24" t="s">
        <v>30</v>
      </c>
      <c r="L2185" s="24" t="s">
        <v>99</v>
      </c>
    </row>
    <row r="2186">
      <c r="A2186" s="24">
        <f t="shared" si="1"/>
        <v>2184</v>
      </c>
      <c r="B2186" s="24" t="s">
        <v>890</v>
      </c>
      <c r="C2186" s="275">
        <v>43249.0</v>
      </c>
      <c r="D2186" s="24" t="str">
        <f t="shared" si="168"/>
        <v>May-2018</v>
      </c>
      <c r="E2186" t="s">
        <v>149</v>
      </c>
      <c r="F2186" s="24" t="s">
        <v>35</v>
      </c>
      <c r="G2186" s="24" t="s">
        <v>148</v>
      </c>
      <c r="H2186" s="24" t="s">
        <v>9</v>
      </c>
      <c r="I2186" s="24" t="s">
        <v>9</v>
      </c>
      <c r="J2186" s="24" t="s">
        <v>24</v>
      </c>
      <c r="K2186" s="24"/>
      <c r="L2186" s="24" t="s">
        <v>106</v>
      </c>
    </row>
    <row r="2187">
      <c r="A2187" s="24">
        <f t="shared" si="1"/>
        <v>2185</v>
      </c>
      <c r="B2187" s="24" t="s">
        <v>890</v>
      </c>
      <c r="C2187" s="275">
        <v>43249.0</v>
      </c>
      <c r="D2187" s="24" t="str">
        <f t="shared" si="168"/>
        <v>May-2018</v>
      </c>
      <c r="E2187" t="s">
        <v>222</v>
      </c>
      <c r="F2187" s="24" t="s">
        <v>35</v>
      </c>
      <c r="G2187" s="24" t="s">
        <v>148</v>
      </c>
      <c r="H2187" s="24" t="s">
        <v>9</v>
      </c>
      <c r="I2187" s="24" t="s">
        <v>9</v>
      </c>
      <c r="J2187" s="24" t="s">
        <v>30</v>
      </c>
      <c r="K2187" s="24"/>
      <c r="L2187" s="24" t="s">
        <v>69</v>
      </c>
    </row>
    <row r="2188">
      <c r="A2188" s="24">
        <f t="shared" si="1"/>
        <v>2186</v>
      </c>
      <c r="B2188" s="24" t="s">
        <v>890</v>
      </c>
      <c r="C2188" s="275">
        <v>43249.0</v>
      </c>
      <c r="D2188" s="24" t="str">
        <f t="shared" si="168"/>
        <v>May-2018</v>
      </c>
      <c r="E2188" t="s">
        <v>467</v>
      </c>
      <c r="F2188" s="24" t="s">
        <v>35</v>
      </c>
      <c r="G2188" s="24" t="s">
        <v>148</v>
      </c>
      <c r="H2188" s="24" t="s">
        <v>9</v>
      </c>
      <c r="I2188" s="24" t="s">
        <v>9</v>
      </c>
      <c r="J2188" s="24" t="s">
        <v>30</v>
      </c>
      <c r="K2188" s="24"/>
      <c r="L2188" s="24" t="s">
        <v>29</v>
      </c>
    </row>
    <row r="2189">
      <c r="A2189" s="24">
        <f t="shared" si="1"/>
        <v>2187</v>
      </c>
      <c r="B2189" s="24" t="s">
        <v>890</v>
      </c>
      <c r="C2189" s="275">
        <v>43249.0</v>
      </c>
      <c r="D2189" s="24" t="str">
        <f t="shared" si="168"/>
        <v>May-2018</v>
      </c>
      <c r="E2189" s="24" t="s">
        <v>480</v>
      </c>
      <c r="F2189" s="24" t="s">
        <v>35</v>
      </c>
      <c r="G2189" s="24" t="s">
        <v>148</v>
      </c>
      <c r="H2189" s="24" t="s">
        <v>27</v>
      </c>
      <c r="I2189" s="24" t="s">
        <v>9</v>
      </c>
      <c r="J2189" s="24" t="s">
        <v>30</v>
      </c>
      <c r="K2189" s="24"/>
      <c r="L2189" s="24" t="s">
        <v>29</v>
      </c>
    </row>
    <row r="2190">
      <c r="A2190" s="24">
        <f t="shared" si="1"/>
        <v>2188</v>
      </c>
      <c r="B2190" s="24" t="s">
        <v>890</v>
      </c>
      <c r="C2190" s="275">
        <v>43249.0</v>
      </c>
      <c r="D2190" s="24" t="str">
        <f t="shared" si="168"/>
        <v>May-2018</v>
      </c>
      <c r="E2190" t="s">
        <v>146</v>
      </c>
      <c r="F2190" s="24" t="s">
        <v>35</v>
      </c>
      <c r="G2190" s="24" t="s">
        <v>81</v>
      </c>
      <c r="H2190" s="24" t="s">
        <v>48</v>
      </c>
      <c r="I2190" s="24" t="s">
        <v>9</v>
      </c>
      <c r="J2190" s="24" t="s">
        <v>24</v>
      </c>
      <c r="K2190" s="24" t="s">
        <v>24</v>
      </c>
      <c r="L2190" s="24" t="s">
        <v>98</v>
      </c>
    </row>
    <row r="2191">
      <c r="A2191" s="24">
        <f t="shared" si="1"/>
        <v>2189</v>
      </c>
      <c r="B2191" s="24" t="s">
        <v>890</v>
      </c>
      <c r="C2191" s="275">
        <v>43249.0</v>
      </c>
      <c r="D2191" s="24" t="str">
        <f t="shared" si="168"/>
        <v>May-2018</v>
      </c>
      <c r="E2191" t="s">
        <v>149</v>
      </c>
      <c r="F2191" s="24" t="s">
        <v>35</v>
      </c>
      <c r="G2191" s="24" t="s">
        <v>81</v>
      </c>
      <c r="H2191" s="24" t="s">
        <v>216</v>
      </c>
      <c r="I2191" s="24" t="s">
        <v>9</v>
      </c>
      <c r="J2191" s="24" t="s">
        <v>30</v>
      </c>
      <c r="K2191" s="24"/>
      <c r="L2191" s="24" t="s">
        <v>69</v>
      </c>
    </row>
    <row r="2192">
      <c r="A2192" s="24">
        <f t="shared" si="1"/>
        <v>2190</v>
      </c>
      <c r="B2192" s="24" t="s">
        <v>890</v>
      </c>
      <c r="C2192" s="275">
        <v>43249.0</v>
      </c>
      <c r="D2192" s="24" t="str">
        <f t="shared" si="168"/>
        <v>May-2018</v>
      </c>
      <c r="E2192" t="s">
        <v>222</v>
      </c>
      <c r="F2192" s="24" t="s">
        <v>35</v>
      </c>
      <c r="G2192" s="24" t="s">
        <v>81</v>
      </c>
      <c r="H2192" s="24" t="s">
        <v>48</v>
      </c>
      <c r="I2192" s="24" t="s">
        <v>9</v>
      </c>
      <c r="J2192" s="24" t="s">
        <v>30</v>
      </c>
      <c r="K2192" s="24"/>
      <c r="L2192" s="24" t="s">
        <v>99</v>
      </c>
    </row>
    <row r="2193">
      <c r="A2193" s="24">
        <f t="shared" si="1"/>
        <v>2191</v>
      </c>
      <c r="B2193" s="24" t="s">
        <v>890</v>
      </c>
      <c r="C2193" s="275">
        <v>43249.0</v>
      </c>
      <c r="D2193" s="24" t="str">
        <f t="shared" si="168"/>
        <v>May-2018</v>
      </c>
      <c r="E2193" t="s">
        <v>467</v>
      </c>
      <c r="F2193" s="24" t="s">
        <v>35</v>
      </c>
      <c r="G2193" s="24" t="s">
        <v>81</v>
      </c>
      <c r="H2193" s="24" t="s">
        <v>9</v>
      </c>
      <c r="I2193" s="24" t="s">
        <v>9</v>
      </c>
      <c r="J2193" s="24" t="s">
        <v>24</v>
      </c>
      <c r="K2193" s="24"/>
      <c r="L2193" s="24" t="s">
        <v>37</v>
      </c>
    </row>
    <row r="2194">
      <c r="A2194" s="24">
        <f t="shared" si="1"/>
        <v>2192</v>
      </c>
      <c r="B2194" s="24" t="s">
        <v>890</v>
      </c>
      <c r="C2194" s="275">
        <v>43249.0</v>
      </c>
      <c r="D2194" s="24" t="str">
        <f t="shared" si="168"/>
        <v>May-2018</v>
      </c>
      <c r="E2194" s="24" t="s">
        <v>480</v>
      </c>
      <c r="F2194" s="24" t="s">
        <v>35</v>
      </c>
      <c r="G2194" s="24" t="s">
        <v>81</v>
      </c>
      <c r="H2194" s="24" t="s">
        <v>9</v>
      </c>
      <c r="I2194" s="24" t="s">
        <v>9</v>
      </c>
      <c r="J2194" s="24" t="s">
        <v>24</v>
      </c>
      <c r="K2194" s="24"/>
      <c r="L2194" s="24" t="s">
        <v>106</v>
      </c>
    </row>
    <row r="2195">
      <c r="A2195" s="24">
        <f t="shared" si="1"/>
        <v>2193</v>
      </c>
      <c r="B2195" s="24" t="s">
        <v>893</v>
      </c>
      <c r="C2195" s="275">
        <v>43259.0</v>
      </c>
      <c r="D2195" s="24" t="str">
        <f t="shared" ref="D2195:D2202" si="169">TEXT(C2188:C2195, "mmm") &amp; "-" &amp; TEXT(C2188:C2195, "yyyy") </f>
        <v>Jun-2018</v>
      </c>
      <c r="E2195" t="s">
        <v>20</v>
      </c>
      <c r="F2195" s="24" t="s">
        <v>35</v>
      </c>
      <c r="G2195" t="s">
        <v>895</v>
      </c>
      <c r="H2195" s="24" t="s">
        <v>48</v>
      </c>
      <c r="I2195" s="24" t="s">
        <v>9</v>
      </c>
      <c r="J2195" s="24" t="s">
        <v>30</v>
      </c>
      <c r="K2195" s="24" t="s">
        <v>30</v>
      </c>
      <c r="L2195" s="24" t="s">
        <v>29</v>
      </c>
    </row>
    <row r="2196">
      <c r="A2196" s="24">
        <f t="shared" si="1"/>
        <v>2194</v>
      </c>
      <c r="B2196" s="24" t="s">
        <v>893</v>
      </c>
      <c r="C2196" s="275">
        <v>43259.0</v>
      </c>
      <c r="D2196" s="24" t="str">
        <f t="shared" si="169"/>
        <v>Jun-2018</v>
      </c>
      <c r="E2196" t="s">
        <v>25</v>
      </c>
      <c r="F2196" s="24" t="s">
        <v>35</v>
      </c>
      <c r="G2196" t="s">
        <v>895</v>
      </c>
      <c r="H2196" s="24" t="s">
        <v>48</v>
      </c>
      <c r="I2196" s="24" t="s">
        <v>9</v>
      </c>
      <c r="J2196" s="24" t="s">
        <v>30</v>
      </c>
      <c r="K2196" s="24"/>
      <c r="L2196" s="24" t="s">
        <v>99</v>
      </c>
    </row>
    <row r="2197">
      <c r="A2197" s="24">
        <f t="shared" si="1"/>
        <v>2195</v>
      </c>
      <c r="B2197" s="24" t="s">
        <v>893</v>
      </c>
      <c r="C2197" s="275">
        <v>43259.0</v>
      </c>
      <c r="D2197" s="24" t="str">
        <f t="shared" si="169"/>
        <v>Jun-2018</v>
      </c>
      <c r="E2197" t="s">
        <v>20</v>
      </c>
      <c r="F2197" s="24" t="s">
        <v>35</v>
      </c>
      <c r="G2197" s="24" t="s">
        <v>407</v>
      </c>
      <c r="H2197" s="24" t="s">
        <v>44</v>
      </c>
      <c r="I2197" s="24" t="s">
        <v>9</v>
      </c>
      <c r="J2197" s="24" t="s">
        <v>30</v>
      </c>
      <c r="K2197" s="24" t="s">
        <v>30</v>
      </c>
      <c r="L2197" s="24" t="s">
        <v>69</v>
      </c>
    </row>
    <row r="2198">
      <c r="A2198" s="24">
        <f t="shared" si="1"/>
        <v>2196</v>
      </c>
      <c r="B2198" s="24" t="s">
        <v>893</v>
      </c>
      <c r="C2198" s="275">
        <v>43259.0</v>
      </c>
      <c r="D2198" s="24" t="str">
        <f t="shared" si="169"/>
        <v>Jun-2018</v>
      </c>
      <c r="E2198" t="s">
        <v>25</v>
      </c>
      <c r="F2198" s="24" t="s">
        <v>35</v>
      </c>
      <c r="G2198" s="24" t="s">
        <v>407</v>
      </c>
      <c r="H2198" s="24" t="s">
        <v>44</v>
      </c>
      <c r="I2198" s="24" t="s">
        <v>9</v>
      </c>
      <c r="J2198" s="24" t="s">
        <v>24</v>
      </c>
      <c r="K2198" s="24"/>
      <c r="L2198" s="24" t="s">
        <v>99</v>
      </c>
    </row>
    <row r="2199">
      <c r="A2199" s="24">
        <f t="shared" si="1"/>
        <v>2197</v>
      </c>
      <c r="B2199" s="24" t="s">
        <v>893</v>
      </c>
      <c r="C2199" s="275">
        <v>43259.0</v>
      </c>
      <c r="D2199" s="24" t="str">
        <f t="shared" si="169"/>
        <v>Jun-2018</v>
      </c>
      <c r="E2199" t="s">
        <v>32</v>
      </c>
      <c r="F2199" s="24" t="s">
        <v>35</v>
      </c>
      <c r="G2199" s="24" t="s">
        <v>407</v>
      </c>
      <c r="H2199" s="24" t="s">
        <v>44</v>
      </c>
      <c r="I2199" s="24" t="s">
        <v>9</v>
      </c>
      <c r="J2199" s="24" t="s">
        <v>30</v>
      </c>
      <c r="K2199" s="24"/>
      <c r="L2199" s="24" t="s">
        <v>106</v>
      </c>
    </row>
    <row r="2200">
      <c r="A2200" s="24">
        <f t="shared" si="1"/>
        <v>2198</v>
      </c>
      <c r="B2200" s="24" t="s">
        <v>893</v>
      </c>
      <c r="C2200" s="275">
        <v>43259.0</v>
      </c>
      <c r="D2200" s="24" t="str">
        <f t="shared" si="169"/>
        <v>Jun-2018</v>
      </c>
      <c r="E2200" t="s">
        <v>146</v>
      </c>
      <c r="F2200" s="24" t="s">
        <v>35</v>
      </c>
      <c r="G2200" s="24" t="s">
        <v>194</v>
      </c>
      <c r="H2200" s="24" t="s">
        <v>23</v>
      </c>
      <c r="I2200" s="24" t="s">
        <v>9</v>
      </c>
      <c r="J2200" s="24" t="s">
        <v>24</v>
      </c>
      <c r="K2200" s="24" t="s">
        <v>24</v>
      </c>
      <c r="L2200" s="24" t="s">
        <v>99</v>
      </c>
    </row>
    <row r="2201">
      <c r="A2201" s="24">
        <f t="shared" si="1"/>
        <v>2199</v>
      </c>
      <c r="B2201" s="24" t="s">
        <v>893</v>
      </c>
      <c r="C2201" s="275">
        <v>43259.0</v>
      </c>
      <c r="D2201" s="24" t="str">
        <f t="shared" si="169"/>
        <v>Jun-2018</v>
      </c>
      <c r="E2201" t="s">
        <v>149</v>
      </c>
      <c r="F2201" s="24" t="s">
        <v>35</v>
      </c>
      <c r="G2201" s="24" t="s">
        <v>194</v>
      </c>
      <c r="H2201" s="24" t="s">
        <v>27</v>
      </c>
      <c r="I2201" s="24" t="s">
        <v>9</v>
      </c>
      <c r="J2201" s="24" t="s">
        <v>24</v>
      </c>
      <c r="K2201" s="24"/>
      <c r="L2201" s="24" t="s">
        <v>29</v>
      </c>
    </row>
    <row r="2202">
      <c r="A2202" s="24">
        <f t="shared" si="1"/>
        <v>2200</v>
      </c>
      <c r="B2202" s="24" t="s">
        <v>893</v>
      </c>
      <c r="C2202" s="275">
        <v>43259.0</v>
      </c>
      <c r="D2202" s="24" t="str">
        <f t="shared" si="169"/>
        <v>Jun-2018</v>
      </c>
      <c r="E2202" t="s">
        <v>222</v>
      </c>
      <c r="F2202" s="24" t="s">
        <v>35</v>
      </c>
      <c r="G2202" s="24" t="s">
        <v>194</v>
      </c>
      <c r="H2202" s="24" t="s">
        <v>27</v>
      </c>
      <c r="I2202" s="24" t="s">
        <v>9</v>
      </c>
      <c r="J2202" s="24" t="s">
        <v>24</v>
      </c>
      <c r="K2202" s="24"/>
      <c r="L2202" s="24" t="s">
        <v>29</v>
      </c>
    </row>
    <row r="2203">
      <c r="A2203" s="24">
        <f t="shared" si="1"/>
        <v>2201</v>
      </c>
      <c r="B2203" s="24" t="s">
        <v>893</v>
      </c>
      <c r="C2203" s="275">
        <v>43259.0</v>
      </c>
      <c r="D2203" s="24" t="str">
        <f t="shared" ref="D2203:D2206" si="170">TEXT(C2195:C2203, "mmm") &amp; "-" &amp; TEXT(C2195:C2203, "yyyy") </f>
        <v>Jun-2018</v>
      </c>
      <c r="E2203" t="s">
        <v>146</v>
      </c>
      <c r="F2203" s="24" t="s">
        <v>35</v>
      </c>
      <c r="G2203" s="24" t="s">
        <v>399</v>
      </c>
      <c r="H2203" s="24" t="s">
        <v>9</v>
      </c>
      <c r="I2203" s="24" t="s">
        <v>9</v>
      </c>
      <c r="J2203" s="24" t="s">
        <v>24</v>
      </c>
      <c r="K2203" s="24" t="s">
        <v>24</v>
      </c>
      <c r="L2203" s="24" t="s">
        <v>69</v>
      </c>
    </row>
    <row r="2204">
      <c r="A2204" s="24">
        <f t="shared" si="1"/>
        <v>2202</v>
      </c>
      <c r="B2204" s="24" t="s">
        <v>893</v>
      </c>
      <c r="C2204" s="275">
        <v>43259.0</v>
      </c>
      <c r="D2204" s="24" t="str">
        <f t="shared" si="170"/>
        <v>Jun-2018</v>
      </c>
      <c r="E2204" t="s">
        <v>149</v>
      </c>
      <c r="F2204" s="24" t="s">
        <v>35</v>
      </c>
      <c r="G2204" s="24" t="s">
        <v>399</v>
      </c>
      <c r="H2204" s="24" t="s">
        <v>9</v>
      </c>
      <c r="I2204" s="24" t="s">
        <v>9</v>
      </c>
      <c r="J2204" s="24" t="s">
        <v>24</v>
      </c>
      <c r="K2204" s="24"/>
      <c r="L2204" s="24" t="s">
        <v>106</v>
      </c>
    </row>
    <row r="2205">
      <c r="A2205" s="24">
        <f t="shared" si="1"/>
        <v>2203</v>
      </c>
      <c r="B2205" s="24" t="s">
        <v>893</v>
      </c>
      <c r="C2205" s="275">
        <v>43259.0</v>
      </c>
      <c r="D2205" s="24" t="str">
        <f t="shared" si="170"/>
        <v>Jun-2018</v>
      </c>
      <c r="E2205" t="s">
        <v>222</v>
      </c>
      <c r="F2205" s="24" t="s">
        <v>35</v>
      </c>
      <c r="G2205" s="24" t="s">
        <v>399</v>
      </c>
      <c r="H2205" s="24" t="s">
        <v>9</v>
      </c>
      <c r="I2205" s="24" t="s">
        <v>9</v>
      </c>
      <c r="J2205" s="24" t="s">
        <v>30</v>
      </c>
      <c r="K2205" s="24"/>
      <c r="L2205" s="24" t="s">
        <v>69</v>
      </c>
    </row>
    <row r="2206">
      <c r="A2206" s="24">
        <f t="shared" si="1"/>
        <v>2204</v>
      </c>
      <c r="B2206" s="24" t="s">
        <v>893</v>
      </c>
      <c r="C2206" s="275">
        <v>43259.0</v>
      </c>
      <c r="D2206" s="24" t="str">
        <f t="shared" si="170"/>
        <v>Jun-2018</v>
      </c>
      <c r="E2206" t="s">
        <v>467</v>
      </c>
      <c r="F2206" s="24" t="s">
        <v>35</v>
      </c>
      <c r="G2206" s="24" t="s">
        <v>399</v>
      </c>
      <c r="H2206" s="24" t="s">
        <v>9</v>
      </c>
      <c r="I2206" s="24" t="s">
        <v>9</v>
      </c>
      <c r="J2206" s="24" t="s">
        <v>24</v>
      </c>
      <c r="K2206" s="24"/>
      <c r="L2206" s="24" t="s">
        <v>37</v>
      </c>
    </row>
    <row r="2207">
      <c r="A2207" s="24">
        <f t="shared" si="1"/>
        <v>2205</v>
      </c>
      <c r="B2207" s="24" t="s">
        <v>899</v>
      </c>
      <c r="C2207" s="275">
        <v>43264.0</v>
      </c>
      <c r="D2207" s="24" t="str">
        <f t="shared" ref="D2207:D2214" si="171">TEXT(C2200:C2207, "mmm") &amp; "-" &amp; TEXT(C2200:C2207, "yyyy") </f>
        <v>Jun-2018</v>
      </c>
      <c r="E2207" t="s">
        <v>20</v>
      </c>
      <c r="F2207" s="24" t="s">
        <v>35</v>
      </c>
      <c r="G2207" s="24" t="s">
        <v>900</v>
      </c>
      <c r="H2207" s="24" t="s">
        <v>97</v>
      </c>
      <c r="I2207" s="24" t="s">
        <v>9</v>
      </c>
      <c r="J2207" s="24" t="s">
        <v>30</v>
      </c>
      <c r="K2207" s="24" t="s">
        <v>30</v>
      </c>
      <c r="L2207" s="24" t="s">
        <v>99</v>
      </c>
    </row>
    <row r="2208">
      <c r="A2208" s="24">
        <f t="shared" si="1"/>
        <v>2206</v>
      </c>
      <c r="B2208" s="24" t="s">
        <v>899</v>
      </c>
      <c r="C2208" s="275">
        <v>43264.0</v>
      </c>
      <c r="D2208" s="24" t="str">
        <f t="shared" si="171"/>
        <v>Jun-2018</v>
      </c>
      <c r="E2208" t="s">
        <v>25</v>
      </c>
      <c r="F2208" s="24" t="s">
        <v>35</v>
      </c>
      <c r="G2208" s="24" t="s">
        <v>900</v>
      </c>
      <c r="H2208" s="24" t="s">
        <v>97</v>
      </c>
      <c r="I2208" s="24" t="s">
        <v>9</v>
      </c>
      <c r="J2208" s="24" t="s">
        <v>30</v>
      </c>
      <c r="K2208" s="24"/>
      <c r="L2208" s="24" t="s">
        <v>37</v>
      </c>
    </row>
    <row r="2209">
      <c r="A2209" s="24">
        <f t="shared" si="1"/>
        <v>2207</v>
      </c>
      <c r="B2209" s="24" t="s">
        <v>899</v>
      </c>
      <c r="C2209" s="275">
        <v>43264.0</v>
      </c>
      <c r="D2209" s="24" t="str">
        <f t="shared" si="171"/>
        <v>Jun-2018</v>
      </c>
      <c r="E2209" t="s">
        <v>20</v>
      </c>
      <c r="F2209" s="24" t="s">
        <v>35</v>
      </c>
      <c r="G2209" s="24" t="s">
        <v>36</v>
      </c>
      <c r="H2209" s="24" t="s">
        <v>27</v>
      </c>
      <c r="I2209" s="24" t="s">
        <v>9</v>
      </c>
      <c r="J2209" s="24" t="s">
        <v>30</v>
      </c>
      <c r="K2209" s="24" t="s">
        <v>24</v>
      </c>
      <c r="L2209" s="24" t="s">
        <v>69</v>
      </c>
    </row>
    <row r="2210">
      <c r="A2210" s="24">
        <f t="shared" si="1"/>
        <v>2208</v>
      </c>
      <c r="B2210" s="24" t="s">
        <v>899</v>
      </c>
      <c r="C2210" s="275">
        <v>43264.0</v>
      </c>
      <c r="D2210" s="24" t="str">
        <f t="shared" si="171"/>
        <v>Jun-2018</v>
      </c>
      <c r="E2210" t="s">
        <v>25</v>
      </c>
      <c r="F2210" s="24" t="s">
        <v>35</v>
      </c>
      <c r="G2210" s="24" t="s">
        <v>36</v>
      </c>
      <c r="H2210" s="24" t="s">
        <v>27</v>
      </c>
      <c r="I2210" s="24" t="s">
        <v>9</v>
      </c>
      <c r="J2210" s="24" t="s">
        <v>24</v>
      </c>
      <c r="K2210" s="24"/>
      <c r="L2210" s="24" t="s">
        <v>37</v>
      </c>
    </row>
    <row r="2211">
      <c r="A2211" s="24">
        <f t="shared" si="1"/>
        <v>2209</v>
      </c>
      <c r="B2211" s="24" t="s">
        <v>899</v>
      </c>
      <c r="C2211" s="275">
        <v>43264.0</v>
      </c>
      <c r="D2211" s="24" t="str">
        <f t="shared" si="171"/>
        <v>Jun-2018</v>
      </c>
      <c r="E2211" t="s">
        <v>32</v>
      </c>
      <c r="F2211" s="24" t="s">
        <v>35</v>
      </c>
      <c r="G2211" s="24" t="s">
        <v>36</v>
      </c>
      <c r="H2211" s="24" t="s">
        <v>27</v>
      </c>
      <c r="I2211" s="24" t="s">
        <v>9</v>
      </c>
      <c r="J2211" s="24" t="s">
        <v>24</v>
      </c>
      <c r="K2211" s="24"/>
      <c r="L2211" s="24" t="s">
        <v>106</v>
      </c>
    </row>
    <row r="2212">
      <c r="A2212" s="24">
        <f t="shared" si="1"/>
        <v>2210</v>
      </c>
      <c r="B2212" s="24" t="s">
        <v>899</v>
      </c>
      <c r="C2212" s="275">
        <v>43264.0</v>
      </c>
      <c r="D2212" s="24" t="str">
        <f t="shared" si="171"/>
        <v>Jun-2018</v>
      </c>
      <c r="E2212" t="s">
        <v>20</v>
      </c>
      <c r="F2212" s="24" t="s">
        <v>35</v>
      </c>
      <c r="G2212" s="24" t="s">
        <v>471</v>
      </c>
      <c r="H2212" s="24" t="s">
        <v>71</v>
      </c>
      <c r="I2212" s="24" t="s">
        <v>9</v>
      </c>
      <c r="J2212" s="24" t="s">
        <v>30</v>
      </c>
      <c r="K2212" s="24" t="s">
        <v>30</v>
      </c>
      <c r="L2212" s="24" t="s">
        <v>99</v>
      </c>
    </row>
    <row r="2213">
      <c r="A2213" s="24">
        <f t="shared" si="1"/>
        <v>2211</v>
      </c>
      <c r="B2213" s="24" t="s">
        <v>899</v>
      </c>
      <c r="C2213" s="275">
        <v>43264.0</v>
      </c>
      <c r="D2213" s="24" t="str">
        <f t="shared" si="171"/>
        <v>Jun-2018</v>
      </c>
      <c r="E2213" t="s">
        <v>25</v>
      </c>
      <c r="F2213" s="24" t="s">
        <v>35</v>
      </c>
      <c r="G2213" s="24" t="s">
        <v>471</v>
      </c>
      <c r="H2213" s="24" t="s">
        <v>71</v>
      </c>
      <c r="I2213" s="24" t="s">
        <v>9</v>
      </c>
      <c r="J2213" s="24" t="s">
        <v>30</v>
      </c>
      <c r="K2213" s="24"/>
      <c r="L2213" s="24" t="s">
        <v>37</v>
      </c>
    </row>
    <row r="2214">
      <c r="A2214" s="24">
        <f t="shared" si="1"/>
        <v>2212</v>
      </c>
      <c r="B2214" s="24" t="s">
        <v>899</v>
      </c>
      <c r="C2214" s="275">
        <v>43264.0</v>
      </c>
      <c r="D2214" s="24" t="str">
        <f t="shared" si="171"/>
        <v>Jun-2018</v>
      </c>
      <c r="E2214" t="s">
        <v>20</v>
      </c>
      <c r="F2214" s="24" t="s">
        <v>35</v>
      </c>
      <c r="G2214" s="24" t="s">
        <v>266</v>
      </c>
      <c r="H2214" s="24" t="s">
        <v>27</v>
      </c>
      <c r="I2214" s="24" t="s">
        <v>9</v>
      </c>
      <c r="J2214" s="24" t="s">
        <v>24</v>
      </c>
      <c r="K2214" s="24" t="s">
        <v>24</v>
      </c>
      <c r="L2214" s="24" t="s">
        <v>69</v>
      </c>
    </row>
    <row r="2215">
      <c r="A2215" s="24">
        <f t="shared" si="1"/>
        <v>2213</v>
      </c>
      <c r="B2215" s="24" t="s">
        <v>899</v>
      </c>
      <c r="C2215" s="275">
        <v>43264.0</v>
      </c>
      <c r="D2215" s="24" t="str">
        <f>TEXT(C2207:C2215, "mmm") &amp; "-" &amp; TEXT(C2207:C2215, "yyyy") </f>
        <v>Jun-2018</v>
      </c>
      <c r="E2215" t="s">
        <v>25</v>
      </c>
      <c r="F2215" s="24" t="s">
        <v>35</v>
      </c>
      <c r="G2215" s="24" t="s">
        <v>266</v>
      </c>
      <c r="H2215" s="24" t="s">
        <v>27</v>
      </c>
      <c r="I2215" s="24" t="s">
        <v>9</v>
      </c>
      <c r="J2215" s="24" t="s">
        <v>24</v>
      </c>
      <c r="K2215" s="24"/>
      <c r="L2215" s="24" t="s">
        <v>98</v>
      </c>
    </row>
    <row r="2216">
      <c r="A2216" s="24">
        <f t="shared" si="1"/>
        <v>2214</v>
      </c>
      <c r="B2216" s="24" t="s">
        <v>905</v>
      </c>
      <c r="C2216" s="275">
        <v>43267.0</v>
      </c>
      <c r="D2216" s="24" t="str">
        <f t="shared" ref="D2216:D2223" si="172">TEXT(C2209:C2216, "mmm") &amp; "-" &amp; TEXT(C2209:C2216, "yyyy") </f>
        <v>Jun-2018</v>
      </c>
      <c r="E2216" t="s">
        <v>20</v>
      </c>
      <c r="F2216" s="24" t="s">
        <v>287</v>
      </c>
      <c r="G2216" s="24" t="s">
        <v>906</v>
      </c>
      <c r="H2216" s="24" t="s">
        <v>27</v>
      </c>
      <c r="I2216" s="24" t="s">
        <v>9</v>
      </c>
      <c r="J2216" s="24" t="s">
        <v>30</v>
      </c>
      <c r="K2216" s="24" t="s">
        <v>30</v>
      </c>
      <c r="L2216" s="24" t="s">
        <v>69</v>
      </c>
    </row>
    <row r="2217">
      <c r="A2217" s="24">
        <f t="shared" si="1"/>
        <v>2215</v>
      </c>
      <c r="B2217" s="24" t="s">
        <v>905</v>
      </c>
      <c r="C2217" s="275">
        <v>43267.0</v>
      </c>
      <c r="D2217" s="24" t="str">
        <f t="shared" si="172"/>
        <v>Jun-2018</v>
      </c>
      <c r="E2217" t="s">
        <v>25</v>
      </c>
      <c r="F2217" s="24" t="s">
        <v>287</v>
      </c>
      <c r="G2217" s="24" t="s">
        <v>906</v>
      </c>
      <c r="H2217" s="24" t="s">
        <v>27</v>
      </c>
      <c r="I2217" s="24" t="s">
        <v>9</v>
      </c>
      <c r="J2217" s="24" t="s">
        <v>30</v>
      </c>
      <c r="K2217" s="24"/>
      <c r="L2217" s="24" t="s">
        <v>37</v>
      </c>
    </row>
    <row r="2218">
      <c r="A2218" s="24">
        <f t="shared" si="1"/>
        <v>2216</v>
      </c>
      <c r="B2218" s="24" t="s">
        <v>905</v>
      </c>
      <c r="C2218" s="275">
        <v>43267.0</v>
      </c>
      <c r="D2218" s="24" t="str">
        <f t="shared" si="172"/>
        <v>Jun-2018</v>
      </c>
      <c r="E2218" t="s">
        <v>20</v>
      </c>
      <c r="F2218" s="24" t="s">
        <v>287</v>
      </c>
      <c r="G2218" s="24" t="s">
        <v>233</v>
      </c>
      <c r="H2218" s="24" t="s">
        <v>9</v>
      </c>
      <c r="I2218" s="24" t="s">
        <v>9</v>
      </c>
      <c r="J2218" s="24" t="s">
        <v>30</v>
      </c>
      <c r="K2218" s="24" t="s">
        <v>30</v>
      </c>
      <c r="L2218" s="24" t="s">
        <v>69</v>
      </c>
    </row>
    <row r="2219">
      <c r="A2219" s="24">
        <f t="shared" si="1"/>
        <v>2217</v>
      </c>
      <c r="B2219" s="24" t="s">
        <v>905</v>
      </c>
      <c r="C2219" s="275">
        <v>43267.0</v>
      </c>
      <c r="D2219" s="24" t="str">
        <f t="shared" si="172"/>
        <v>Jun-2018</v>
      </c>
      <c r="E2219" t="s">
        <v>25</v>
      </c>
      <c r="F2219" s="24" t="s">
        <v>287</v>
      </c>
      <c r="G2219" s="24" t="s">
        <v>233</v>
      </c>
      <c r="H2219" s="24" t="s">
        <v>27</v>
      </c>
      <c r="I2219" s="24" t="s">
        <v>9</v>
      </c>
      <c r="J2219" s="24" t="s">
        <v>30</v>
      </c>
      <c r="K2219" s="24"/>
      <c r="L2219" s="24" t="s">
        <v>98</v>
      </c>
    </row>
    <row r="2220">
      <c r="A2220" s="24">
        <f t="shared" si="1"/>
        <v>2218</v>
      </c>
      <c r="B2220" s="24" t="s">
        <v>905</v>
      </c>
      <c r="C2220" s="275">
        <v>43267.0</v>
      </c>
      <c r="D2220" s="24" t="str">
        <f t="shared" si="172"/>
        <v>Jun-2018</v>
      </c>
      <c r="E2220" t="s">
        <v>20</v>
      </c>
      <c r="F2220" s="24" t="s">
        <v>287</v>
      </c>
      <c r="G2220" s="24" t="s">
        <v>404</v>
      </c>
      <c r="H2220" s="24" t="s">
        <v>27</v>
      </c>
      <c r="I2220" s="24" t="s">
        <v>9</v>
      </c>
      <c r="J2220" s="24" t="s">
        <v>30</v>
      </c>
      <c r="K2220" s="24" t="s">
        <v>30</v>
      </c>
      <c r="L2220" s="24" t="s">
        <v>98</v>
      </c>
    </row>
    <row r="2221">
      <c r="A2221" s="24">
        <f t="shared" si="1"/>
        <v>2219</v>
      </c>
      <c r="B2221" s="24" t="s">
        <v>905</v>
      </c>
      <c r="C2221" s="275">
        <v>43267.0</v>
      </c>
      <c r="D2221" s="24" t="str">
        <f t="shared" si="172"/>
        <v>Jun-2018</v>
      </c>
      <c r="E2221" t="s">
        <v>25</v>
      </c>
      <c r="F2221" s="24" t="s">
        <v>287</v>
      </c>
      <c r="G2221" s="24" t="s">
        <v>404</v>
      </c>
      <c r="H2221" s="24" t="s">
        <v>27</v>
      </c>
      <c r="I2221" s="24" t="s">
        <v>9</v>
      </c>
      <c r="J2221" s="24" t="s">
        <v>24</v>
      </c>
      <c r="K2221" s="24"/>
      <c r="L2221" s="24" t="s">
        <v>69</v>
      </c>
    </row>
    <row r="2222">
      <c r="A2222" s="24">
        <f t="shared" si="1"/>
        <v>2220</v>
      </c>
      <c r="B2222" s="24" t="s">
        <v>905</v>
      </c>
      <c r="C2222" s="275">
        <v>43267.0</v>
      </c>
      <c r="D2222" s="24" t="str">
        <f t="shared" si="172"/>
        <v>Jun-2018</v>
      </c>
      <c r="E2222" t="s">
        <v>32</v>
      </c>
      <c r="F2222" s="24" t="s">
        <v>287</v>
      </c>
      <c r="G2222" s="24" t="s">
        <v>404</v>
      </c>
      <c r="H2222" s="24" t="s">
        <v>27</v>
      </c>
      <c r="I2222" s="24" t="s">
        <v>9</v>
      </c>
      <c r="J2222" s="24" t="s">
        <v>30</v>
      </c>
      <c r="K2222" s="24"/>
      <c r="L2222" s="24" t="s">
        <v>106</v>
      </c>
    </row>
    <row r="2223">
      <c r="A2223" s="24">
        <f t="shared" si="1"/>
        <v>2221</v>
      </c>
      <c r="B2223" s="24" t="s">
        <v>905</v>
      </c>
      <c r="C2223" s="275">
        <v>43267.0</v>
      </c>
      <c r="D2223" s="24" t="str">
        <f t="shared" si="172"/>
        <v>Jun-2018</v>
      </c>
      <c r="E2223" t="s">
        <v>20</v>
      </c>
      <c r="F2223" s="24" t="s">
        <v>287</v>
      </c>
      <c r="G2223" s="24" t="s">
        <v>259</v>
      </c>
      <c r="H2223" s="24" t="s">
        <v>97</v>
      </c>
      <c r="I2223" s="24" t="s">
        <v>9</v>
      </c>
      <c r="J2223" s="24" t="s">
        <v>24</v>
      </c>
      <c r="K2223" s="24" t="s">
        <v>24</v>
      </c>
      <c r="L2223" s="24" t="s">
        <v>98</v>
      </c>
    </row>
    <row r="2224">
      <c r="A2224" s="24">
        <f t="shared" si="1"/>
        <v>2222</v>
      </c>
      <c r="B2224" s="24" t="s">
        <v>905</v>
      </c>
      <c r="C2224" s="275">
        <v>43267.0</v>
      </c>
      <c r="D2224" s="24" t="str">
        <f t="shared" ref="D2224:D2232" si="173">TEXT(C2216:C2224, "mmm") &amp; "-" &amp; TEXT(C2216:C2224, "yyyy") </f>
        <v>Jun-2018</v>
      </c>
      <c r="E2224" t="s">
        <v>25</v>
      </c>
      <c r="F2224" s="24" t="s">
        <v>287</v>
      </c>
      <c r="G2224" s="24" t="s">
        <v>259</v>
      </c>
      <c r="H2224" s="24" t="s">
        <v>97</v>
      </c>
      <c r="I2224" s="24" t="s">
        <v>9</v>
      </c>
      <c r="J2224" s="24" t="s">
        <v>24</v>
      </c>
      <c r="K2224" s="24"/>
      <c r="L2224" s="24" t="s">
        <v>29</v>
      </c>
    </row>
    <row r="2225">
      <c r="A2225" s="24">
        <f t="shared" si="1"/>
        <v>2223</v>
      </c>
      <c r="B2225" s="24" t="s">
        <v>905</v>
      </c>
      <c r="C2225" s="275">
        <v>43267.0</v>
      </c>
      <c r="D2225" s="24" t="str">
        <f t="shared" si="173"/>
        <v>Jun-2018</v>
      </c>
      <c r="E2225" t="s">
        <v>20</v>
      </c>
      <c r="F2225" s="24" t="s">
        <v>35</v>
      </c>
      <c r="G2225" s="24" t="s">
        <v>911</v>
      </c>
      <c r="H2225" s="24" t="s">
        <v>86</v>
      </c>
      <c r="I2225" s="24" t="s">
        <v>9</v>
      </c>
      <c r="J2225" s="24" t="s">
        <v>30</v>
      </c>
      <c r="K2225" s="24" t="s">
        <v>30</v>
      </c>
      <c r="L2225" s="24" t="s">
        <v>69</v>
      </c>
    </row>
    <row r="2226">
      <c r="A2226" s="24">
        <f t="shared" si="1"/>
        <v>2224</v>
      </c>
      <c r="B2226" s="24" t="s">
        <v>905</v>
      </c>
      <c r="C2226" s="275">
        <v>43267.0</v>
      </c>
      <c r="D2226" s="24" t="str">
        <f t="shared" si="173"/>
        <v>Jun-2018</v>
      </c>
      <c r="E2226" t="s">
        <v>25</v>
      </c>
      <c r="F2226" s="24" t="s">
        <v>35</v>
      </c>
      <c r="G2226" s="24" t="s">
        <v>911</v>
      </c>
      <c r="H2226" s="24" t="s">
        <v>86</v>
      </c>
      <c r="I2226" s="24" t="s">
        <v>9</v>
      </c>
      <c r="J2226" s="24" t="s">
        <v>30</v>
      </c>
      <c r="K2226" s="24"/>
      <c r="L2226" s="24" t="s">
        <v>69</v>
      </c>
    </row>
    <row r="2227">
      <c r="A2227" s="24">
        <f t="shared" si="1"/>
        <v>2225</v>
      </c>
      <c r="B2227" s="24" t="s">
        <v>905</v>
      </c>
      <c r="C2227" s="275">
        <v>43267.0</v>
      </c>
      <c r="D2227" s="24" t="str">
        <f t="shared" si="173"/>
        <v>Jun-2018</v>
      </c>
      <c r="E2227" t="s">
        <v>20</v>
      </c>
      <c r="F2227" s="24" t="s">
        <v>35</v>
      </c>
      <c r="G2227" s="24" t="s">
        <v>866</v>
      </c>
      <c r="H2227" s="24" t="s">
        <v>27</v>
      </c>
      <c r="I2227" s="24" t="s">
        <v>9</v>
      </c>
      <c r="J2227" s="24" t="s">
        <v>30</v>
      </c>
      <c r="K2227" s="24" t="s">
        <v>30</v>
      </c>
      <c r="L2227" s="24" t="s">
        <v>98</v>
      </c>
    </row>
    <row r="2228">
      <c r="A2228" s="24">
        <f t="shared" si="1"/>
        <v>2226</v>
      </c>
      <c r="B2228" s="24" t="s">
        <v>905</v>
      </c>
      <c r="C2228" s="275">
        <v>43267.0</v>
      </c>
      <c r="D2228" s="24" t="str">
        <f t="shared" si="173"/>
        <v>Jun-2018</v>
      </c>
      <c r="E2228" t="s">
        <v>25</v>
      </c>
      <c r="F2228" s="24" t="s">
        <v>35</v>
      </c>
      <c r="G2228" s="24" t="s">
        <v>866</v>
      </c>
      <c r="H2228" s="24" t="s">
        <v>27</v>
      </c>
      <c r="I2228" s="24" t="s">
        <v>9</v>
      </c>
      <c r="J2228" s="24" t="s">
        <v>24</v>
      </c>
      <c r="K2228" s="24"/>
      <c r="L2228" s="24" t="s">
        <v>37</v>
      </c>
    </row>
    <row r="2229">
      <c r="A2229" s="24">
        <f t="shared" si="1"/>
        <v>2227</v>
      </c>
      <c r="B2229" s="24" t="s">
        <v>905</v>
      </c>
      <c r="C2229" s="275">
        <v>43267.0</v>
      </c>
      <c r="D2229" s="24" t="str">
        <f t="shared" si="173"/>
        <v>Jun-2018</v>
      </c>
      <c r="E2229" t="s">
        <v>32</v>
      </c>
      <c r="F2229" s="24" t="s">
        <v>35</v>
      </c>
      <c r="G2229" s="24" t="s">
        <v>866</v>
      </c>
      <c r="H2229" s="24" t="s">
        <v>27</v>
      </c>
      <c r="I2229" s="24" t="s">
        <v>9</v>
      </c>
      <c r="J2229" s="24" t="s">
        <v>30</v>
      </c>
      <c r="K2229" s="24"/>
      <c r="L2229" s="24" t="s">
        <v>106</v>
      </c>
    </row>
    <row r="2230">
      <c r="A2230" s="24">
        <f t="shared" si="1"/>
        <v>2228</v>
      </c>
      <c r="B2230" s="24" t="s">
        <v>905</v>
      </c>
      <c r="C2230" s="275">
        <v>43267.0</v>
      </c>
      <c r="D2230" s="24" t="str">
        <f t="shared" si="173"/>
        <v>Jun-2018</v>
      </c>
      <c r="E2230" t="s">
        <v>20</v>
      </c>
      <c r="F2230" s="24" t="s">
        <v>35</v>
      </c>
      <c r="G2230" s="24" t="s">
        <v>346</v>
      </c>
      <c r="H2230" s="24" t="s">
        <v>44</v>
      </c>
      <c r="I2230" s="24" t="s">
        <v>9</v>
      </c>
      <c r="J2230" s="24" t="s">
        <v>30</v>
      </c>
      <c r="K2230" s="24" t="s">
        <v>24</v>
      </c>
      <c r="L2230" s="24" t="s">
        <v>69</v>
      </c>
    </row>
    <row r="2231">
      <c r="A2231" s="24">
        <f t="shared" si="1"/>
        <v>2229</v>
      </c>
      <c r="B2231" s="24" t="s">
        <v>905</v>
      </c>
      <c r="C2231" s="275">
        <v>43267.0</v>
      </c>
      <c r="D2231" s="24" t="str">
        <f t="shared" si="173"/>
        <v>Jun-2018</v>
      </c>
      <c r="E2231" t="s">
        <v>25</v>
      </c>
      <c r="F2231" s="24" t="s">
        <v>35</v>
      </c>
      <c r="G2231" s="24" t="s">
        <v>346</v>
      </c>
      <c r="H2231" s="24" t="s">
        <v>44</v>
      </c>
      <c r="I2231" s="24" t="s">
        <v>9</v>
      </c>
      <c r="J2231" s="24" t="s">
        <v>24</v>
      </c>
      <c r="K2231" s="24"/>
      <c r="L2231" s="24" t="s">
        <v>69</v>
      </c>
    </row>
    <row r="2232">
      <c r="A2232" s="24">
        <f t="shared" si="1"/>
        <v>2230</v>
      </c>
      <c r="B2232" s="24" t="s">
        <v>905</v>
      </c>
      <c r="C2232" s="275">
        <v>43267.0</v>
      </c>
      <c r="D2232" s="24" t="str">
        <f t="shared" si="173"/>
        <v>Jun-2018</v>
      </c>
      <c r="E2232" t="s">
        <v>32</v>
      </c>
      <c r="F2232" s="24" t="s">
        <v>35</v>
      </c>
      <c r="G2232" s="24" t="s">
        <v>346</v>
      </c>
      <c r="H2232" s="24" t="s">
        <v>44</v>
      </c>
      <c r="I2232" s="24" t="s">
        <v>9</v>
      </c>
      <c r="J2232" s="24" t="s">
        <v>24</v>
      </c>
      <c r="K2232" s="24"/>
      <c r="L2232" s="24" t="s">
        <v>98</v>
      </c>
    </row>
    <row r="2233">
      <c r="A2233" s="24">
        <f t="shared" si="1"/>
        <v>2231</v>
      </c>
      <c r="B2233" s="24" t="s">
        <v>913</v>
      </c>
      <c r="C2233" s="275">
        <v>43283.0</v>
      </c>
      <c r="D2233" s="24" t="str">
        <f t="shared" ref="D2233:D2240" si="174">TEXT(C2226:C2233, "mmm") &amp; "-" &amp; TEXT(C2226:C2233, "yyyy") </f>
        <v>Jul-2018</v>
      </c>
      <c r="E2233" t="s">
        <v>20</v>
      </c>
      <c r="F2233" s="24" t="s">
        <v>35</v>
      </c>
      <c r="G2233" s="24" t="s">
        <v>914</v>
      </c>
      <c r="H2233" s="24" t="s">
        <v>23</v>
      </c>
      <c r="I2233" s="24" t="s">
        <v>9</v>
      </c>
      <c r="J2233" s="24" t="s">
        <v>30</v>
      </c>
      <c r="K2233" s="24" t="s">
        <v>30</v>
      </c>
      <c r="L2233" s="24" t="s">
        <v>37</v>
      </c>
    </row>
    <row r="2234">
      <c r="A2234" s="24">
        <f t="shared" si="1"/>
        <v>2232</v>
      </c>
      <c r="B2234" s="24" t="s">
        <v>913</v>
      </c>
      <c r="C2234" s="275">
        <v>43283.0</v>
      </c>
      <c r="D2234" s="24" t="str">
        <f t="shared" si="174"/>
        <v>Jul-2018</v>
      </c>
      <c r="E2234" t="s">
        <v>25</v>
      </c>
      <c r="F2234" s="24" t="s">
        <v>35</v>
      </c>
      <c r="G2234" s="24" t="s">
        <v>914</v>
      </c>
      <c r="H2234" s="24" t="s">
        <v>23</v>
      </c>
      <c r="I2234" s="24" t="s">
        <v>9</v>
      </c>
      <c r="J2234" s="24" t="s">
        <v>30</v>
      </c>
      <c r="K2234" s="24"/>
      <c r="L2234" s="24" t="s">
        <v>99</v>
      </c>
    </row>
    <row r="2235">
      <c r="A2235" s="24">
        <f t="shared" si="1"/>
        <v>2233</v>
      </c>
      <c r="B2235" s="24" t="s">
        <v>913</v>
      </c>
      <c r="C2235" s="275">
        <v>43283.0</v>
      </c>
      <c r="D2235" s="24" t="str">
        <f t="shared" si="174"/>
        <v>Jul-2018</v>
      </c>
      <c r="E2235" t="s">
        <v>20</v>
      </c>
      <c r="F2235" s="24" t="s">
        <v>35</v>
      </c>
      <c r="G2235" s="24" t="s">
        <v>81</v>
      </c>
      <c r="H2235" s="24" t="s">
        <v>9</v>
      </c>
      <c r="I2235" s="24" t="s">
        <v>9</v>
      </c>
      <c r="J2235" s="24" t="s">
        <v>24</v>
      </c>
      <c r="K2235" s="24" t="s">
        <v>24</v>
      </c>
      <c r="L2235" s="24" t="s">
        <v>69</v>
      </c>
    </row>
    <row r="2236">
      <c r="A2236" s="24">
        <f t="shared" si="1"/>
        <v>2234</v>
      </c>
      <c r="B2236" s="24" t="s">
        <v>913</v>
      </c>
      <c r="C2236" s="275">
        <v>43283.0</v>
      </c>
      <c r="D2236" s="24" t="str">
        <f t="shared" si="174"/>
        <v>Jul-2018</v>
      </c>
      <c r="E2236" t="s">
        <v>25</v>
      </c>
      <c r="F2236" s="24" t="s">
        <v>35</v>
      </c>
      <c r="G2236" s="24" t="s">
        <v>81</v>
      </c>
      <c r="H2236" s="24" t="s">
        <v>9</v>
      </c>
      <c r="I2236" s="24" t="s">
        <v>9</v>
      </c>
      <c r="J2236" s="24" t="s">
        <v>24</v>
      </c>
      <c r="K2236" s="24"/>
      <c r="L2236" s="24" t="s">
        <v>99</v>
      </c>
    </row>
    <row r="2237">
      <c r="A2237" s="24">
        <f t="shared" si="1"/>
        <v>2235</v>
      </c>
      <c r="B2237" s="24" t="s">
        <v>913</v>
      </c>
      <c r="C2237" s="275">
        <v>43283.0</v>
      </c>
      <c r="D2237" s="24" t="str">
        <f t="shared" si="174"/>
        <v>Jul-2018</v>
      </c>
      <c r="E2237" t="s">
        <v>20</v>
      </c>
      <c r="F2237" s="24" t="s">
        <v>35</v>
      </c>
      <c r="G2237" s="24" t="s">
        <v>916</v>
      </c>
      <c r="H2237" s="24" t="s">
        <v>86</v>
      </c>
      <c r="I2237" s="24" t="s">
        <v>9</v>
      </c>
      <c r="J2237" s="24" t="s">
        <v>30</v>
      </c>
      <c r="K2237" s="24" t="s">
        <v>30</v>
      </c>
      <c r="L2237" s="24" t="s">
        <v>69</v>
      </c>
    </row>
    <row r="2238">
      <c r="A2238" s="24">
        <f t="shared" si="1"/>
        <v>2236</v>
      </c>
      <c r="B2238" s="24" t="s">
        <v>913</v>
      </c>
      <c r="C2238" s="275">
        <v>43283.0</v>
      </c>
      <c r="D2238" s="24" t="str">
        <f t="shared" si="174"/>
        <v>Jul-2018</v>
      </c>
      <c r="E2238" t="s">
        <v>25</v>
      </c>
      <c r="F2238" s="24" t="s">
        <v>35</v>
      </c>
      <c r="G2238" s="24" t="s">
        <v>916</v>
      </c>
      <c r="H2238" s="24" t="s">
        <v>86</v>
      </c>
      <c r="I2238" s="24" t="s">
        <v>9</v>
      </c>
      <c r="J2238" s="24" t="s">
        <v>30</v>
      </c>
      <c r="K2238" s="24"/>
      <c r="L2238" s="24" t="s">
        <v>98</v>
      </c>
    </row>
    <row r="2239">
      <c r="A2239" s="24">
        <f t="shared" si="1"/>
        <v>2237</v>
      </c>
      <c r="B2239" s="24" t="s">
        <v>913</v>
      </c>
      <c r="C2239" s="275">
        <v>43283.0</v>
      </c>
      <c r="D2239" s="24" t="str">
        <f t="shared" si="174"/>
        <v>Jul-2018</v>
      </c>
      <c r="E2239" t="s">
        <v>146</v>
      </c>
      <c r="F2239" s="24" t="s">
        <v>35</v>
      </c>
      <c r="G2239" s="24" t="s">
        <v>36</v>
      </c>
      <c r="H2239" s="24" t="s">
        <v>27</v>
      </c>
      <c r="I2239" s="24" t="s">
        <v>9</v>
      </c>
      <c r="J2239" s="24" t="s">
        <v>24</v>
      </c>
      <c r="K2239" s="24" t="s">
        <v>30</v>
      </c>
      <c r="L2239" s="24" t="s">
        <v>29</v>
      </c>
    </row>
    <row r="2240">
      <c r="A2240" s="24">
        <f t="shared" si="1"/>
        <v>2238</v>
      </c>
      <c r="B2240" s="24" t="s">
        <v>913</v>
      </c>
      <c r="C2240" s="275">
        <v>43283.0</v>
      </c>
      <c r="D2240" s="24" t="str">
        <f t="shared" si="174"/>
        <v>Jul-2018</v>
      </c>
      <c r="E2240" t="s">
        <v>149</v>
      </c>
      <c r="F2240" s="24" t="s">
        <v>35</v>
      </c>
      <c r="G2240" s="24" t="s">
        <v>36</v>
      </c>
      <c r="H2240" s="24" t="s">
        <v>27</v>
      </c>
      <c r="I2240" s="24" t="s">
        <v>9</v>
      </c>
      <c r="J2240" s="24" t="s">
        <v>24</v>
      </c>
      <c r="K2240" s="24"/>
      <c r="L2240" s="24" t="s">
        <v>98</v>
      </c>
    </row>
    <row r="2241">
      <c r="A2241" s="24">
        <f t="shared" si="1"/>
        <v>2239</v>
      </c>
      <c r="B2241" s="24" t="s">
        <v>913</v>
      </c>
      <c r="C2241" s="275">
        <v>43283.0</v>
      </c>
      <c r="D2241" s="24" t="str">
        <f t="shared" ref="D2241:D2247" si="175">TEXT(C2233:C2241, "mmm") &amp; "-" &amp; TEXT(C2233:C2241, "yyyy") </f>
        <v>Jul-2018</v>
      </c>
      <c r="E2241" t="s">
        <v>222</v>
      </c>
      <c r="F2241" s="24" t="s">
        <v>35</v>
      </c>
      <c r="G2241" s="24" t="s">
        <v>36</v>
      </c>
      <c r="H2241" s="24" t="s">
        <v>27</v>
      </c>
      <c r="I2241" s="24" t="s">
        <v>9</v>
      </c>
      <c r="J2241" s="24" t="s">
        <v>30</v>
      </c>
      <c r="K2241" s="24"/>
      <c r="L2241" s="24" t="s">
        <v>106</v>
      </c>
    </row>
    <row r="2242">
      <c r="A2242" s="24">
        <f t="shared" si="1"/>
        <v>2240</v>
      </c>
      <c r="B2242" s="24" t="s">
        <v>913</v>
      </c>
      <c r="C2242" s="275">
        <v>43283.0</v>
      </c>
      <c r="D2242" s="24" t="str">
        <f t="shared" si="175"/>
        <v>Jul-2018</v>
      </c>
      <c r="E2242" t="s">
        <v>467</v>
      </c>
      <c r="F2242" s="24" t="s">
        <v>35</v>
      </c>
      <c r="G2242" s="24" t="s">
        <v>36</v>
      </c>
      <c r="H2242" s="24" t="s">
        <v>27</v>
      </c>
      <c r="I2242" s="24" t="s">
        <v>9</v>
      </c>
      <c r="J2242" s="24" t="s">
        <v>30</v>
      </c>
      <c r="K2242" s="24"/>
      <c r="L2242" s="24" t="s">
        <v>69</v>
      </c>
    </row>
    <row r="2243">
      <c r="A2243" s="24">
        <f t="shared" si="1"/>
        <v>2241</v>
      </c>
      <c r="B2243" s="24" t="s">
        <v>913</v>
      </c>
      <c r="C2243" s="275">
        <v>43283.0</v>
      </c>
      <c r="D2243" s="24" t="str">
        <f t="shared" si="175"/>
        <v>Jul-2018</v>
      </c>
      <c r="E2243" s="24" t="s">
        <v>480</v>
      </c>
      <c r="F2243" s="24" t="s">
        <v>35</v>
      </c>
      <c r="G2243" s="24" t="s">
        <v>36</v>
      </c>
      <c r="H2243" s="24" t="s">
        <v>27</v>
      </c>
      <c r="I2243" s="24" t="s">
        <v>9</v>
      </c>
      <c r="J2243" s="24" t="s">
        <v>30</v>
      </c>
      <c r="K2243" s="24"/>
      <c r="L2243" s="24" t="s">
        <v>37</v>
      </c>
    </row>
    <row r="2244">
      <c r="A2244" s="24">
        <f t="shared" si="1"/>
        <v>2242</v>
      </c>
      <c r="B2244" s="24" t="s">
        <v>913</v>
      </c>
      <c r="C2244" s="275">
        <v>43283.0</v>
      </c>
      <c r="D2244" s="24" t="str">
        <f t="shared" si="175"/>
        <v>Jul-2018</v>
      </c>
      <c r="E2244" t="s">
        <v>146</v>
      </c>
      <c r="F2244" s="24" t="s">
        <v>35</v>
      </c>
      <c r="G2244" s="24" t="s">
        <v>111</v>
      </c>
      <c r="H2244" s="24" t="s">
        <v>216</v>
      </c>
      <c r="I2244" s="24" t="s">
        <v>9</v>
      </c>
      <c r="J2244" s="24" t="s">
        <v>24</v>
      </c>
      <c r="K2244" s="24" t="s">
        <v>24</v>
      </c>
      <c r="L2244" s="24" t="s">
        <v>98</v>
      </c>
    </row>
    <row r="2245">
      <c r="A2245" s="24">
        <f t="shared" si="1"/>
        <v>2243</v>
      </c>
      <c r="B2245" s="24" t="s">
        <v>913</v>
      </c>
      <c r="C2245" s="275">
        <v>43283.0</v>
      </c>
      <c r="D2245" s="24" t="str">
        <f t="shared" si="175"/>
        <v>Jul-2018</v>
      </c>
      <c r="E2245" t="s">
        <v>149</v>
      </c>
      <c r="F2245" s="24" t="s">
        <v>35</v>
      </c>
      <c r="G2245" s="24" t="s">
        <v>111</v>
      </c>
      <c r="H2245" s="24" t="s">
        <v>216</v>
      </c>
      <c r="I2245" s="24" t="s">
        <v>9</v>
      </c>
      <c r="J2245" s="24" t="s">
        <v>30</v>
      </c>
      <c r="K2245" s="24"/>
      <c r="L2245" s="24" t="s">
        <v>69</v>
      </c>
    </row>
    <row r="2246">
      <c r="A2246" s="24">
        <f t="shared" si="1"/>
        <v>2244</v>
      </c>
      <c r="B2246" s="24" t="s">
        <v>913</v>
      </c>
      <c r="C2246" s="275">
        <v>43283.0</v>
      </c>
      <c r="D2246" s="24" t="str">
        <f t="shared" si="175"/>
        <v>Jul-2018</v>
      </c>
      <c r="E2246" t="s">
        <v>222</v>
      </c>
      <c r="F2246" s="24" t="s">
        <v>35</v>
      </c>
      <c r="G2246" s="24" t="s">
        <v>111</v>
      </c>
      <c r="H2246" s="24" t="s">
        <v>216</v>
      </c>
      <c r="I2246" s="24" t="s">
        <v>9</v>
      </c>
      <c r="J2246" s="24" t="s">
        <v>24</v>
      </c>
      <c r="K2246" s="24"/>
      <c r="L2246" s="24" t="s">
        <v>29</v>
      </c>
    </row>
    <row r="2247">
      <c r="A2247" s="24">
        <f t="shared" si="1"/>
        <v>2245</v>
      </c>
      <c r="B2247" s="24" t="s">
        <v>913</v>
      </c>
      <c r="C2247" s="275">
        <v>43283.0</v>
      </c>
      <c r="D2247" s="24" t="str">
        <f t="shared" si="175"/>
        <v>Jul-2018</v>
      </c>
      <c r="E2247" t="s">
        <v>467</v>
      </c>
      <c r="F2247" s="24" t="s">
        <v>35</v>
      </c>
      <c r="G2247" s="24" t="s">
        <v>111</v>
      </c>
      <c r="H2247" s="24" t="s">
        <v>216</v>
      </c>
      <c r="I2247" s="24" t="s">
        <v>9</v>
      </c>
      <c r="J2247" s="24" t="s">
        <v>24</v>
      </c>
      <c r="K2247" s="24"/>
      <c r="L2247" s="24" t="s">
        <v>98</v>
      </c>
    </row>
    <row r="2248">
      <c r="A2248" s="24">
        <f t="shared" si="1"/>
        <v>2246</v>
      </c>
      <c r="B2248" s="24" t="s">
        <v>920</v>
      </c>
      <c r="C2248" s="275">
        <v>43290.0</v>
      </c>
      <c r="D2248" s="24" t="str">
        <f t="shared" ref="D2248:D2263" si="176">TEXT(C2241:C2248, "mmm") &amp; "-" &amp; TEXT(C2241:C2248, "yyyy") </f>
        <v>Jul-2018</v>
      </c>
      <c r="E2248" t="s">
        <v>20</v>
      </c>
      <c r="F2248" s="24" t="s">
        <v>35</v>
      </c>
      <c r="G2248" s="24" t="s">
        <v>921</v>
      </c>
      <c r="H2248" s="24" t="s">
        <v>9</v>
      </c>
      <c r="I2248" s="24" t="s">
        <v>9</v>
      </c>
      <c r="J2248" s="24" t="s">
        <v>30</v>
      </c>
      <c r="K2248" s="24" t="s">
        <v>30</v>
      </c>
      <c r="L2248" s="24" t="s">
        <v>98</v>
      </c>
    </row>
    <row r="2249">
      <c r="A2249" s="24">
        <f t="shared" si="1"/>
        <v>2247</v>
      </c>
      <c r="B2249" s="24" t="s">
        <v>920</v>
      </c>
      <c r="C2249" s="275">
        <v>43290.0</v>
      </c>
      <c r="D2249" s="24" t="str">
        <f t="shared" si="176"/>
        <v>Jul-2018</v>
      </c>
      <c r="E2249" t="s">
        <v>25</v>
      </c>
      <c r="F2249" s="24" t="s">
        <v>35</v>
      </c>
      <c r="G2249" s="24" t="s">
        <v>921</v>
      </c>
      <c r="H2249" s="24" t="s">
        <v>27</v>
      </c>
      <c r="I2249" s="24" t="s">
        <v>9</v>
      </c>
      <c r="J2249" s="24" t="s">
        <v>30</v>
      </c>
      <c r="K2249" s="24"/>
      <c r="L2249" s="24" t="s">
        <v>106</v>
      </c>
    </row>
    <row r="2250">
      <c r="A2250" s="24">
        <f t="shared" si="1"/>
        <v>2248</v>
      </c>
      <c r="B2250" s="24" t="s">
        <v>920</v>
      </c>
      <c r="C2250" s="275">
        <v>43290.0</v>
      </c>
      <c r="D2250" s="24" t="str">
        <f t="shared" si="176"/>
        <v>Jul-2018</v>
      </c>
      <c r="E2250" t="s">
        <v>20</v>
      </c>
      <c r="F2250" s="24" t="s">
        <v>35</v>
      </c>
      <c r="G2250" s="24" t="s">
        <v>93</v>
      </c>
      <c r="H2250" s="24" t="s">
        <v>23</v>
      </c>
      <c r="I2250" s="24" t="s">
        <v>9</v>
      </c>
      <c r="J2250" s="24" t="s">
        <v>24</v>
      </c>
      <c r="K2250" s="24" t="s">
        <v>24</v>
      </c>
      <c r="L2250" s="24" t="s">
        <v>99</v>
      </c>
    </row>
    <row r="2251">
      <c r="A2251" s="24">
        <f t="shared" si="1"/>
        <v>2249</v>
      </c>
      <c r="B2251" s="24" t="s">
        <v>920</v>
      </c>
      <c r="C2251" s="275">
        <v>43290.0</v>
      </c>
      <c r="D2251" s="24" t="str">
        <f t="shared" si="176"/>
        <v>Jul-2018</v>
      </c>
      <c r="E2251" t="s">
        <v>25</v>
      </c>
      <c r="F2251" s="24" t="s">
        <v>35</v>
      </c>
      <c r="G2251" s="24" t="s">
        <v>93</v>
      </c>
      <c r="H2251" s="24" t="s">
        <v>23</v>
      </c>
      <c r="I2251" s="24" t="s">
        <v>9</v>
      </c>
      <c r="J2251" s="24" t="s">
        <v>30</v>
      </c>
      <c r="K2251" s="24"/>
      <c r="L2251" s="24" t="s">
        <v>106</v>
      </c>
    </row>
    <row r="2252">
      <c r="A2252" s="24">
        <f t="shared" si="1"/>
        <v>2250</v>
      </c>
      <c r="B2252" s="24" t="s">
        <v>920</v>
      </c>
      <c r="C2252" s="275">
        <v>43290.0</v>
      </c>
      <c r="D2252" s="24" t="str">
        <f t="shared" si="176"/>
        <v>Jul-2018</v>
      </c>
      <c r="E2252" t="s">
        <v>32</v>
      </c>
      <c r="F2252" s="24" t="s">
        <v>35</v>
      </c>
      <c r="G2252" s="24" t="s">
        <v>93</v>
      </c>
      <c r="H2252" s="24" t="s">
        <v>23</v>
      </c>
      <c r="I2252" s="24" t="s">
        <v>9</v>
      </c>
      <c r="J2252" s="24" t="s">
        <v>24</v>
      </c>
      <c r="K2252" s="24"/>
      <c r="L2252" s="24" t="s">
        <v>37</v>
      </c>
    </row>
    <row r="2253">
      <c r="A2253" s="24">
        <f t="shared" si="1"/>
        <v>2251</v>
      </c>
      <c r="B2253" s="24" t="s">
        <v>920</v>
      </c>
      <c r="C2253" s="275">
        <v>43290.0</v>
      </c>
      <c r="D2253" s="24" t="str">
        <f t="shared" si="176"/>
        <v>Jul-2018</v>
      </c>
      <c r="E2253" t="s">
        <v>20</v>
      </c>
      <c r="F2253" s="24" t="s">
        <v>35</v>
      </c>
      <c r="G2253" s="24" t="s">
        <v>633</v>
      </c>
      <c r="H2253" s="24" t="s">
        <v>27</v>
      </c>
      <c r="I2253" s="24" t="s">
        <v>9</v>
      </c>
      <c r="J2253" s="24" t="s">
        <v>24</v>
      </c>
      <c r="K2253" s="24" t="s">
        <v>24</v>
      </c>
      <c r="L2253" s="24" t="s">
        <v>69</v>
      </c>
    </row>
    <row r="2254">
      <c r="A2254" s="24">
        <f t="shared" si="1"/>
        <v>2252</v>
      </c>
      <c r="B2254" s="24" t="s">
        <v>920</v>
      </c>
      <c r="C2254" s="275">
        <v>43290.0</v>
      </c>
      <c r="D2254" s="24" t="str">
        <f t="shared" si="176"/>
        <v>Jul-2018</v>
      </c>
      <c r="E2254" t="s">
        <v>25</v>
      </c>
      <c r="F2254" s="24" t="s">
        <v>35</v>
      </c>
      <c r="G2254" s="24" t="s">
        <v>633</v>
      </c>
      <c r="H2254" s="24" t="s">
        <v>27</v>
      </c>
      <c r="I2254" s="24" t="s">
        <v>9</v>
      </c>
      <c r="J2254" s="24" t="s">
        <v>30</v>
      </c>
      <c r="K2254" s="24"/>
      <c r="L2254" s="24" t="s">
        <v>106</v>
      </c>
    </row>
    <row r="2255">
      <c r="A2255" s="24">
        <f t="shared" si="1"/>
        <v>2253</v>
      </c>
      <c r="B2255" s="24" t="s">
        <v>920</v>
      </c>
      <c r="C2255" s="275">
        <v>43290.0</v>
      </c>
      <c r="D2255" s="24" t="str">
        <f t="shared" si="176"/>
        <v>Jul-2018</v>
      </c>
      <c r="E2255" t="s">
        <v>32</v>
      </c>
      <c r="F2255" s="24" t="s">
        <v>35</v>
      </c>
      <c r="G2255" s="24" t="s">
        <v>633</v>
      </c>
      <c r="H2255" s="24" t="s">
        <v>27</v>
      </c>
      <c r="I2255" s="24" t="s">
        <v>9</v>
      </c>
      <c r="J2255" s="24" t="s">
        <v>24</v>
      </c>
      <c r="K2255" s="24"/>
      <c r="L2255" s="24" t="s">
        <v>99</v>
      </c>
    </row>
    <row r="2256">
      <c r="A2256" s="24">
        <f t="shared" si="1"/>
        <v>2254</v>
      </c>
      <c r="B2256" s="24" t="s">
        <v>925</v>
      </c>
      <c r="C2256" s="275">
        <v>43291.0</v>
      </c>
      <c r="D2256" s="24" t="str">
        <f t="shared" si="176"/>
        <v>Jul-2018</v>
      </c>
      <c r="E2256" t="s">
        <v>20</v>
      </c>
      <c r="F2256" s="24" t="s">
        <v>35</v>
      </c>
      <c r="G2256" s="24" t="s">
        <v>453</v>
      </c>
      <c r="H2256" s="24" t="s">
        <v>23</v>
      </c>
      <c r="I2256" s="24" t="s">
        <v>9</v>
      </c>
      <c r="J2256" s="24" t="s">
        <v>30</v>
      </c>
      <c r="K2256" s="24" t="s">
        <v>30</v>
      </c>
      <c r="L2256" s="24" t="s">
        <v>69</v>
      </c>
    </row>
    <row r="2257">
      <c r="A2257" s="24">
        <f t="shared" si="1"/>
        <v>2255</v>
      </c>
      <c r="B2257" s="24" t="s">
        <v>925</v>
      </c>
      <c r="C2257" s="275">
        <v>43291.0</v>
      </c>
      <c r="D2257" s="24" t="str">
        <f t="shared" si="176"/>
        <v>Jul-2018</v>
      </c>
      <c r="E2257" t="s">
        <v>25</v>
      </c>
      <c r="F2257" s="24" t="s">
        <v>35</v>
      </c>
      <c r="G2257" s="24" t="s">
        <v>453</v>
      </c>
      <c r="H2257" s="24" t="s">
        <v>23</v>
      </c>
      <c r="I2257" s="24" t="s">
        <v>9</v>
      </c>
      <c r="J2257" s="24" t="s">
        <v>30</v>
      </c>
      <c r="K2257" s="24"/>
      <c r="L2257" s="24" t="s">
        <v>69</v>
      </c>
    </row>
    <row r="2258">
      <c r="A2258" s="24">
        <f t="shared" si="1"/>
        <v>2256</v>
      </c>
      <c r="B2258" s="24" t="s">
        <v>925</v>
      </c>
      <c r="C2258" s="275">
        <v>43291.0</v>
      </c>
      <c r="D2258" s="24" t="str">
        <f t="shared" si="176"/>
        <v>Jul-2018</v>
      </c>
      <c r="E2258" t="s">
        <v>20</v>
      </c>
      <c r="F2258" s="24" t="s">
        <v>35</v>
      </c>
      <c r="G2258" s="24" t="s">
        <v>194</v>
      </c>
      <c r="H2258" s="24" t="s">
        <v>23</v>
      </c>
      <c r="I2258" s="24" t="s">
        <v>9</v>
      </c>
      <c r="J2258" s="24" t="s">
        <v>24</v>
      </c>
      <c r="K2258" s="24" t="s">
        <v>24</v>
      </c>
      <c r="L2258" s="24" t="s">
        <v>37</v>
      </c>
    </row>
    <row r="2259">
      <c r="A2259" s="24">
        <f t="shared" si="1"/>
        <v>2257</v>
      </c>
      <c r="B2259" s="24" t="s">
        <v>925</v>
      </c>
      <c r="C2259" s="275">
        <v>43291.0</v>
      </c>
      <c r="D2259" s="24" t="str">
        <f t="shared" si="176"/>
        <v>Jul-2018</v>
      </c>
      <c r="E2259" t="s">
        <v>25</v>
      </c>
      <c r="F2259" s="24" t="s">
        <v>35</v>
      </c>
      <c r="G2259" s="24" t="s">
        <v>194</v>
      </c>
      <c r="H2259" s="24" t="s">
        <v>23</v>
      </c>
      <c r="I2259" s="24" t="s">
        <v>9</v>
      </c>
      <c r="J2259" s="24" t="s">
        <v>30</v>
      </c>
      <c r="K2259" s="24"/>
      <c r="L2259" s="24" t="s">
        <v>29</v>
      </c>
    </row>
    <row r="2260">
      <c r="A2260" s="24">
        <f t="shared" si="1"/>
        <v>2258</v>
      </c>
      <c r="B2260" s="24" t="s">
        <v>925</v>
      </c>
      <c r="C2260" s="275">
        <v>43291.0</v>
      </c>
      <c r="D2260" s="24" t="str">
        <f t="shared" si="176"/>
        <v>Jul-2018</v>
      </c>
      <c r="E2260" t="s">
        <v>32</v>
      </c>
      <c r="F2260" s="24" t="s">
        <v>35</v>
      </c>
      <c r="G2260" s="24" t="s">
        <v>194</v>
      </c>
      <c r="H2260" s="24" t="s">
        <v>23</v>
      </c>
      <c r="I2260" s="24" t="s">
        <v>9</v>
      </c>
      <c r="J2260" s="24" t="s">
        <v>24</v>
      </c>
      <c r="K2260" s="24"/>
      <c r="L2260" s="24" t="s">
        <v>69</v>
      </c>
    </row>
    <row r="2261">
      <c r="A2261" s="24">
        <f t="shared" si="1"/>
        <v>2259</v>
      </c>
      <c r="B2261" s="24" t="s">
        <v>925</v>
      </c>
      <c r="C2261" s="275">
        <v>43291.0</v>
      </c>
      <c r="D2261" s="24" t="str">
        <f t="shared" si="176"/>
        <v>Jul-2018</v>
      </c>
      <c r="E2261" t="s">
        <v>20</v>
      </c>
      <c r="F2261" s="24" t="s">
        <v>35</v>
      </c>
      <c r="G2261" s="24" t="s">
        <v>127</v>
      </c>
      <c r="H2261" s="24" t="s">
        <v>44</v>
      </c>
      <c r="I2261" s="24" t="s">
        <v>9</v>
      </c>
      <c r="J2261" s="24" t="s">
        <v>30</v>
      </c>
      <c r="K2261" s="24" t="s">
        <v>30</v>
      </c>
      <c r="L2261" s="24" t="s">
        <v>98</v>
      </c>
    </row>
    <row r="2262">
      <c r="A2262" s="24">
        <f t="shared" si="1"/>
        <v>2260</v>
      </c>
      <c r="B2262" s="24" t="s">
        <v>925</v>
      </c>
      <c r="C2262" s="275">
        <v>43291.0</v>
      </c>
      <c r="D2262" s="24" t="str">
        <f t="shared" si="176"/>
        <v>Jul-2018</v>
      </c>
      <c r="E2262" t="s">
        <v>25</v>
      </c>
      <c r="F2262" s="24" t="s">
        <v>35</v>
      </c>
      <c r="G2262" s="24" t="s">
        <v>127</v>
      </c>
      <c r="H2262" s="24" t="s">
        <v>44</v>
      </c>
      <c r="I2262" s="24" t="s">
        <v>9</v>
      </c>
      <c r="J2262" s="24" t="s">
        <v>30</v>
      </c>
      <c r="K2262" s="24"/>
      <c r="L2262" s="24" t="s">
        <v>98</v>
      </c>
    </row>
    <row r="2263">
      <c r="A2263" s="24">
        <f t="shared" si="1"/>
        <v>2261</v>
      </c>
      <c r="B2263" s="24" t="s">
        <v>925</v>
      </c>
      <c r="C2263" s="275">
        <v>43291.0</v>
      </c>
      <c r="D2263" s="24" t="str">
        <f t="shared" si="176"/>
        <v>Jul-2018</v>
      </c>
      <c r="E2263" t="s">
        <v>20</v>
      </c>
      <c r="F2263" s="24" t="s">
        <v>35</v>
      </c>
      <c r="G2263" s="24" t="s">
        <v>914</v>
      </c>
      <c r="H2263" s="24" t="s">
        <v>23</v>
      </c>
      <c r="I2263" s="24" t="s">
        <v>9</v>
      </c>
      <c r="J2263" s="24" t="s">
        <v>30</v>
      </c>
      <c r="K2263" s="24" t="s">
        <v>30</v>
      </c>
      <c r="L2263" s="24" t="s">
        <v>37</v>
      </c>
    </row>
    <row r="2264">
      <c r="A2264" s="24">
        <f t="shared" si="1"/>
        <v>2262</v>
      </c>
      <c r="B2264" s="24" t="s">
        <v>925</v>
      </c>
      <c r="C2264" s="275">
        <v>43291.0</v>
      </c>
      <c r="D2264" s="24" t="str">
        <f t="shared" ref="D2264:D2266" si="177">TEXT(C2256:C2264, "mmm") &amp; "-" &amp; TEXT(C2256:C2264, "yyyy") </f>
        <v>Jul-2018</v>
      </c>
      <c r="E2264" t="s">
        <v>25</v>
      </c>
      <c r="F2264" s="24" t="s">
        <v>35</v>
      </c>
      <c r="G2264" s="24" t="s">
        <v>914</v>
      </c>
      <c r="H2264" s="24" t="s">
        <v>23</v>
      </c>
      <c r="I2264" s="24" t="s">
        <v>9</v>
      </c>
      <c r="J2264" s="24" t="s">
        <v>30</v>
      </c>
      <c r="K2264" s="24"/>
      <c r="L2264" s="24" t="s">
        <v>99</v>
      </c>
    </row>
    <row r="2265">
      <c r="A2265" s="24">
        <f t="shared" si="1"/>
        <v>2263</v>
      </c>
      <c r="B2265" s="24" t="s">
        <v>925</v>
      </c>
      <c r="C2265" s="275">
        <v>43291.0</v>
      </c>
      <c r="D2265" s="24" t="str">
        <f t="shared" si="177"/>
        <v>Jul-2018</v>
      </c>
      <c r="E2265" t="s">
        <v>20</v>
      </c>
      <c r="F2265" s="24" t="s">
        <v>35</v>
      </c>
      <c r="G2265" s="24" t="s">
        <v>94</v>
      </c>
      <c r="H2265" s="24" t="s">
        <v>44</v>
      </c>
      <c r="I2265" s="24" t="s">
        <v>9</v>
      </c>
      <c r="J2265" s="24" t="s">
        <v>24</v>
      </c>
      <c r="K2265" s="24" t="s">
        <v>24</v>
      </c>
      <c r="L2265" s="24" t="s">
        <v>69</v>
      </c>
    </row>
    <row r="2266">
      <c r="A2266" s="24">
        <f t="shared" si="1"/>
        <v>2264</v>
      </c>
      <c r="B2266" s="24" t="s">
        <v>925</v>
      </c>
      <c r="C2266" s="275">
        <v>43291.0</v>
      </c>
      <c r="D2266" s="24" t="str">
        <f t="shared" si="177"/>
        <v>Jul-2018</v>
      </c>
      <c r="E2266" t="s">
        <v>25</v>
      </c>
      <c r="F2266" s="24" t="s">
        <v>35</v>
      </c>
      <c r="G2266" s="24" t="s">
        <v>94</v>
      </c>
      <c r="H2266" s="24" t="s">
        <v>44</v>
      </c>
      <c r="I2266" s="24" t="s">
        <v>9</v>
      </c>
      <c r="J2266" s="24" t="s">
        <v>24</v>
      </c>
      <c r="K2266" s="24"/>
      <c r="L2266" s="24" t="s">
        <v>106</v>
      </c>
    </row>
    <row r="2267">
      <c r="A2267" s="24">
        <f t="shared" si="1"/>
        <v>2265</v>
      </c>
      <c r="B2267" s="24" t="s">
        <v>929</v>
      </c>
      <c r="C2267" s="275">
        <v>43294.0</v>
      </c>
      <c r="D2267" s="24" t="str">
        <f t="shared" ref="D2267:D2274" si="178">TEXT(C2260:C2267, "mmm") &amp; "-" &amp; TEXT(C2260:C2267, "yyyy") </f>
        <v>Jul-2018</v>
      </c>
      <c r="E2267" t="s">
        <v>20</v>
      </c>
      <c r="F2267" s="24" t="s">
        <v>35</v>
      </c>
      <c r="G2267" s="24" t="s">
        <v>930</v>
      </c>
      <c r="H2267" s="24" t="s">
        <v>44</v>
      </c>
      <c r="I2267" s="24" t="s">
        <v>9</v>
      </c>
      <c r="J2267" s="24" t="s">
        <v>30</v>
      </c>
      <c r="K2267" s="24" t="s">
        <v>30</v>
      </c>
      <c r="L2267" s="24" t="s">
        <v>69</v>
      </c>
    </row>
    <row r="2268">
      <c r="A2268" s="24">
        <f t="shared" si="1"/>
        <v>2266</v>
      </c>
      <c r="B2268" s="24" t="s">
        <v>929</v>
      </c>
      <c r="C2268" s="275">
        <v>43294.0</v>
      </c>
      <c r="D2268" s="24" t="str">
        <f t="shared" si="178"/>
        <v>Jul-2018</v>
      </c>
      <c r="E2268" t="s">
        <v>25</v>
      </c>
      <c r="F2268" s="24" t="s">
        <v>35</v>
      </c>
      <c r="G2268" s="24" t="s">
        <v>930</v>
      </c>
      <c r="H2268" s="24" t="s">
        <v>44</v>
      </c>
      <c r="I2268" s="24" t="s">
        <v>9</v>
      </c>
      <c r="J2268" s="24" t="s">
        <v>30</v>
      </c>
      <c r="K2268" s="24"/>
      <c r="L2268" s="24" t="s">
        <v>106</v>
      </c>
    </row>
    <row r="2269">
      <c r="A2269" s="24">
        <f t="shared" si="1"/>
        <v>2267</v>
      </c>
      <c r="B2269" s="24" t="s">
        <v>929</v>
      </c>
      <c r="C2269" s="275">
        <v>43294.0</v>
      </c>
      <c r="D2269" s="24" t="str">
        <f t="shared" si="178"/>
        <v>Jul-2018</v>
      </c>
      <c r="E2269" t="s">
        <v>20</v>
      </c>
      <c r="F2269" s="24" t="s">
        <v>35</v>
      </c>
      <c r="G2269" s="24" t="s">
        <v>771</v>
      </c>
      <c r="H2269" s="24" t="s">
        <v>64</v>
      </c>
      <c r="I2269" s="24" t="s">
        <v>9</v>
      </c>
      <c r="J2269" s="24" t="s">
        <v>30</v>
      </c>
      <c r="K2269" s="24" t="s">
        <v>30</v>
      </c>
      <c r="L2269" s="24" t="s">
        <v>98</v>
      </c>
    </row>
    <row r="2270">
      <c r="A2270" s="24">
        <f t="shared" si="1"/>
        <v>2268</v>
      </c>
      <c r="B2270" s="24" t="s">
        <v>929</v>
      </c>
      <c r="C2270" s="275">
        <v>43294.0</v>
      </c>
      <c r="D2270" s="24" t="str">
        <f t="shared" si="178"/>
        <v>Jul-2018</v>
      </c>
      <c r="E2270" t="s">
        <v>25</v>
      </c>
      <c r="F2270" s="24" t="s">
        <v>35</v>
      </c>
      <c r="G2270" s="24" t="s">
        <v>771</v>
      </c>
      <c r="H2270" s="24" t="s">
        <v>64</v>
      </c>
      <c r="I2270" s="24" t="s">
        <v>9</v>
      </c>
      <c r="J2270" s="24" t="s">
        <v>30</v>
      </c>
      <c r="K2270" s="24"/>
      <c r="L2270" s="24" t="s">
        <v>99</v>
      </c>
    </row>
    <row r="2271">
      <c r="A2271" s="24">
        <f t="shared" si="1"/>
        <v>2269</v>
      </c>
      <c r="B2271" s="24" t="s">
        <v>929</v>
      </c>
      <c r="C2271" s="275">
        <v>43294.0</v>
      </c>
      <c r="D2271" s="24" t="str">
        <f t="shared" si="178"/>
        <v>Jul-2018</v>
      </c>
      <c r="E2271" t="s">
        <v>146</v>
      </c>
      <c r="F2271" s="24" t="s">
        <v>35</v>
      </c>
      <c r="G2271" s="24" t="s">
        <v>450</v>
      </c>
      <c r="H2271" s="24" t="s">
        <v>9</v>
      </c>
      <c r="I2271" s="24" t="s">
        <v>9</v>
      </c>
      <c r="J2271" s="24" t="s">
        <v>24</v>
      </c>
      <c r="K2271" s="24" t="s">
        <v>24</v>
      </c>
      <c r="L2271" s="24" t="s">
        <v>69</v>
      </c>
    </row>
    <row r="2272">
      <c r="A2272" s="24">
        <f t="shared" si="1"/>
        <v>2270</v>
      </c>
      <c r="B2272" s="24" t="s">
        <v>929</v>
      </c>
      <c r="C2272" s="275">
        <v>43294.0</v>
      </c>
      <c r="D2272" s="24" t="str">
        <f t="shared" si="178"/>
        <v>Jul-2018</v>
      </c>
      <c r="E2272" t="s">
        <v>149</v>
      </c>
      <c r="F2272" s="24" t="s">
        <v>35</v>
      </c>
      <c r="G2272" s="24" t="s">
        <v>450</v>
      </c>
      <c r="H2272" s="24" t="s">
        <v>9</v>
      </c>
      <c r="I2272" s="24" t="s">
        <v>9</v>
      </c>
      <c r="J2272" s="24" t="s">
        <v>24</v>
      </c>
      <c r="K2272" s="24"/>
      <c r="L2272" s="24" t="s">
        <v>99</v>
      </c>
    </row>
    <row r="2273">
      <c r="A2273" s="24">
        <f t="shared" si="1"/>
        <v>2271</v>
      </c>
      <c r="B2273" s="24" t="s">
        <v>929</v>
      </c>
      <c r="C2273" s="275">
        <v>43294.0</v>
      </c>
      <c r="D2273" s="24" t="str">
        <f t="shared" si="178"/>
        <v>Jul-2018</v>
      </c>
      <c r="E2273" t="s">
        <v>222</v>
      </c>
      <c r="F2273" s="24" t="s">
        <v>35</v>
      </c>
      <c r="G2273" s="24" t="s">
        <v>450</v>
      </c>
      <c r="H2273" s="24" t="s">
        <v>9</v>
      </c>
      <c r="I2273" s="24" t="s">
        <v>9</v>
      </c>
      <c r="J2273" s="24" t="s">
        <v>24</v>
      </c>
      <c r="K2273" s="24"/>
      <c r="L2273" s="24" t="s">
        <v>106</v>
      </c>
    </row>
    <row r="2274">
      <c r="A2274" s="24">
        <f t="shared" si="1"/>
        <v>2272</v>
      </c>
      <c r="B2274" s="24" t="s">
        <v>929</v>
      </c>
      <c r="C2274" s="275">
        <v>43294.0</v>
      </c>
      <c r="D2274" s="24" t="str">
        <f t="shared" si="178"/>
        <v>Jul-2018</v>
      </c>
      <c r="E2274" t="s">
        <v>146</v>
      </c>
      <c r="F2274" s="24" t="s">
        <v>35</v>
      </c>
      <c r="G2274" s="24" t="s">
        <v>933</v>
      </c>
      <c r="H2274" s="24" t="s">
        <v>23</v>
      </c>
      <c r="I2274" s="24" t="s">
        <v>9</v>
      </c>
      <c r="J2274" s="24" t="s">
        <v>30</v>
      </c>
      <c r="K2274" s="24" t="s">
        <v>24</v>
      </c>
      <c r="L2274" s="24" t="s">
        <v>37</v>
      </c>
    </row>
    <row r="2275">
      <c r="A2275" s="24">
        <f t="shared" si="1"/>
        <v>2273</v>
      </c>
      <c r="B2275" s="24" t="s">
        <v>929</v>
      </c>
      <c r="C2275" s="275">
        <v>43294.0</v>
      </c>
      <c r="D2275" s="24" t="str">
        <f t="shared" ref="D2275:D2278" si="179">TEXT(C2267:C2275, "mmm") &amp; "-" &amp; TEXT(C2267:C2275, "yyyy") </f>
        <v>Jul-2018</v>
      </c>
      <c r="E2275" t="s">
        <v>149</v>
      </c>
      <c r="F2275" s="24" t="s">
        <v>35</v>
      </c>
      <c r="G2275" s="24" t="s">
        <v>933</v>
      </c>
      <c r="H2275" s="24" t="s">
        <v>71</v>
      </c>
      <c r="I2275" s="24" t="s">
        <v>9</v>
      </c>
      <c r="J2275" s="24" t="s">
        <v>24</v>
      </c>
      <c r="K2275" s="24"/>
      <c r="L2275" s="24" t="s">
        <v>98</v>
      </c>
    </row>
    <row r="2276">
      <c r="A2276" s="24">
        <f t="shared" si="1"/>
        <v>2274</v>
      </c>
      <c r="B2276" s="24" t="s">
        <v>929</v>
      </c>
      <c r="C2276" s="275">
        <v>43294.0</v>
      </c>
      <c r="D2276" s="24" t="str">
        <f t="shared" si="179"/>
        <v>Jul-2018</v>
      </c>
      <c r="E2276" t="s">
        <v>222</v>
      </c>
      <c r="F2276" s="24" t="s">
        <v>35</v>
      </c>
      <c r="G2276" s="24" t="s">
        <v>933</v>
      </c>
      <c r="H2276" s="24" t="s">
        <v>71</v>
      </c>
      <c r="I2276" s="24" t="s">
        <v>9</v>
      </c>
      <c r="J2276" s="24" t="s">
        <v>30</v>
      </c>
      <c r="K2276" s="24"/>
      <c r="L2276" s="24" t="s">
        <v>69</v>
      </c>
    </row>
    <row r="2277">
      <c r="A2277" s="24">
        <f t="shared" si="1"/>
        <v>2275</v>
      </c>
      <c r="B2277" s="24" t="s">
        <v>929</v>
      </c>
      <c r="C2277" s="275">
        <v>43294.0</v>
      </c>
      <c r="D2277" s="24" t="str">
        <f t="shared" si="179"/>
        <v>Jul-2018</v>
      </c>
      <c r="E2277" t="s">
        <v>467</v>
      </c>
      <c r="F2277" s="24" t="s">
        <v>35</v>
      </c>
      <c r="G2277" s="24" t="s">
        <v>933</v>
      </c>
      <c r="H2277" s="24" t="s">
        <v>71</v>
      </c>
      <c r="I2277" s="24" t="s">
        <v>9</v>
      </c>
      <c r="J2277" s="24" t="s">
        <v>24</v>
      </c>
      <c r="K2277" s="24"/>
      <c r="L2277" s="24" t="s">
        <v>99</v>
      </c>
    </row>
    <row r="2278">
      <c r="A2278" s="24">
        <f t="shared" si="1"/>
        <v>2276</v>
      </c>
      <c r="B2278" s="24" t="s">
        <v>929</v>
      </c>
      <c r="C2278" s="275">
        <v>43294.0</v>
      </c>
      <c r="D2278" s="24" t="str">
        <f t="shared" si="179"/>
        <v>Jul-2018</v>
      </c>
      <c r="E2278" s="24" t="s">
        <v>480</v>
      </c>
      <c r="F2278" s="24" t="s">
        <v>35</v>
      </c>
      <c r="G2278" s="24" t="s">
        <v>933</v>
      </c>
      <c r="H2278" s="24" t="s">
        <v>71</v>
      </c>
      <c r="I2278" s="24" t="s">
        <v>9</v>
      </c>
      <c r="J2278" s="24" t="s">
        <v>24</v>
      </c>
      <c r="K2278" s="24"/>
      <c r="L2278" s="24" t="s">
        <v>98</v>
      </c>
    </row>
    <row r="2279">
      <c r="A2279" s="24">
        <f t="shared" si="1"/>
        <v>2277</v>
      </c>
      <c r="B2279" s="24" t="s">
        <v>934</v>
      </c>
      <c r="C2279" s="275">
        <v>43295.0</v>
      </c>
      <c r="D2279" s="24" t="str">
        <f t="shared" ref="D2279:D2286" si="180">TEXT(C2272:C2279, "mmm") &amp; "-" &amp; TEXT(C2272:C2279, "yyyy") </f>
        <v>Jul-2018</v>
      </c>
      <c r="E2279" t="s">
        <v>20</v>
      </c>
      <c r="F2279" s="24" t="s">
        <v>287</v>
      </c>
      <c r="G2279" s="24" t="s">
        <v>935</v>
      </c>
      <c r="H2279" s="24" t="s">
        <v>71</v>
      </c>
      <c r="I2279" s="24" t="s">
        <v>9</v>
      </c>
      <c r="J2279" s="24" t="s">
        <v>30</v>
      </c>
      <c r="K2279" s="24" t="s">
        <v>30</v>
      </c>
      <c r="L2279" s="24" t="s">
        <v>98</v>
      </c>
    </row>
    <row r="2280">
      <c r="A2280" s="24">
        <f t="shared" si="1"/>
        <v>2278</v>
      </c>
      <c r="B2280" s="24" t="s">
        <v>934</v>
      </c>
      <c r="C2280" s="275">
        <v>43295.0</v>
      </c>
      <c r="D2280" s="24" t="str">
        <f t="shared" si="180"/>
        <v>Jul-2018</v>
      </c>
      <c r="E2280" t="s">
        <v>25</v>
      </c>
      <c r="F2280" s="24" t="s">
        <v>287</v>
      </c>
      <c r="G2280" s="24" t="s">
        <v>935</v>
      </c>
      <c r="H2280" s="24" t="s">
        <v>71</v>
      </c>
      <c r="I2280" s="24" t="s">
        <v>9</v>
      </c>
      <c r="J2280" s="24" t="s">
        <v>30</v>
      </c>
      <c r="K2280" s="24"/>
      <c r="L2280" s="24" t="s">
        <v>37</v>
      </c>
    </row>
    <row r="2281">
      <c r="A2281" s="24">
        <f t="shared" si="1"/>
        <v>2279</v>
      </c>
      <c r="B2281" s="24" t="s">
        <v>934</v>
      </c>
      <c r="C2281" s="275">
        <v>43295.0</v>
      </c>
      <c r="D2281" s="24" t="str">
        <f t="shared" si="180"/>
        <v>Jul-2018</v>
      </c>
      <c r="E2281" t="s">
        <v>20</v>
      </c>
      <c r="F2281" s="24" t="s">
        <v>287</v>
      </c>
      <c r="G2281" s="24" t="s">
        <v>936</v>
      </c>
      <c r="H2281" s="24" t="s">
        <v>86</v>
      </c>
      <c r="I2281" s="24" t="s">
        <v>9</v>
      </c>
      <c r="J2281" s="24" t="s">
        <v>30</v>
      </c>
      <c r="K2281" s="24" t="s">
        <v>30</v>
      </c>
      <c r="L2281" s="24" t="s">
        <v>69</v>
      </c>
    </row>
    <row r="2282">
      <c r="A2282" s="24">
        <f t="shared" si="1"/>
        <v>2280</v>
      </c>
      <c r="B2282" s="24" t="s">
        <v>934</v>
      </c>
      <c r="C2282" s="275">
        <v>43295.0</v>
      </c>
      <c r="D2282" s="24" t="str">
        <f t="shared" si="180"/>
        <v>Jul-2018</v>
      </c>
      <c r="E2282" t="s">
        <v>25</v>
      </c>
      <c r="F2282" s="24" t="s">
        <v>287</v>
      </c>
      <c r="G2282" s="24" t="s">
        <v>936</v>
      </c>
      <c r="H2282" s="24" t="s">
        <v>86</v>
      </c>
      <c r="I2282" s="24" t="s">
        <v>9</v>
      </c>
      <c r="J2282" s="24" t="s">
        <v>24</v>
      </c>
      <c r="K2282" s="24"/>
      <c r="L2282" s="24" t="s">
        <v>98</v>
      </c>
    </row>
    <row r="2283">
      <c r="A2283" s="24">
        <f t="shared" si="1"/>
        <v>2281</v>
      </c>
      <c r="B2283" s="24" t="s">
        <v>934</v>
      </c>
      <c r="C2283" s="275">
        <v>43295.0</v>
      </c>
      <c r="D2283" s="24" t="str">
        <f t="shared" si="180"/>
        <v>Jul-2018</v>
      </c>
      <c r="E2283" t="s">
        <v>32</v>
      </c>
      <c r="F2283" s="24" t="s">
        <v>287</v>
      </c>
      <c r="G2283" s="24" t="s">
        <v>936</v>
      </c>
      <c r="H2283" s="24" t="s">
        <v>86</v>
      </c>
      <c r="I2283" s="24" t="s">
        <v>9</v>
      </c>
      <c r="J2283" s="24" t="s">
        <v>30</v>
      </c>
      <c r="K2283" s="24"/>
      <c r="L2283" s="24" t="s">
        <v>29</v>
      </c>
    </row>
    <row r="2284">
      <c r="A2284" s="24">
        <f t="shared" si="1"/>
        <v>2282</v>
      </c>
      <c r="B2284" s="24" t="s">
        <v>934</v>
      </c>
      <c r="C2284" s="275">
        <v>43295.0</v>
      </c>
      <c r="D2284" s="24" t="str">
        <f t="shared" si="180"/>
        <v>Jul-2018</v>
      </c>
      <c r="E2284" t="s">
        <v>20</v>
      </c>
      <c r="F2284" s="24" t="s">
        <v>287</v>
      </c>
      <c r="G2284" s="24" t="s">
        <v>302</v>
      </c>
      <c r="H2284" s="24" t="s">
        <v>27</v>
      </c>
      <c r="I2284" s="24" t="s">
        <v>9</v>
      </c>
      <c r="J2284" s="24" t="s">
        <v>30</v>
      </c>
      <c r="K2284" s="24" t="s">
        <v>30</v>
      </c>
      <c r="L2284" s="24" t="s">
        <v>69</v>
      </c>
    </row>
    <row r="2285">
      <c r="A2285" s="24">
        <f t="shared" si="1"/>
        <v>2283</v>
      </c>
      <c r="B2285" s="24" t="s">
        <v>934</v>
      </c>
      <c r="C2285" s="275">
        <v>43295.0</v>
      </c>
      <c r="D2285" s="24" t="str">
        <f t="shared" si="180"/>
        <v>Jul-2018</v>
      </c>
      <c r="E2285" t="s">
        <v>25</v>
      </c>
      <c r="F2285" s="24" t="s">
        <v>287</v>
      </c>
      <c r="G2285" s="24" t="s">
        <v>302</v>
      </c>
      <c r="H2285" s="24" t="s">
        <v>27</v>
      </c>
      <c r="I2285" s="24" t="s">
        <v>9</v>
      </c>
      <c r="J2285" s="24" t="s">
        <v>30</v>
      </c>
      <c r="K2285" s="24"/>
      <c r="L2285" s="24" t="s">
        <v>99</v>
      </c>
    </row>
    <row r="2286">
      <c r="A2286" s="24">
        <f t="shared" si="1"/>
        <v>2284</v>
      </c>
      <c r="B2286" s="24" t="s">
        <v>934</v>
      </c>
      <c r="C2286" s="275">
        <v>43295.0</v>
      </c>
      <c r="D2286" s="24" t="str">
        <f t="shared" si="180"/>
        <v>Jul-2018</v>
      </c>
      <c r="E2286" t="s">
        <v>20</v>
      </c>
      <c r="F2286" s="24" t="s">
        <v>287</v>
      </c>
      <c r="G2286" s="24" t="s">
        <v>726</v>
      </c>
      <c r="H2286" s="24" t="s">
        <v>216</v>
      </c>
      <c r="I2286" s="24" t="s">
        <v>9</v>
      </c>
      <c r="J2286" s="24" t="s">
        <v>30</v>
      </c>
      <c r="K2286" s="24" t="s">
        <v>30</v>
      </c>
      <c r="L2286" s="24" t="s">
        <v>37</v>
      </c>
    </row>
    <row r="2287">
      <c r="A2287" s="24">
        <f t="shared" si="1"/>
        <v>2285</v>
      </c>
      <c r="B2287" s="24" t="s">
        <v>934</v>
      </c>
      <c r="C2287" s="275">
        <v>43295.0</v>
      </c>
      <c r="D2287" s="24" t="str">
        <f t="shared" ref="D2287:D2300" si="181">TEXT(C2279:C2287, "mmm") &amp; "-" &amp; TEXT(C2279:C2287, "yyyy") </f>
        <v>Jul-2018</v>
      </c>
      <c r="E2287" t="s">
        <v>25</v>
      </c>
      <c r="F2287" s="24" t="s">
        <v>287</v>
      </c>
      <c r="G2287" s="24" t="s">
        <v>726</v>
      </c>
      <c r="H2287" s="24" t="s">
        <v>216</v>
      </c>
      <c r="I2287" s="24" t="s">
        <v>9</v>
      </c>
      <c r="J2287" s="24" t="s">
        <v>30</v>
      </c>
      <c r="K2287" s="24"/>
      <c r="L2287" s="24" t="s">
        <v>99</v>
      </c>
    </row>
    <row r="2288">
      <c r="A2288" s="24">
        <f t="shared" si="1"/>
        <v>2286</v>
      </c>
      <c r="B2288" s="24" t="s">
        <v>934</v>
      </c>
      <c r="C2288" s="275">
        <v>43295.0</v>
      </c>
      <c r="D2288" s="24" t="str">
        <f t="shared" si="181"/>
        <v>Jul-2018</v>
      </c>
      <c r="E2288" t="s">
        <v>20</v>
      </c>
      <c r="F2288" s="24" t="s">
        <v>287</v>
      </c>
      <c r="G2288" s="24" t="s">
        <v>940</v>
      </c>
      <c r="H2288" s="24" t="s">
        <v>44</v>
      </c>
      <c r="I2288" s="24" t="s">
        <v>9</v>
      </c>
      <c r="J2288" s="24" t="s">
        <v>30</v>
      </c>
      <c r="K2288" s="24" t="s">
        <v>30</v>
      </c>
      <c r="L2288" s="24" t="s">
        <v>37</v>
      </c>
    </row>
    <row r="2289">
      <c r="A2289" s="24">
        <f t="shared" si="1"/>
        <v>2287</v>
      </c>
      <c r="B2289" s="24" t="s">
        <v>934</v>
      </c>
      <c r="C2289" s="275">
        <v>43295.0</v>
      </c>
      <c r="D2289" s="24" t="str">
        <f t="shared" si="181"/>
        <v>Jul-2018</v>
      </c>
      <c r="E2289" t="s">
        <v>25</v>
      </c>
      <c r="F2289" s="24" t="s">
        <v>287</v>
      </c>
      <c r="G2289" s="24" t="s">
        <v>940</v>
      </c>
      <c r="H2289" s="24" t="s">
        <v>44</v>
      </c>
      <c r="I2289" s="24" t="s">
        <v>9</v>
      </c>
      <c r="J2289" s="24" t="s">
        <v>30</v>
      </c>
      <c r="K2289" s="24"/>
      <c r="L2289" s="24" t="s">
        <v>98</v>
      </c>
    </row>
    <row r="2290">
      <c r="A2290" s="24">
        <f t="shared" si="1"/>
        <v>2288</v>
      </c>
      <c r="B2290" s="24" t="s">
        <v>934</v>
      </c>
      <c r="C2290" s="275">
        <v>43295.0</v>
      </c>
      <c r="D2290" s="24" t="str">
        <f t="shared" si="181"/>
        <v>Jul-2018</v>
      </c>
      <c r="E2290" t="s">
        <v>20</v>
      </c>
      <c r="F2290" s="24" t="s">
        <v>35</v>
      </c>
      <c r="G2290" s="24" t="s">
        <v>941</v>
      </c>
      <c r="H2290" s="24" t="s">
        <v>23</v>
      </c>
      <c r="I2290" s="24" t="s">
        <v>9</v>
      </c>
      <c r="J2290" s="24" t="s">
        <v>30</v>
      </c>
      <c r="K2290" s="24" t="s">
        <v>30</v>
      </c>
      <c r="L2290" s="24" t="s">
        <v>69</v>
      </c>
    </row>
    <row r="2291">
      <c r="A2291" s="24">
        <f t="shared" si="1"/>
        <v>2289</v>
      </c>
      <c r="B2291" s="24" t="s">
        <v>934</v>
      </c>
      <c r="C2291" s="275">
        <v>43295.0</v>
      </c>
      <c r="D2291" s="24" t="str">
        <f t="shared" si="181"/>
        <v>Jul-2018</v>
      </c>
      <c r="E2291" t="s">
        <v>25</v>
      </c>
      <c r="F2291" s="24" t="s">
        <v>35</v>
      </c>
      <c r="G2291" s="24" t="s">
        <v>941</v>
      </c>
      <c r="H2291" s="24" t="s">
        <v>23</v>
      </c>
      <c r="I2291" s="24" t="s">
        <v>9</v>
      </c>
      <c r="J2291" s="24" t="s">
        <v>30</v>
      </c>
      <c r="K2291" s="24"/>
      <c r="L2291" s="24" t="s">
        <v>69</v>
      </c>
    </row>
    <row r="2292">
      <c r="A2292" s="24">
        <f t="shared" si="1"/>
        <v>2290</v>
      </c>
      <c r="B2292" s="24" t="s">
        <v>934</v>
      </c>
      <c r="C2292" s="275">
        <v>43295.0</v>
      </c>
      <c r="D2292" s="24" t="str">
        <f t="shared" si="181"/>
        <v>Jul-2018</v>
      </c>
      <c r="E2292" t="s">
        <v>20</v>
      </c>
      <c r="F2292" s="24" t="s">
        <v>35</v>
      </c>
      <c r="G2292" s="24" t="s">
        <v>942</v>
      </c>
      <c r="H2292" s="24" t="s">
        <v>9</v>
      </c>
      <c r="I2292" s="24" t="s">
        <v>9</v>
      </c>
      <c r="J2292" s="24" t="s">
        <v>24</v>
      </c>
      <c r="K2292" s="24" t="s">
        <v>24</v>
      </c>
      <c r="L2292" s="24" t="s">
        <v>98</v>
      </c>
    </row>
    <row r="2293">
      <c r="A2293" s="24">
        <f t="shared" si="1"/>
        <v>2291</v>
      </c>
      <c r="B2293" s="24" t="s">
        <v>934</v>
      </c>
      <c r="C2293" s="275">
        <v>43295.0</v>
      </c>
      <c r="D2293" s="24" t="str">
        <f t="shared" si="181"/>
        <v>Jul-2018</v>
      </c>
      <c r="E2293" t="s">
        <v>25</v>
      </c>
      <c r="F2293" s="24" t="s">
        <v>35</v>
      </c>
      <c r="G2293" s="24" t="s">
        <v>942</v>
      </c>
      <c r="H2293" s="24" t="s">
        <v>9</v>
      </c>
      <c r="I2293" s="24" t="s">
        <v>9</v>
      </c>
      <c r="J2293" s="24" t="s">
        <v>24</v>
      </c>
      <c r="K2293" s="24"/>
      <c r="L2293" s="24" t="s">
        <v>69</v>
      </c>
    </row>
    <row r="2294">
      <c r="A2294" s="24">
        <f t="shared" si="1"/>
        <v>2292</v>
      </c>
      <c r="B2294" s="24" t="s">
        <v>934</v>
      </c>
      <c r="C2294" s="275">
        <v>43295.0</v>
      </c>
      <c r="D2294" s="24" t="str">
        <f t="shared" si="181"/>
        <v>Jul-2018</v>
      </c>
      <c r="E2294" t="s">
        <v>20</v>
      </c>
      <c r="F2294" s="24" t="s">
        <v>35</v>
      </c>
      <c r="G2294" s="24" t="s">
        <v>943</v>
      </c>
      <c r="H2294" s="24" t="s">
        <v>27</v>
      </c>
      <c r="I2294" s="24" t="s">
        <v>9</v>
      </c>
      <c r="J2294" s="24" t="s">
        <v>30</v>
      </c>
      <c r="K2294" s="24" t="s">
        <v>30</v>
      </c>
      <c r="L2294" s="24" t="s">
        <v>98</v>
      </c>
    </row>
    <row r="2295">
      <c r="A2295" s="24">
        <f t="shared" si="1"/>
        <v>2293</v>
      </c>
      <c r="B2295" s="24" t="s">
        <v>934</v>
      </c>
      <c r="C2295" s="275">
        <v>43295.0</v>
      </c>
      <c r="D2295" s="24" t="str">
        <f t="shared" si="181"/>
        <v>Jul-2018</v>
      </c>
      <c r="E2295" t="s">
        <v>25</v>
      </c>
      <c r="F2295" s="24" t="s">
        <v>35</v>
      </c>
      <c r="G2295" s="24" t="s">
        <v>943</v>
      </c>
      <c r="H2295" s="24" t="s">
        <v>27</v>
      </c>
      <c r="I2295" s="24" t="s">
        <v>9</v>
      </c>
      <c r="J2295" s="24" t="s">
        <v>30</v>
      </c>
      <c r="K2295" s="24"/>
      <c r="L2295" s="24" t="s">
        <v>99</v>
      </c>
    </row>
    <row r="2296">
      <c r="A2296" s="24">
        <f t="shared" si="1"/>
        <v>2294</v>
      </c>
      <c r="B2296" s="24" t="s">
        <v>934</v>
      </c>
      <c r="C2296" s="275">
        <v>43295.0</v>
      </c>
      <c r="D2296" s="24" t="str">
        <f t="shared" si="181"/>
        <v>Jul-2018</v>
      </c>
      <c r="E2296" t="s">
        <v>20</v>
      </c>
      <c r="F2296" s="24" t="s">
        <v>35</v>
      </c>
      <c r="G2296" s="24" t="s">
        <v>944</v>
      </c>
      <c r="H2296" s="24" t="s">
        <v>9</v>
      </c>
      <c r="I2296" s="24" t="s">
        <v>9</v>
      </c>
      <c r="J2296" s="24" t="s">
        <v>24</v>
      </c>
      <c r="K2296" s="24" t="s">
        <v>30</v>
      </c>
      <c r="L2296" s="24" t="s">
        <v>69</v>
      </c>
    </row>
    <row r="2297">
      <c r="A2297" s="24">
        <f t="shared" si="1"/>
        <v>2295</v>
      </c>
      <c r="B2297" s="24" t="s">
        <v>934</v>
      </c>
      <c r="C2297" s="275">
        <v>43295.0</v>
      </c>
      <c r="D2297" s="24" t="str">
        <f t="shared" si="181"/>
        <v>Jul-2018</v>
      </c>
      <c r="E2297" t="s">
        <v>25</v>
      </c>
      <c r="F2297" s="24" t="s">
        <v>35</v>
      </c>
      <c r="G2297" s="24" t="s">
        <v>944</v>
      </c>
      <c r="H2297" s="24" t="s">
        <v>9</v>
      </c>
      <c r="I2297" s="24" t="s">
        <v>9</v>
      </c>
      <c r="J2297" s="24" t="s">
        <v>30</v>
      </c>
      <c r="K2297" s="24"/>
      <c r="L2297" s="24" t="s">
        <v>69</v>
      </c>
    </row>
    <row r="2298">
      <c r="A2298" s="24">
        <f t="shared" si="1"/>
        <v>2296</v>
      </c>
      <c r="B2298" s="24" t="s">
        <v>934</v>
      </c>
      <c r="C2298" s="275">
        <v>43295.0</v>
      </c>
      <c r="D2298" s="24" t="str">
        <f t="shared" si="181"/>
        <v>Jul-2018</v>
      </c>
      <c r="E2298" t="s">
        <v>32</v>
      </c>
      <c r="F2298" s="24" t="s">
        <v>35</v>
      </c>
      <c r="G2298" s="24" t="s">
        <v>944</v>
      </c>
      <c r="H2298" s="24" t="s">
        <v>9</v>
      </c>
      <c r="I2298" s="24" t="s">
        <v>9</v>
      </c>
      <c r="J2298" s="24" t="s">
        <v>30</v>
      </c>
      <c r="K2298" s="24"/>
      <c r="L2298" s="24" t="s">
        <v>99</v>
      </c>
    </row>
    <row r="2299">
      <c r="A2299" s="24">
        <f t="shared" si="1"/>
        <v>2297</v>
      </c>
      <c r="B2299" s="24" t="s">
        <v>934</v>
      </c>
      <c r="C2299" s="275">
        <v>43295.0</v>
      </c>
      <c r="D2299" s="24" t="str">
        <f t="shared" si="181"/>
        <v>Jul-2018</v>
      </c>
      <c r="E2299" t="s">
        <v>20</v>
      </c>
      <c r="F2299" s="24" t="s">
        <v>35</v>
      </c>
      <c r="G2299" s="24" t="s">
        <v>36</v>
      </c>
      <c r="H2299" s="24" t="s">
        <v>27</v>
      </c>
      <c r="I2299" s="24" t="s">
        <v>9</v>
      </c>
      <c r="J2299" s="24" t="s">
        <v>24</v>
      </c>
      <c r="K2299" s="24" t="s">
        <v>24</v>
      </c>
      <c r="L2299" s="24" t="s">
        <v>37</v>
      </c>
    </row>
    <row r="2300">
      <c r="A2300" s="24">
        <f t="shared" si="1"/>
        <v>2298</v>
      </c>
      <c r="B2300" s="24" t="s">
        <v>934</v>
      </c>
      <c r="C2300" s="275">
        <v>43295.0</v>
      </c>
      <c r="D2300" s="24" t="str">
        <f t="shared" si="181"/>
        <v>Jul-2018</v>
      </c>
      <c r="E2300" t="s">
        <v>25</v>
      </c>
      <c r="F2300" s="24" t="s">
        <v>35</v>
      </c>
      <c r="G2300" s="24" t="s">
        <v>36</v>
      </c>
      <c r="H2300" s="24" t="s">
        <v>27</v>
      </c>
      <c r="I2300" s="24" t="s">
        <v>9</v>
      </c>
      <c r="J2300" s="24" t="s">
        <v>24</v>
      </c>
      <c r="K2300" s="24"/>
      <c r="L2300" s="24" t="s">
        <v>106</v>
      </c>
    </row>
    <row r="2301">
      <c r="A2301" s="24">
        <f t="shared" si="1"/>
        <v>2299</v>
      </c>
      <c r="B2301" s="24" t="s">
        <v>945</v>
      </c>
      <c r="C2301" s="275">
        <v>43305.0</v>
      </c>
      <c r="D2301" s="24" t="str">
        <f t="shared" ref="D2301:D2308" si="182">TEXT(C2294:C2301, "mmm") &amp; "-" &amp; TEXT(C2294:C2301, "yyyy") </f>
        <v>Jul-2018</v>
      </c>
      <c r="E2301" t="s">
        <v>20</v>
      </c>
      <c r="F2301" s="24" t="s">
        <v>35</v>
      </c>
      <c r="G2301" s="24" t="s">
        <v>946</v>
      </c>
      <c r="H2301" s="24" t="s">
        <v>48</v>
      </c>
      <c r="I2301" s="24" t="s">
        <v>9</v>
      </c>
      <c r="J2301" s="24" t="s">
        <v>30</v>
      </c>
      <c r="K2301" s="24" t="s">
        <v>30</v>
      </c>
      <c r="L2301" s="24" t="s">
        <v>98</v>
      </c>
    </row>
    <row r="2302">
      <c r="A2302" s="24">
        <f t="shared" si="1"/>
        <v>2300</v>
      </c>
      <c r="B2302" s="24" t="s">
        <v>945</v>
      </c>
      <c r="C2302" s="275">
        <v>43305.0</v>
      </c>
      <c r="D2302" s="24" t="str">
        <f t="shared" si="182"/>
        <v>Jul-2018</v>
      </c>
      <c r="E2302" t="s">
        <v>25</v>
      </c>
      <c r="F2302" s="24" t="s">
        <v>35</v>
      </c>
      <c r="G2302" s="24" t="s">
        <v>946</v>
      </c>
      <c r="H2302" s="24" t="s">
        <v>48</v>
      </c>
      <c r="I2302" s="24" t="s">
        <v>9</v>
      </c>
      <c r="J2302" s="24" t="s">
        <v>30</v>
      </c>
      <c r="K2302" s="24"/>
      <c r="L2302" s="24" t="s">
        <v>99</v>
      </c>
    </row>
    <row r="2303">
      <c r="A2303" s="24">
        <f t="shared" si="1"/>
        <v>2301</v>
      </c>
      <c r="B2303" s="24" t="s">
        <v>945</v>
      </c>
      <c r="C2303" s="275">
        <v>43305.0</v>
      </c>
      <c r="D2303" s="24" t="str">
        <f t="shared" si="182"/>
        <v>Jul-2018</v>
      </c>
      <c r="E2303" t="s">
        <v>20</v>
      </c>
      <c r="F2303" s="24" t="s">
        <v>35</v>
      </c>
      <c r="G2303" s="24" t="s">
        <v>375</v>
      </c>
      <c r="H2303" s="24" t="s">
        <v>9</v>
      </c>
      <c r="I2303" s="24" t="s">
        <v>9</v>
      </c>
      <c r="J2303" s="24" t="s">
        <v>30</v>
      </c>
      <c r="K2303" s="24" t="s">
        <v>30</v>
      </c>
      <c r="L2303" s="24" t="s">
        <v>69</v>
      </c>
    </row>
    <row r="2304">
      <c r="A2304" s="24">
        <f t="shared" si="1"/>
        <v>2302</v>
      </c>
      <c r="B2304" s="24" t="s">
        <v>945</v>
      </c>
      <c r="C2304" s="275">
        <v>43305.0</v>
      </c>
      <c r="D2304" s="24" t="str">
        <f t="shared" si="182"/>
        <v>Jul-2018</v>
      </c>
      <c r="E2304" t="s">
        <v>25</v>
      </c>
      <c r="F2304" s="24" t="s">
        <v>35</v>
      </c>
      <c r="G2304" s="24" t="s">
        <v>375</v>
      </c>
      <c r="H2304" s="24" t="s">
        <v>9</v>
      </c>
      <c r="I2304" s="24" t="s">
        <v>9</v>
      </c>
      <c r="J2304" s="24" t="s">
        <v>30</v>
      </c>
      <c r="K2304" s="24"/>
      <c r="L2304" s="24" t="s">
        <v>69</v>
      </c>
    </row>
    <row r="2305">
      <c r="A2305" s="24">
        <f t="shared" si="1"/>
        <v>2303</v>
      </c>
      <c r="B2305" s="24" t="s">
        <v>945</v>
      </c>
      <c r="C2305" s="275">
        <v>43305.0</v>
      </c>
      <c r="D2305" s="24" t="str">
        <f t="shared" si="182"/>
        <v>Jul-2018</v>
      </c>
      <c r="E2305" t="s">
        <v>20</v>
      </c>
      <c r="F2305" s="24" t="s">
        <v>35</v>
      </c>
      <c r="G2305" s="24" t="s">
        <v>947</v>
      </c>
      <c r="H2305" s="24" t="s">
        <v>71</v>
      </c>
      <c r="I2305" s="24" t="s">
        <v>9</v>
      </c>
      <c r="J2305" s="24" t="s">
        <v>24</v>
      </c>
      <c r="K2305" s="24" t="s">
        <v>24</v>
      </c>
      <c r="L2305" s="24" t="s">
        <v>98</v>
      </c>
    </row>
    <row r="2306">
      <c r="A2306" s="24">
        <f t="shared" si="1"/>
        <v>2304</v>
      </c>
      <c r="B2306" s="24" t="s">
        <v>945</v>
      </c>
      <c r="C2306" s="275">
        <v>43305.0</v>
      </c>
      <c r="D2306" s="24" t="str">
        <f t="shared" si="182"/>
        <v>Jul-2018</v>
      </c>
      <c r="E2306" t="s">
        <v>25</v>
      </c>
      <c r="F2306" s="24" t="s">
        <v>35</v>
      </c>
      <c r="G2306" s="24" t="s">
        <v>947</v>
      </c>
      <c r="H2306" s="24" t="s">
        <v>71</v>
      </c>
      <c r="I2306" s="24" t="s">
        <v>9</v>
      </c>
      <c r="J2306" s="24" t="s">
        <v>24</v>
      </c>
      <c r="K2306" s="24"/>
      <c r="L2306" s="24" t="s">
        <v>106</v>
      </c>
    </row>
    <row r="2307">
      <c r="A2307" s="24">
        <f t="shared" si="1"/>
        <v>2305</v>
      </c>
      <c r="B2307" s="24" t="s">
        <v>945</v>
      </c>
      <c r="C2307" s="275">
        <v>43305.0</v>
      </c>
      <c r="D2307" s="24" t="str">
        <f t="shared" si="182"/>
        <v>Jul-2018</v>
      </c>
      <c r="E2307" t="s">
        <v>20</v>
      </c>
      <c r="F2307" s="24" t="s">
        <v>35</v>
      </c>
      <c r="G2307" s="24" t="s">
        <v>409</v>
      </c>
      <c r="H2307" s="24" t="s">
        <v>27</v>
      </c>
      <c r="I2307" s="24" t="s">
        <v>9</v>
      </c>
      <c r="J2307" s="24" t="s">
        <v>30</v>
      </c>
      <c r="K2307" s="24" t="s">
        <v>30</v>
      </c>
      <c r="L2307" s="24" t="s">
        <v>69</v>
      </c>
    </row>
    <row r="2308">
      <c r="A2308" s="24">
        <f t="shared" si="1"/>
        <v>2306</v>
      </c>
      <c r="B2308" s="24" t="s">
        <v>945</v>
      </c>
      <c r="C2308" s="275">
        <v>43305.0</v>
      </c>
      <c r="D2308" s="24" t="str">
        <f t="shared" si="182"/>
        <v>Jul-2018</v>
      </c>
      <c r="E2308" t="s">
        <v>25</v>
      </c>
      <c r="F2308" s="24" t="s">
        <v>35</v>
      </c>
      <c r="G2308" s="24" t="s">
        <v>409</v>
      </c>
      <c r="H2308" s="24" t="s">
        <v>23</v>
      </c>
      <c r="I2308" s="24" t="s">
        <v>9</v>
      </c>
      <c r="J2308" s="24" t="s">
        <v>30</v>
      </c>
      <c r="K2308" s="24"/>
      <c r="L2308" s="24" t="s">
        <v>99</v>
      </c>
    </row>
    <row r="2309">
      <c r="A2309" s="24">
        <f t="shared" si="1"/>
        <v>2307</v>
      </c>
      <c r="B2309" s="24" t="s">
        <v>945</v>
      </c>
      <c r="C2309" s="275">
        <v>43305.0</v>
      </c>
      <c r="D2309" s="24" t="str">
        <f t="shared" ref="D2309:D2312" si="183">TEXT(C2301:C2309, "mmm") &amp; "-" &amp; TEXT(C2301:C2309, "yyyy") </f>
        <v>Jul-2018</v>
      </c>
      <c r="E2309" t="s">
        <v>146</v>
      </c>
      <c r="F2309" s="24" t="s">
        <v>35</v>
      </c>
      <c r="G2309" s="24" t="s">
        <v>452</v>
      </c>
      <c r="H2309" s="24" t="s">
        <v>27</v>
      </c>
      <c r="I2309" s="24" t="s">
        <v>9</v>
      </c>
      <c r="J2309" s="24" t="s">
        <v>30</v>
      </c>
      <c r="K2309" s="24" t="s">
        <v>24</v>
      </c>
      <c r="L2309" s="24" t="s">
        <v>29</v>
      </c>
    </row>
    <row r="2310">
      <c r="A2310" s="24">
        <f t="shared" si="1"/>
        <v>2308</v>
      </c>
      <c r="B2310" s="24" t="s">
        <v>945</v>
      </c>
      <c r="C2310" s="275">
        <v>43305.0</v>
      </c>
      <c r="D2310" s="24" t="str">
        <f t="shared" si="183"/>
        <v>Jul-2018</v>
      </c>
      <c r="E2310" t="s">
        <v>149</v>
      </c>
      <c r="F2310" s="24" t="s">
        <v>35</v>
      </c>
      <c r="G2310" s="24" t="s">
        <v>452</v>
      </c>
      <c r="H2310" s="24" t="s">
        <v>27</v>
      </c>
      <c r="I2310" s="24" t="s">
        <v>9</v>
      </c>
      <c r="J2310" s="24" t="s">
        <v>24</v>
      </c>
      <c r="K2310" s="24"/>
      <c r="L2310" s="24" t="s">
        <v>37</v>
      </c>
    </row>
    <row r="2311">
      <c r="A2311" s="24">
        <f t="shared" si="1"/>
        <v>2309</v>
      </c>
      <c r="B2311" s="24" t="s">
        <v>945</v>
      </c>
      <c r="C2311" s="275">
        <v>43305.0</v>
      </c>
      <c r="D2311" s="24" t="str">
        <f t="shared" si="183"/>
        <v>Jul-2018</v>
      </c>
      <c r="E2311" t="s">
        <v>222</v>
      </c>
      <c r="F2311" s="24" t="s">
        <v>35</v>
      </c>
      <c r="G2311" s="24" t="s">
        <v>452</v>
      </c>
      <c r="H2311" s="24" t="s">
        <v>27</v>
      </c>
      <c r="I2311" s="24" t="s">
        <v>9</v>
      </c>
      <c r="J2311" s="24" t="s">
        <v>24</v>
      </c>
      <c r="K2311" s="24"/>
      <c r="L2311" s="24" t="s">
        <v>98</v>
      </c>
    </row>
    <row r="2312">
      <c r="A2312" s="24">
        <f t="shared" si="1"/>
        <v>2310</v>
      </c>
      <c r="B2312" s="24" t="s">
        <v>945</v>
      </c>
      <c r="C2312" s="275">
        <v>43305.0</v>
      </c>
      <c r="D2312" s="24" t="str">
        <f t="shared" si="183"/>
        <v>Jul-2018</v>
      </c>
      <c r="E2312" t="s">
        <v>467</v>
      </c>
      <c r="F2312" s="24" t="s">
        <v>35</v>
      </c>
      <c r="G2312" s="24" t="s">
        <v>452</v>
      </c>
      <c r="H2312" s="24" t="s">
        <v>27</v>
      </c>
      <c r="I2312" s="24" t="s">
        <v>9</v>
      </c>
      <c r="J2312" s="24" t="s">
        <v>24</v>
      </c>
      <c r="K2312" s="24"/>
      <c r="L2312" s="24" t="s">
        <v>106</v>
      </c>
    </row>
    <row r="2313">
      <c r="A2313" s="24">
        <f t="shared" si="1"/>
        <v>2311</v>
      </c>
      <c r="B2313" s="24" t="s">
        <v>951</v>
      </c>
      <c r="C2313" s="275">
        <v>43308.0</v>
      </c>
      <c r="D2313" s="24" t="str">
        <f t="shared" ref="D2313:D2328" si="184">TEXT(C2306:C2313, "mmm") &amp; "-" &amp; TEXT(C2306:C2313, "yyyy") </f>
        <v>Jul-2018</v>
      </c>
      <c r="E2313" t="s">
        <v>20</v>
      </c>
      <c r="F2313" s="24" t="s">
        <v>35</v>
      </c>
      <c r="G2313" s="24" t="s">
        <v>839</v>
      </c>
      <c r="H2313" s="24" t="s">
        <v>27</v>
      </c>
      <c r="I2313" s="24" t="s">
        <v>9</v>
      </c>
      <c r="J2313" s="24" t="s">
        <v>30</v>
      </c>
      <c r="K2313" s="24" t="s">
        <v>30</v>
      </c>
      <c r="L2313" s="24" t="s">
        <v>69</v>
      </c>
    </row>
    <row r="2314">
      <c r="A2314" s="24">
        <f t="shared" si="1"/>
        <v>2312</v>
      </c>
      <c r="B2314" s="24" t="s">
        <v>951</v>
      </c>
      <c r="C2314" s="275">
        <v>43308.0</v>
      </c>
      <c r="D2314" s="24" t="str">
        <f t="shared" si="184"/>
        <v>Jul-2018</v>
      </c>
      <c r="E2314" t="s">
        <v>25</v>
      </c>
      <c r="F2314" s="24" t="s">
        <v>35</v>
      </c>
      <c r="G2314" s="24" t="s">
        <v>839</v>
      </c>
      <c r="H2314" s="24" t="s">
        <v>27</v>
      </c>
      <c r="I2314" s="24" t="s">
        <v>9</v>
      </c>
      <c r="J2314" s="24" t="s">
        <v>30</v>
      </c>
      <c r="K2314" s="24"/>
      <c r="L2314" s="24" t="s">
        <v>69</v>
      </c>
    </row>
    <row r="2315">
      <c r="A2315" s="24">
        <f t="shared" si="1"/>
        <v>2313</v>
      </c>
      <c r="B2315" s="24" t="s">
        <v>951</v>
      </c>
      <c r="C2315" s="275">
        <v>43308.0</v>
      </c>
      <c r="D2315" s="24" t="str">
        <f t="shared" si="184"/>
        <v>Jul-2018</v>
      </c>
      <c r="E2315" t="s">
        <v>20</v>
      </c>
      <c r="F2315" s="24" t="s">
        <v>35</v>
      </c>
      <c r="G2315" s="24" t="s">
        <v>394</v>
      </c>
      <c r="H2315" s="24" t="s">
        <v>27</v>
      </c>
      <c r="I2315" s="24" t="s">
        <v>9</v>
      </c>
      <c r="J2315" s="24" t="s">
        <v>24</v>
      </c>
      <c r="K2315" s="24" t="s">
        <v>24</v>
      </c>
      <c r="L2315" s="24" t="s">
        <v>37</v>
      </c>
    </row>
    <row r="2316">
      <c r="A2316" s="24">
        <f t="shared" si="1"/>
        <v>2314</v>
      </c>
      <c r="B2316" s="24" t="s">
        <v>951</v>
      </c>
      <c r="C2316" s="275">
        <v>43308.0</v>
      </c>
      <c r="D2316" s="24" t="str">
        <f t="shared" si="184"/>
        <v>Jul-2018</v>
      </c>
      <c r="E2316" t="s">
        <v>25</v>
      </c>
      <c r="F2316" s="24" t="s">
        <v>35</v>
      </c>
      <c r="G2316" s="24" t="s">
        <v>394</v>
      </c>
      <c r="H2316" s="24" t="s">
        <v>27</v>
      </c>
      <c r="I2316" s="24" t="s">
        <v>9</v>
      </c>
      <c r="J2316" s="24" t="s">
        <v>24</v>
      </c>
      <c r="K2316" s="24"/>
      <c r="L2316" s="24" t="s">
        <v>106</v>
      </c>
    </row>
    <row r="2317">
      <c r="A2317" s="24">
        <f t="shared" si="1"/>
        <v>2315</v>
      </c>
      <c r="B2317" s="24" t="s">
        <v>951</v>
      </c>
      <c r="C2317" s="275">
        <v>43308.0</v>
      </c>
      <c r="D2317" s="24" t="str">
        <f t="shared" si="184"/>
        <v>Jul-2018</v>
      </c>
      <c r="E2317" t="s">
        <v>20</v>
      </c>
      <c r="F2317" s="24" t="s">
        <v>35</v>
      </c>
      <c r="G2317" s="24" t="s">
        <v>161</v>
      </c>
      <c r="H2317" s="24" t="s">
        <v>86</v>
      </c>
      <c r="I2317" s="24" t="s">
        <v>9</v>
      </c>
      <c r="J2317" s="24" t="s">
        <v>30</v>
      </c>
      <c r="K2317" s="24" t="s">
        <v>30</v>
      </c>
      <c r="L2317" s="24" t="s">
        <v>99</v>
      </c>
    </row>
    <row r="2318">
      <c r="A2318" s="24">
        <f t="shared" si="1"/>
        <v>2316</v>
      </c>
      <c r="B2318" s="24" t="s">
        <v>951</v>
      </c>
      <c r="C2318" s="275">
        <v>43308.0</v>
      </c>
      <c r="D2318" s="24" t="str">
        <f t="shared" si="184"/>
        <v>Jul-2018</v>
      </c>
      <c r="E2318" t="s">
        <v>25</v>
      </c>
      <c r="F2318" s="24" t="s">
        <v>35</v>
      </c>
      <c r="G2318" s="24" t="s">
        <v>161</v>
      </c>
      <c r="H2318" s="24" t="s">
        <v>86</v>
      </c>
      <c r="I2318" s="24" t="s">
        <v>9</v>
      </c>
      <c r="J2318" s="24" t="s">
        <v>30</v>
      </c>
      <c r="K2318" s="24"/>
      <c r="L2318" s="24" t="s">
        <v>98</v>
      </c>
    </row>
    <row r="2319">
      <c r="A2319" s="24">
        <f t="shared" si="1"/>
        <v>2317</v>
      </c>
      <c r="B2319" s="24" t="s">
        <v>951</v>
      </c>
      <c r="C2319" s="275">
        <v>43308.0</v>
      </c>
      <c r="D2319" s="24" t="str">
        <f t="shared" si="184"/>
        <v>Jul-2018</v>
      </c>
      <c r="E2319" t="s">
        <v>20</v>
      </c>
      <c r="F2319" s="24" t="s">
        <v>35</v>
      </c>
      <c r="G2319" s="24" t="s">
        <v>399</v>
      </c>
      <c r="H2319" s="24" t="s">
        <v>9</v>
      </c>
      <c r="I2319" s="24" t="s">
        <v>9</v>
      </c>
      <c r="J2319" s="24" t="s">
        <v>24</v>
      </c>
      <c r="K2319" s="24" t="s">
        <v>24</v>
      </c>
      <c r="L2319" s="24" t="s">
        <v>69</v>
      </c>
    </row>
    <row r="2320">
      <c r="A2320" s="24">
        <f t="shared" si="1"/>
        <v>2318</v>
      </c>
      <c r="B2320" s="24" t="s">
        <v>951</v>
      </c>
      <c r="C2320" s="275">
        <v>43308.0</v>
      </c>
      <c r="D2320" s="24" t="str">
        <f t="shared" si="184"/>
        <v>Jul-2018</v>
      </c>
      <c r="E2320" t="s">
        <v>25</v>
      </c>
      <c r="F2320" s="24" t="s">
        <v>35</v>
      </c>
      <c r="G2320" s="24" t="s">
        <v>399</v>
      </c>
      <c r="H2320" s="24" t="s">
        <v>9</v>
      </c>
      <c r="I2320" s="24" t="s">
        <v>9</v>
      </c>
      <c r="J2320" s="24" t="s">
        <v>24</v>
      </c>
      <c r="K2320" s="24"/>
      <c r="L2320" s="24" t="s">
        <v>106</v>
      </c>
    </row>
    <row r="2321">
      <c r="A2321" s="24">
        <f t="shared" si="1"/>
        <v>2319</v>
      </c>
      <c r="B2321" s="24" t="s">
        <v>954</v>
      </c>
      <c r="C2321" s="275">
        <v>43312.0</v>
      </c>
      <c r="D2321" s="24" t="str">
        <f t="shared" si="184"/>
        <v>Jul-2018</v>
      </c>
      <c r="E2321" t="s">
        <v>20</v>
      </c>
      <c r="F2321" s="24" t="s">
        <v>35</v>
      </c>
      <c r="G2321" s="24" t="s">
        <v>409</v>
      </c>
      <c r="H2321" s="24" t="s">
        <v>27</v>
      </c>
      <c r="I2321" s="24" t="s">
        <v>9</v>
      </c>
      <c r="J2321" s="24" t="s">
        <v>30</v>
      </c>
      <c r="K2321" s="24" t="s">
        <v>30</v>
      </c>
      <c r="L2321" s="24" t="s">
        <v>37</v>
      </c>
    </row>
    <row r="2322">
      <c r="A2322" s="24">
        <f t="shared" si="1"/>
        <v>2320</v>
      </c>
      <c r="B2322" s="24" t="s">
        <v>954</v>
      </c>
      <c r="C2322" s="275">
        <v>43312.0</v>
      </c>
      <c r="D2322" s="24" t="str">
        <f t="shared" si="184"/>
        <v>Jul-2018</v>
      </c>
      <c r="E2322" t="s">
        <v>25</v>
      </c>
      <c r="F2322" s="24" t="s">
        <v>35</v>
      </c>
      <c r="G2322" s="24" t="s">
        <v>409</v>
      </c>
      <c r="H2322" s="24" t="s">
        <v>138</v>
      </c>
      <c r="I2322" s="24" t="s">
        <v>9</v>
      </c>
      <c r="J2322" s="24" t="s">
        <v>30</v>
      </c>
      <c r="K2322" s="24"/>
      <c r="L2322" s="24" t="s">
        <v>69</v>
      </c>
    </row>
    <row r="2323">
      <c r="A2323" s="24">
        <f t="shared" si="1"/>
        <v>2321</v>
      </c>
      <c r="B2323" s="24" t="s">
        <v>954</v>
      </c>
      <c r="C2323" s="275">
        <v>43312.0</v>
      </c>
      <c r="D2323" s="24" t="str">
        <f t="shared" si="184"/>
        <v>Jul-2018</v>
      </c>
      <c r="E2323" t="s">
        <v>20</v>
      </c>
      <c r="F2323" s="24" t="s">
        <v>35</v>
      </c>
      <c r="G2323" s="24" t="s">
        <v>94</v>
      </c>
      <c r="H2323" s="24" t="s">
        <v>44</v>
      </c>
      <c r="I2323" s="24" t="s">
        <v>9</v>
      </c>
      <c r="J2323" s="24" t="s">
        <v>24</v>
      </c>
      <c r="K2323" s="24" t="s">
        <v>24</v>
      </c>
      <c r="L2323" s="24" t="s">
        <v>69</v>
      </c>
    </row>
    <row r="2324">
      <c r="A2324" s="24">
        <f t="shared" si="1"/>
        <v>2322</v>
      </c>
      <c r="B2324" s="24" t="s">
        <v>954</v>
      </c>
      <c r="C2324" s="275">
        <v>43312.0</v>
      </c>
      <c r="D2324" s="24" t="str">
        <f t="shared" si="184"/>
        <v>Jul-2018</v>
      </c>
      <c r="E2324" t="s">
        <v>25</v>
      </c>
      <c r="F2324" s="24" t="s">
        <v>35</v>
      </c>
      <c r="G2324" s="24" t="s">
        <v>94</v>
      </c>
      <c r="H2324" s="24" t="s">
        <v>44</v>
      </c>
      <c r="I2324" s="24" t="s">
        <v>9</v>
      </c>
      <c r="J2324" s="24" t="s">
        <v>24</v>
      </c>
      <c r="K2324" s="24"/>
      <c r="L2324" s="24" t="s">
        <v>69</v>
      </c>
    </row>
    <row r="2325">
      <c r="A2325" s="24">
        <f t="shared" si="1"/>
        <v>2323</v>
      </c>
      <c r="B2325" s="24" t="s">
        <v>954</v>
      </c>
      <c r="C2325" s="275">
        <v>43312.0</v>
      </c>
      <c r="D2325" s="24" t="str">
        <f t="shared" si="184"/>
        <v>Jul-2018</v>
      </c>
      <c r="E2325" t="s">
        <v>20</v>
      </c>
      <c r="F2325" s="24" t="s">
        <v>35</v>
      </c>
      <c r="G2325" s="24" t="s">
        <v>93</v>
      </c>
      <c r="H2325" s="24" t="s">
        <v>23</v>
      </c>
      <c r="I2325" s="24" t="s">
        <v>9</v>
      </c>
      <c r="J2325" s="24" t="s">
        <v>30</v>
      </c>
      <c r="K2325" s="24" t="s">
        <v>30</v>
      </c>
      <c r="L2325" s="24" t="s">
        <v>37</v>
      </c>
    </row>
    <row r="2326">
      <c r="A2326" s="24">
        <f t="shared" si="1"/>
        <v>2324</v>
      </c>
      <c r="B2326" s="24" t="s">
        <v>954</v>
      </c>
      <c r="C2326" s="275">
        <v>43312.0</v>
      </c>
      <c r="D2326" s="24" t="str">
        <f t="shared" si="184"/>
        <v>Jul-2018</v>
      </c>
      <c r="E2326" t="s">
        <v>25</v>
      </c>
      <c r="F2326" s="24" t="s">
        <v>35</v>
      </c>
      <c r="G2326" s="24" t="s">
        <v>93</v>
      </c>
      <c r="H2326" s="24" t="s">
        <v>23</v>
      </c>
      <c r="I2326" s="24" t="s">
        <v>9</v>
      </c>
      <c r="J2326" s="24" t="s">
        <v>30</v>
      </c>
      <c r="K2326" s="24"/>
      <c r="L2326" s="24" t="s">
        <v>37</v>
      </c>
    </row>
    <row r="2327">
      <c r="A2327" s="24">
        <f t="shared" si="1"/>
        <v>2325</v>
      </c>
      <c r="B2327" s="24" t="s">
        <v>954</v>
      </c>
      <c r="C2327" s="275">
        <v>43312.0</v>
      </c>
      <c r="D2327" s="24" t="str">
        <f t="shared" si="184"/>
        <v>Jul-2018</v>
      </c>
      <c r="E2327" t="s">
        <v>20</v>
      </c>
      <c r="F2327" s="24" t="s">
        <v>35</v>
      </c>
      <c r="G2327" s="24" t="s">
        <v>184</v>
      </c>
      <c r="H2327" s="24" t="s">
        <v>9</v>
      </c>
      <c r="I2327" s="24" t="s">
        <v>9</v>
      </c>
      <c r="J2327" s="24" t="s">
        <v>24</v>
      </c>
      <c r="K2327" s="24" t="s">
        <v>24</v>
      </c>
      <c r="L2327" s="24" t="s">
        <v>69</v>
      </c>
    </row>
    <row r="2328">
      <c r="A2328" s="24">
        <f t="shared" si="1"/>
        <v>2326</v>
      </c>
      <c r="B2328" s="24" t="s">
        <v>954</v>
      </c>
      <c r="C2328" s="275">
        <v>43312.0</v>
      </c>
      <c r="D2328" s="24" t="str">
        <f t="shared" si="184"/>
        <v>Jul-2018</v>
      </c>
      <c r="E2328" t="s">
        <v>25</v>
      </c>
      <c r="F2328" s="24" t="s">
        <v>35</v>
      </c>
      <c r="G2328" s="24" t="s">
        <v>184</v>
      </c>
      <c r="H2328" s="24" t="s">
        <v>9</v>
      </c>
      <c r="I2328" s="24" t="s">
        <v>9</v>
      </c>
      <c r="J2328" s="24" t="s">
        <v>30</v>
      </c>
      <c r="K2328" s="24"/>
      <c r="L2328" s="24" t="s">
        <v>37</v>
      </c>
    </row>
    <row r="2329">
      <c r="A2329" s="24">
        <f t="shared" si="1"/>
        <v>2327</v>
      </c>
      <c r="B2329" s="24" t="s">
        <v>954</v>
      </c>
      <c r="C2329" s="275">
        <v>43312.0</v>
      </c>
      <c r="D2329" s="24" t="str">
        <f>TEXT(C2321:C2329, "mmm") &amp; "-" &amp; TEXT(C2321:C2329, "yyyy") </f>
        <v>Jul-2018</v>
      </c>
      <c r="E2329" t="s">
        <v>32</v>
      </c>
      <c r="F2329" s="24" t="s">
        <v>35</v>
      </c>
      <c r="G2329" s="24" t="s">
        <v>184</v>
      </c>
      <c r="H2329" s="24" t="s">
        <v>9</v>
      </c>
      <c r="I2329" s="24" t="s">
        <v>9</v>
      </c>
      <c r="J2329" s="24" t="s">
        <v>24</v>
      </c>
      <c r="K2329" s="24"/>
      <c r="L2329" s="24" t="s">
        <v>98</v>
      </c>
    </row>
    <row r="2330">
      <c r="A2330" s="24">
        <f t="shared" si="1"/>
        <v>2328</v>
      </c>
      <c r="B2330" s="24" t="s">
        <v>959</v>
      </c>
      <c r="C2330" s="275">
        <v>43322.0</v>
      </c>
      <c r="D2330" s="24" t="str">
        <f t="shared" ref="D2330:D2337" si="185">TEXT(C2323:C2330, "mmm") &amp; "-" &amp; TEXT(C2323:C2330, "yyyy") </f>
        <v>Aug-2018</v>
      </c>
      <c r="E2330" t="s">
        <v>20</v>
      </c>
      <c r="F2330" s="24" t="s">
        <v>35</v>
      </c>
      <c r="G2330" s="24" t="s">
        <v>960</v>
      </c>
      <c r="H2330" s="24" t="s">
        <v>71</v>
      </c>
      <c r="I2330" s="24" t="s">
        <v>9</v>
      </c>
      <c r="J2330" s="24" t="s">
        <v>30</v>
      </c>
      <c r="K2330" s="24" t="s">
        <v>30</v>
      </c>
      <c r="L2330" s="24" t="s">
        <v>99</v>
      </c>
    </row>
    <row r="2331">
      <c r="A2331" s="24">
        <f t="shared" si="1"/>
        <v>2329</v>
      </c>
      <c r="B2331" s="24" t="s">
        <v>959</v>
      </c>
      <c r="C2331" s="275">
        <v>43322.0</v>
      </c>
      <c r="D2331" s="24" t="str">
        <f t="shared" si="185"/>
        <v>Aug-2018</v>
      </c>
      <c r="E2331" t="s">
        <v>25</v>
      </c>
      <c r="F2331" s="24" t="s">
        <v>35</v>
      </c>
      <c r="G2331" s="24" t="s">
        <v>960</v>
      </c>
      <c r="H2331" s="24" t="s">
        <v>71</v>
      </c>
      <c r="I2331" s="24" t="s">
        <v>9</v>
      </c>
      <c r="J2331" s="24" t="s">
        <v>30</v>
      </c>
      <c r="K2331" s="24"/>
      <c r="L2331" s="24" t="s">
        <v>37</v>
      </c>
    </row>
    <row r="2332">
      <c r="A2332" s="24">
        <f t="shared" si="1"/>
        <v>2330</v>
      </c>
      <c r="B2332" s="24" t="s">
        <v>959</v>
      </c>
      <c r="C2332" s="275">
        <v>43322.0</v>
      </c>
      <c r="D2332" s="24" t="str">
        <f t="shared" si="185"/>
        <v>Aug-2018</v>
      </c>
      <c r="E2332" t="s">
        <v>20</v>
      </c>
      <c r="F2332" s="24" t="s">
        <v>35</v>
      </c>
      <c r="G2332" s="24" t="s">
        <v>961</v>
      </c>
      <c r="H2332" s="24" t="s">
        <v>9</v>
      </c>
      <c r="I2332" s="24" t="s">
        <v>9</v>
      </c>
      <c r="J2332" s="24" t="s">
        <v>30</v>
      </c>
      <c r="K2332" s="24" t="s">
        <v>30</v>
      </c>
      <c r="L2332" s="24" t="s">
        <v>98</v>
      </c>
    </row>
    <row r="2333">
      <c r="A2333" s="24">
        <f t="shared" si="1"/>
        <v>2331</v>
      </c>
      <c r="B2333" s="24" t="s">
        <v>959</v>
      </c>
      <c r="C2333" s="275">
        <v>43322.0</v>
      </c>
      <c r="D2333" s="24" t="str">
        <f t="shared" si="185"/>
        <v>Aug-2018</v>
      </c>
      <c r="E2333" t="s">
        <v>25</v>
      </c>
      <c r="F2333" s="24" t="s">
        <v>35</v>
      </c>
      <c r="G2333" s="24" t="s">
        <v>961</v>
      </c>
      <c r="H2333" s="24" t="s">
        <v>27</v>
      </c>
      <c r="I2333" s="24" t="s">
        <v>9</v>
      </c>
      <c r="J2333" s="24" t="s">
        <v>30</v>
      </c>
      <c r="K2333" s="24"/>
      <c r="L2333" s="24" t="s">
        <v>106</v>
      </c>
    </row>
    <row r="2334">
      <c r="A2334" s="24">
        <f t="shared" si="1"/>
        <v>2332</v>
      </c>
      <c r="B2334" s="24" t="s">
        <v>959</v>
      </c>
      <c r="C2334" s="275">
        <v>43322.0</v>
      </c>
      <c r="D2334" s="24" t="str">
        <f t="shared" si="185"/>
        <v>Aug-2018</v>
      </c>
      <c r="E2334" t="s">
        <v>146</v>
      </c>
      <c r="F2334" s="24" t="s">
        <v>35</v>
      </c>
      <c r="G2334" s="24" t="s">
        <v>424</v>
      </c>
      <c r="H2334" s="24" t="s">
        <v>9</v>
      </c>
      <c r="I2334" s="24" t="s">
        <v>9</v>
      </c>
      <c r="J2334" s="24" t="s">
        <v>24</v>
      </c>
      <c r="K2334" s="24" t="s">
        <v>24</v>
      </c>
      <c r="L2334" s="24" t="s">
        <v>69</v>
      </c>
    </row>
    <row r="2335">
      <c r="A2335" s="24">
        <f t="shared" si="1"/>
        <v>2333</v>
      </c>
      <c r="B2335" s="24" t="s">
        <v>959</v>
      </c>
      <c r="C2335" s="275">
        <v>43322.0</v>
      </c>
      <c r="D2335" s="24" t="str">
        <f t="shared" si="185"/>
        <v>Aug-2018</v>
      </c>
      <c r="E2335" t="s">
        <v>149</v>
      </c>
      <c r="F2335" s="24" t="s">
        <v>35</v>
      </c>
      <c r="G2335" s="24" t="s">
        <v>424</v>
      </c>
      <c r="H2335" s="24" t="s">
        <v>9</v>
      </c>
      <c r="I2335" s="24" t="s">
        <v>9</v>
      </c>
      <c r="J2335" s="24" t="s">
        <v>30</v>
      </c>
      <c r="K2335" s="24"/>
      <c r="L2335" s="24" t="s">
        <v>106</v>
      </c>
    </row>
    <row r="2336">
      <c r="A2336" s="24">
        <f t="shared" si="1"/>
        <v>2334</v>
      </c>
      <c r="B2336" s="24" t="s">
        <v>959</v>
      </c>
      <c r="C2336" s="275">
        <v>43322.0</v>
      </c>
      <c r="D2336" s="24" t="str">
        <f t="shared" si="185"/>
        <v>Aug-2018</v>
      </c>
      <c r="E2336" t="s">
        <v>222</v>
      </c>
      <c r="F2336" s="24" t="s">
        <v>35</v>
      </c>
      <c r="G2336" s="24" t="s">
        <v>424</v>
      </c>
      <c r="H2336" s="24" t="s">
        <v>9</v>
      </c>
      <c r="I2336" s="24" t="s">
        <v>9</v>
      </c>
      <c r="J2336" s="24" t="s">
        <v>24</v>
      </c>
      <c r="K2336" s="24"/>
      <c r="L2336" s="24" t="s">
        <v>29</v>
      </c>
    </row>
    <row r="2337">
      <c r="A2337" s="24">
        <f t="shared" si="1"/>
        <v>2335</v>
      </c>
      <c r="B2337" s="24" t="s">
        <v>959</v>
      </c>
      <c r="C2337" s="275">
        <v>43322.0</v>
      </c>
      <c r="D2337" s="24" t="str">
        <f t="shared" si="185"/>
        <v>Aug-2018</v>
      </c>
      <c r="E2337" t="s">
        <v>467</v>
      </c>
      <c r="F2337" s="24" t="s">
        <v>35</v>
      </c>
      <c r="G2337" s="24" t="s">
        <v>424</v>
      </c>
      <c r="H2337" s="24" t="s">
        <v>9</v>
      </c>
      <c r="I2337" s="24" t="s">
        <v>9</v>
      </c>
      <c r="J2337" s="24" t="s">
        <v>24</v>
      </c>
      <c r="K2337" s="24"/>
      <c r="L2337" s="24" t="s">
        <v>37</v>
      </c>
    </row>
    <row r="2338">
      <c r="A2338" s="24">
        <f t="shared" si="1"/>
        <v>2336</v>
      </c>
      <c r="B2338" s="24" t="s">
        <v>959</v>
      </c>
      <c r="C2338" s="275">
        <v>43322.0</v>
      </c>
      <c r="D2338" s="24" t="str">
        <f t="shared" ref="D2338:D2348" si="186">TEXT(C2330:C2338, "mmm") &amp; "-" &amp; TEXT(C2330:C2338, "yyyy") </f>
        <v>Aug-2018</v>
      </c>
      <c r="E2338" t="s">
        <v>146</v>
      </c>
      <c r="F2338" s="24" t="s">
        <v>35</v>
      </c>
      <c r="G2338" s="24" t="s">
        <v>965</v>
      </c>
      <c r="H2338" s="24" t="s">
        <v>44</v>
      </c>
      <c r="I2338" s="24" t="s">
        <v>9</v>
      </c>
      <c r="J2338" s="24" t="s">
        <v>30</v>
      </c>
      <c r="K2338" s="24" t="s">
        <v>30</v>
      </c>
      <c r="L2338" s="24" t="s">
        <v>99</v>
      </c>
    </row>
    <row r="2339">
      <c r="A2339" s="24">
        <f t="shared" si="1"/>
        <v>2337</v>
      </c>
      <c r="B2339" s="24" t="s">
        <v>959</v>
      </c>
      <c r="C2339" s="275">
        <v>43322.0</v>
      </c>
      <c r="D2339" s="24" t="str">
        <f t="shared" si="186"/>
        <v>Aug-2018</v>
      </c>
      <c r="E2339" t="s">
        <v>149</v>
      </c>
      <c r="F2339" s="24" t="s">
        <v>35</v>
      </c>
      <c r="G2339" s="24" t="s">
        <v>965</v>
      </c>
      <c r="H2339" s="24" t="s">
        <v>44</v>
      </c>
      <c r="I2339" s="24" t="s">
        <v>9</v>
      </c>
      <c r="J2339" s="24" t="s">
        <v>30</v>
      </c>
      <c r="K2339" s="24"/>
      <c r="L2339" s="24" t="s">
        <v>29</v>
      </c>
    </row>
    <row r="2340">
      <c r="A2340" s="24">
        <f t="shared" si="1"/>
        <v>2338</v>
      </c>
      <c r="B2340" s="24" t="s">
        <v>959</v>
      </c>
      <c r="C2340" s="275">
        <v>43322.0</v>
      </c>
      <c r="D2340" s="24" t="str">
        <f t="shared" si="186"/>
        <v>Aug-2018</v>
      </c>
      <c r="E2340" t="s">
        <v>222</v>
      </c>
      <c r="F2340" s="24" t="s">
        <v>35</v>
      </c>
      <c r="G2340" s="24" t="s">
        <v>965</v>
      </c>
      <c r="H2340" s="24" t="s">
        <v>44</v>
      </c>
      <c r="I2340" s="24" t="s">
        <v>9</v>
      </c>
      <c r="J2340" s="24" t="s">
        <v>30</v>
      </c>
      <c r="K2340" s="24"/>
      <c r="L2340" s="24" t="s">
        <v>69</v>
      </c>
    </row>
    <row r="2341">
      <c r="A2341" s="24">
        <f t="shared" si="1"/>
        <v>2339</v>
      </c>
      <c r="B2341" s="24" t="s">
        <v>959</v>
      </c>
      <c r="C2341" s="275">
        <v>43322.0</v>
      </c>
      <c r="D2341" s="24" t="str">
        <f t="shared" si="186"/>
        <v>Aug-2018</v>
      </c>
      <c r="E2341" t="s">
        <v>146</v>
      </c>
      <c r="F2341" s="24" t="s">
        <v>35</v>
      </c>
      <c r="G2341" s="24" t="s">
        <v>93</v>
      </c>
      <c r="H2341" s="24" t="s">
        <v>23</v>
      </c>
      <c r="I2341" s="24" t="s">
        <v>9</v>
      </c>
      <c r="J2341" s="24" t="s">
        <v>24</v>
      </c>
      <c r="K2341" s="24" t="s">
        <v>30</v>
      </c>
      <c r="L2341" s="24" t="s">
        <v>69</v>
      </c>
    </row>
    <row r="2342">
      <c r="A2342" s="24">
        <f t="shared" si="1"/>
        <v>2340</v>
      </c>
      <c r="B2342" s="24" t="s">
        <v>959</v>
      </c>
      <c r="C2342" s="275">
        <v>43322.0</v>
      </c>
      <c r="D2342" s="24" t="str">
        <f t="shared" si="186"/>
        <v>Aug-2018</v>
      </c>
      <c r="E2342" t="s">
        <v>149</v>
      </c>
      <c r="F2342" s="24" t="s">
        <v>35</v>
      </c>
      <c r="G2342" s="24" t="s">
        <v>93</v>
      </c>
      <c r="H2342" s="24" t="s">
        <v>23</v>
      </c>
      <c r="I2342" s="24" t="s">
        <v>9</v>
      </c>
      <c r="J2342" s="24" t="s">
        <v>30</v>
      </c>
      <c r="K2342" s="24"/>
      <c r="L2342" s="24" t="s">
        <v>29</v>
      </c>
    </row>
    <row r="2343">
      <c r="A2343" s="24">
        <f t="shared" si="1"/>
        <v>2341</v>
      </c>
      <c r="B2343" s="24" t="s">
        <v>959</v>
      </c>
      <c r="C2343" s="275">
        <v>43322.0</v>
      </c>
      <c r="D2343" s="24" t="str">
        <f t="shared" si="186"/>
        <v>Aug-2018</v>
      </c>
      <c r="E2343" t="s">
        <v>222</v>
      </c>
      <c r="F2343" s="24" t="s">
        <v>35</v>
      </c>
      <c r="G2343" s="24" t="s">
        <v>93</v>
      </c>
      <c r="H2343" s="24" t="s">
        <v>23</v>
      </c>
      <c r="I2343" s="24" t="s">
        <v>9</v>
      </c>
      <c r="J2343" s="24" t="s">
        <v>30</v>
      </c>
      <c r="K2343" s="24"/>
      <c r="L2343" s="24" t="s">
        <v>98</v>
      </c>
    </row>
    <row r="2344">
      <c r="A2344" s="24">
        <f t="shared" si="1"/>
        <v>2342</v>
      </c>
      <c r="B2344" s="24" t="s">
        <v>959</v>
      </c>
      <c r="C2344" s="275">
        <v>43322.0</v>
      </c>
      <c r="D2344" s="24" t="str">
        <f t="shared" si="186"/>
        <v>Aug-2018</v>
      </c>
      <c r="E2344" t="s">
        <v>467</v>
      </c>
      <c r="F2344" s="24" t="s">
        <v>35</v>
      </c>
      <c r="G2344" s="24" t="s">
        <v>93</v>
      </c>
      <c r="H2344" s="24" t="s">
        <v>23</v>
      </c>
      <c r="I2344" s="24" t="s">
        <v>9</v>
      </c>
      <c r="J2344" s="24" t="s">
        <v>30</v>
      </c>
      <c r="K2344" s="24"/>
      <c r="L2344" s="24" t="s">
        <v>98</v>
      </c>
    </row>
    <row r="2345">
      <c r="A2345" s="24">
        <f t="shared" si="1"/>
        <v>2343</v>
      </c>
      <c r="B2345" s="24" t="s">
        <v>959</v>
      </c>
      <c r="C2345" s="275">
        <v>43322.0</v>
      </c>
      <c r="D2345" s="24" t="str">
        <f t="shared" si="186"/>
        <v>Aug-2018</v>
      </c>
      <c r="E2345" t="s">
        <v>146</v>
      </c>
      <c r="F2345" s="24" t="s">
        <v>35</v>
      </c>
      <c r="G2345" s="24" t="s">
        <v>346</v>
      </c>
      <c r="H2345" s="24" t="s">
        <v>44</v>
      </c>
      <c r="I2345" s="24" t="s">
        <v>9</v>
      </c>
      <c r="J2345" s="24" t="s">
        <v>24</v>
      </c>
      <c r="K2345" s="24" t="s">
        <v>24</v>
      </c>
      <c r="L2345" s="24" t="s">
        <v>69</v>
      </c>
    </row>
    <row r="2346">
      <c r="A2346" s="24">
        <f t="shared" si="1"/>
        <v>2344</v>
      </c>
      <c r="B2346" s="24" t="s">
        <v>959</v>
      </c>
      <c r="C2346" s="275">
        <v>43322.0</v>
      </c>
      <c r="D2346" s="24" t="str">
        <f t="shared" si="186"/>
        <v>Aug-2018</v>
      </c>
      <c r="E2346" t="s">
        <v>149</v>
      </c>
      <c r="F2346" s="24" t="s">
        <v>35</v>
      </c>
      <c r="G2346" s="24" t="s">
        <v>346</v>
      </c>
      <c r="H2346" s="24" t="s">
        <v>44</v>
      </c>
      <c r="I2346" s="24" t="s">
        <v>9</v>
      </c>
      <c r="J2346" s="24" t="s">
        <v>24</v>
      </c>
      <c r="K2346" s="24"/>
      <c r="L2346" s="24" t="s">
        <v>99</v>
      </c>
    </row>
    <row r="2347">
      <c r="A2347" s="24">
        <f t="shared" si="1"/>
        <v>2345</v>
      </c>
      <c r="B2347" s="24" t="s">
        <v>959</v>
      </c>
      <c r="C2347" s="275">
        <v>43322.0</v>
      </c>
      <c r="D2347" s="24" t="str">
        <f t="shared" si="186"/>
        <v>Aug-2018</v>
      </c>
      <c r="E2347" t="s">
        <v>222</v>
      </c>
      <c r="F2347" s="24" t="s">
        <v>35</v>
      </c>
      <c r="G2347" s="24" t="s">
        <v>346</v>
      </c>
      <c r="H2347" s="24" t="s">
        <v>27</v>
      </c>
      <c r="I2347" s="24" t="s">
        <v>9</v>
      </c>
      <c r="J2347" s="24" t="s">
        <v>30</v>
      </c>
      <c r="K2347" s="24"/>
      <c r="L2347" s="24" t="s">
        <v>106</v>
      </c>
    </row>
    <row r="2348">
      <c r="A2348" s="24">
        <f t="shared" si="1"/>
        <v>2346</v>
      </c>
      <c r="B2348" s="24" t="s">
        <v>959</v>
      </c>
      <c r="C2348" s="275">
        <v>43322.0</v>
      </c>
      <c r="D2348" s="24" t="str">
        <f t="shared" si="186"/>
        <v>Aug-2018</v>
      </c>
      <c r="E2348" t="s">
        <v>467</v>
      </c>
      <c r="F2348" s="24" t="s">
        <v>35</v>
      </c>
      <c r="G2348" s="24" t="s">
        <v>346</v>
      </c>
      <c r="H2348" s="24" t="s">
        <v>44</v>
      </c>
      <c r="I2348" s="24" t="s">
        <v>9</v>
      </c>
      <c r="J2348" s="24" t="s">
        <v>24</v>
      </c>
      <c r="K2348" s="24"/>
      <c r="L2348" s="24" t="s">
        <v>29</v>
      </c>
    </row>
    <row r="2349">
      <c r="A2349" s="24">
        <f t="shared" si="1"/>
        <v>2347</v>
      </c>
      <c r="B2349" s="24" t="s">
        <v>966</v>
      </c>
      <c r="C2349" s="275">
        <v>43326.0</v>
      </c>
      <c r="D2349" s="24" t="str">
        <f t="shared" ref="D2349:D2356" si="187">TEXT(C2342:C2349, "mmm") &amp; "-" &amp; TEXT(C2342:C2349, "yyyy") </f>
        <v>Aug-2018</v>
      </c>
      <c r="E2349" t="s">
        <v>20</v>
      </c>
      <c r="F2349" s="24" t="s">
        <v>35</v>
      </c>
      <c r="G2349" s="24" t="s">
        <v>793</v>
      </c>
      <c r="H2349" s="24" t="s">
        <v>71</v>
      </c>
      <c r="I2349" s="24" t="s">
        <v>9</v>
      </c>
      <c r="J2349" s="24" t="s">
        <v>30</v>
      </c>
      <c r="K2349" s="24" t="s">
        <v>30</v>
      </c>
      <c r="L2349" s="24" t="s">
        <v>99</v>
      </c>
    </row>
    <row r="2350">
      <c r="A2350" s="24">
        <f t="shared" si="1"/>
        <v>2348</v>
      </c>
      <c r="B2350" s="24" t="s">
        <v>966</v>
      </c>
      <c r="C2350" s="275">
        <v>43326.0</v>
      </c>
      <c r="D2350" s="24" t="str">
        <f t="shared" si="187"/>
        <v>Aug-2018</v>
      </c>
      <c r="E2350" t="s">
        <v>25</v>
      </c>
      <c r="F2350" s="24" t="s">
        <v>35</v>
      </c>
      <c r="G2350" s="24" t="s">
        <v>793</v>
      </c>
      <c r="H2350" s="24" t="s">
        <v>71</v>
      </c>
      <c r="I2350" s="24" t="s">
        <v>9</v>
      </c>
      <c r="J2350" s="24" t="s">
        <v>24</v>
      </c>
      <c r="K2350" s="24"/>
      <c r="L2350" s="24" t="s">
        <v>37</v>
      </c>
    </row>
    <row r="2351">
      <c r="A2351" s="24">
        <f t="shared" si="1"/>
        <v>2349</v>
      </c>
      <c r="B2351" s="24" t="s">
        <v>966</v>
      </c>
      <c r="C2351" s="275">
        <v>43326.0</v>
      </c>
      <c r="D2351" s="24" t="str">
        <f t="shared" si="187"/>
        <v>Aug-2018</v>
      </c>
      <c r="E2351" t="s">
        <v>32</v>
      </c>
      <c r="F2351" s="24" t="s">
        <v>35</v>
      </c>
      <c r="G2351" s="24" t="s">
        <v>793</v>
      </c>
      <c r="H2351" s="24" t="s">
        <v>71</v>
      </c>
      <c r="I2351" s="24" t="s">
        <v>9</v>
      </c>
      <c r="J2351" s="24" t="s">
        <v>30</v>
      </c>
      <c r="K2351" s="24"/>
      <c r="L2351" s="24" t="s">
        <v>106</v>
      </c>
    </row>
    <row r="2352">
      <c r="A2352" s="24">
        <f t="shared" si="1"/>
        <v>2350</v>
      </c>
      <c r="B2352" s="24" t="s">
        <v>966</v>
      </c>
      <c r="C2352" s="275">
        <v>43326.0</v>
      </c>
      <c r="D2352" s="24" t="str">
        <f t="shared" si="187"/>
        <v>Aug-2018</v>
      </c>
      <c r="E2352" t="s">
        <v>20</v>
      </c>
      <c r="F2352" s="24" t="s">
        <v>35</v>
      </c>
      <c r="G2352" s="24" t="s">
        <v>424</v>
      </c>
      <c r="H2352" s="24" t="s">
        <v>44</v>
      </c>
      <c r="I2352" s="24" t="s">
        <v>9</v>
      </c>
      <c r="J2352" s="24" t="s">
        <v>30</v>
      </c>
      <c r="K2352" s="24" t="s">
        <v>30</v>
      </c>
      <c r="L2352" s="24" t="s">
        <v>69</v>
      </c>
    </row>
    <row r="2353">
      <c r="A2353" s="24">
        <f t="shared" si="1"/>
        <v>2351</v>
      </c>
      <c r="B2353" s="24" t="s">
        <v>966</v>
      </c>
      <c r="C2353" s="275">
        <v>43326.0</v>
      </c>
      <c r="D2353" s="24" t="str">
        <f t="shared" si="187"/>
        <v>Aug-2018</v>
      </c>
      <c r="E2353" t="s">
        <v>25</v>
      </c>
      <c r="F2353" s="24" t="s">
        <v>35</v>
      </c>
      <c r="G2353" s="24" t="s">
        <v>424</v>
      </c>
      <c r="H2353" s="24" t="s">
        <v>44</v>
      </c>
      <c r="I2353" s="24" t="s">
        <v>9</v>
      </c>
      <c r="J2353" s="24" t="s">
        <v>30</v>
      </c>
      <c r="K2353" s="24"/>
      <c r="L2353" s="24" t="s">
        <v>98</v>
      </c>
    </row>
    <row r="2354">
      <c r="A2354" s="24">
        <f t="shared" si="1"/>
        <v>2352</v>
      </c>
      <c r="B2354" s="24" t="s">
        <v>966</v>
      </c>
      <c r="C2354" s="275">
        <v>43326.0</v>
      </c>
      <c r="D2354" s="24" t="str">
        <f t="shared" si="187"/>
        <v>Aug-2018</v>
      </c>
      <c r="E2354" t="s">
        <v>20</v>
      </c>
      <c r="F2354" s="24" t="s">
        <v>35</v>
      </c>
      <c r="G2354" s="24" t="s">
        <v>109</v>
      </c>
      <c r="H2354" s="24" t="s">
        <v>216</v>
      </c>
      <c r="I2354" s="24" t="s">
        <v>9</v>
      </c>
      <c r="J2354" s="24" t="s">
        <v>30</v>
      </c>
      <c r="K2354" s="24" t="s">
        <v>24</v>
      </c>
      <c r="L2354" s="24" t="s">
        <v>98</v>
      </c>
    </row>
    <row r="2355">
      <c r="A2355" s="24">
        <f t="shared" si="1"/>
        <v>2353</v>
      </c>
      <c r="B2355" s="24" t="s">
        <v>966</v>
      </c>
      <c r="C2355" s="275">
        <v>43326.0</v>
      </c>
      <c r="D2355" s="24" t="str">
        <f t="shared" si="187"/>
        <v>Aug-2018</v>
      </c>
      <c r="E2355" t="s">
        <v>25</v>
      </c>
      <c r="F2355" s="24" t="s">
        <v>35</v>
      </c>
      <c r="G2355" s="24" t="s">
        <v>109</v>
      </c>
      <c r="H2355" s="24" t="s">
        <v>216</v>
      </c>
      <c r="I2355" s="24" t="s">
        <v>9</v>
      </c>
      <c r="J2355" s="24" t="s">
        <v>24</v>
      </c>
      <c r="K2355" s="24"/>
      <c r="L2355" s="24" t="s">
        <v>106</v>
      </c>
    </row>
    <row r="2356">
      <c r="A2356" s="24">
        <f t="shared" si="1"/>
        <v>2354</v>
      </c>
      <c r="B2356" s="24" t="s">
        <v>966</v>
      </c>
      <c r="C2356" s="275">
        <v>43326.0</v>
      </c>
      <c r="D2356" s="24" t="str">
        <f t="shared" si="187"/>
        <v>Aug-2018</v>
      </c>
      <c r="E2356" t="s">
        <v>32</v>
      </c>
      <c r="F2356" s="24" t="s">
        <v>35</v>
      </c>
      <c r="G2356" s="24" t="s">
        <v>109</v>
      </c>
      <c r="H2356" s="24" t="s">
        <v>216</v>
      </c>
      <c r="I2356" s="24" t="s">
        <v>9</v>
      </c>
      <c r="J2356" s="24" t="s">
        <v>24</v>
      </c>
      <c r="K2356" s="24"/>
      <c r="L2356" s="24" t="s">
        <v>106</v>
      </c>
    </row>
    <row r="2357">
      <c r="A2357" s="24">
        <f t="shared" si="1"/>
        <v>2355</v>
      </c>
      <c r="B2357" s="24" t="s">
        <v>966</v>
      </c>
      <c r="C2357" s="275">
        <v>43326.0</v>
      </c>
      <c r="D2357" s="24" t="str">
        <f t="shared" ref="D2357:D2361" si="188">TEXT(C2349:C2357, "mmm") &amp; "-" &amp; TEXT(C2349:C2357, "yyyy") </f>
        <v>Aug-2018</v>
      </c>
      <c r="E2357" t="s">
        <v>20</v>
      </c>
      <c r="F2357" s="24" t="s">
        <v>35</v>
      </c>
      <c r="G2357" s="24" t="s">
        <v>133</v>
      </c>
      <c r="H2357" s="24" t="s">
        <v>9</v>
      </c>
      <c r="I2357" s="24" t="s">
        <v>9</v>
      </c>
      <c r="J2357" s="24" t="s">
        <v>30</v>
      </c>
      <c r="K2357" s="24" t="s">
        <v>30</v>
      </c>
      <c r="L2357" s="24" t="s">
        <v>98</v>
      </c>
    </row>
    <row r="2358">
      <c r="A2358" s="24">
        <f t="shared" si="1"/>
        <v>2356</v>
      </c>
      <c r="B2358" s="24" t="s">
        <v>966</v>
      </c>
      <c r="C2358" s="275">
        <v>43326.0</v>
      </c>
      <c r="D2358" s="24" t="str">
        <f t="shared" si="188"/>
        <v>Aug-2018</v>
      </c>
      <c r="E2358" t="s">
        <v>25</v>
      </c>
      <c r="F2358" s="24" t="s">
        <v>35</v>
      </c>
      <c r="G2358" s="24" t="s">
        <v>133</v>
      </c>
      <c r="H2358" s="24" t="s">
        <v>9</v>
      </c>
      <c r="I2358" s="24" t="s">
        <v>9</v>
      </c>
      <c r="J2358" s="24" t="s">
        <v>30</v>
      </c>
      <c r="K2358" s="24"/>
      <c r="L2358" s="24" t="s">
        <v>98</v>
      </c>
    </row>
    <row r="2359">
      <c r="A2359" s="24">
        <f t="shared" si="1"/>
        <v>2357</v>
      </c>
      <c r="B2359" s="24" t="s">
        <v>966</v>
      </c>
      <c r="C2359" s="275">
        <v>43326.0</v>
      </c>
      <c r="D2359" s="24" t="str">
        <f t="shared" si="188"/>
        <v>Aug-2018</v>
      </c>
      <c r="E2359" t="s">
        <v>146</v>
      </c>
      <c r="F2359" s="24" t="s">
        <v>35</v>
      </c>
      <c r="G2359" s="24" t="s">
        <v>497</v>
      </c>
      <c r="H2359" s="24" t="s">
        <v>9</v>
      </c>
      <c r="I2359" s="24" t="s">
        <v>9</v>
      </c>
      <c r="J2359" s="24" t="s">
        <v>24</v>
      </c>
      <c r="K2359" s="24" t="s">
        <v>24</v>
      </c>
      <c r="L2359" s="24" t="s">
        <v>69</v>
      </c>
    </row>
    <row r="2360">
      <c r="A2360" s="24">
        <f t="shared" si="1"/>
        <v>2358</v>
      </c>
      <c r="B2360" s="24" t="s">
        <v>966</v>
      </c>
      <c r="C2360" s="275">
        <v>43326.0</v>
      </c>
      <c r="D2360" s="24" t="str">
        <f t="shared" si="188"/>
        <v>Aug-2018</v>
      </c>
      <c r="E2360" t="s">
        <v>149</v>
      </c>
      <c r="F2360" s="24" t="s">
        <v>35</v>
      </c>
      <c r="G2360" s="24" t="s">
        <v>497</v>
      </c>
      <c r="H2360" s="24" t="s">
        <v>27</v>
      </c>
      <c r="I2360" s="24" t="s">
        <v>9</v>
      </c>
      <c r="J2360" s="24" t="s">
        <v>24</v>
      </c>
      <c r="K2360" s="24"/>
      <c r="L2360" s="24" t="s">
        <v>106</v>
      </c>
    </row>
    <row r="2361">
      <c r="A2361" s="24">
        <f t="shared" si="1"/>
        <v>2359</v>
      </c>
      <c r="B2361" s="24" t="s">
        <v>966</v>
      </c>
      <c r="C2361" s="275">
        <v>43326.0</v>
      </c>
      <c r="D2361" s="24" t="str">
        <f t="shared" si="188"/>
        <v>Aug-2018</v>
      </c>
      <c r="E2361" t="s">
        <v>222</v>
      </c>
      <c r="F2361" s="24" t="s">
        <v>35</v>
      </c>
      <c r="G2361" s="24" t="s">
        <v>497</v>
      </c>
      <c r="H2361" s="24" t="s">
        <v>27</v>
      </c>
      <c r="I2361" s="24" t="s">
        <v>9</v>
      </c>
      <c r="J2361" s="24" t="s">
        <v>24</v>
      </c>
      <c r="K2361" s="24"/>
      <c r="L2361" s="24" t="s">
        <v>106</v>
      </c>
    </row>
    <row r="2362">
      <c r="A2362" s="24">
        <f t="shared" si="1"/>
        <v>2360</v>
      </c>
      <c r="B2362" s="24" t="s">
        <v>969</v>
      </c>
      <c r="C2362" s="275">
        <v>43330.0</v>
      </c>
      <c r="D2362" s="24" t="str">
        <f t="shared" ref="D2362:D2369" si="189">TEXT(C2355:C2362, "mmm") &amp; "-" &amp; TEXT(C2355:C2362, "yyyy") </f>
        <v>Aug-2018</v>
      </c>
      <c r="E2362" t="s">
        <v>20</v>
      </c>
      <c r="F2362" s="24" t="s">
        <v>35</v>
      </c>
      <c r="G2362" s="24" t="s">
        <v>970</v>
      </c>
      <c r="H2362" s="24" t="s">
        <v>9</v>
      </c>
      <c r="I2362" s="24" t="s">
        <v>9</v>
      </c>
      <c r="J2362" s="24" t="s">
        <v>30</v>
      </c>
      <c r="K2362" s="24" t="s">
        <v>30</v>
      </c>
      <c r="L2362" s="24" t="s">
        <v>69</v>
      </c>
    </row>
    <row r="2363">
      <c r="A2363" s="24">
        <f t="shared" si="1"/>
        <v>2361</v>
      </c>
      <c r="B2363" s="24" t="s">
        <v>969</v>
      </c>
      <c r="C2363" s="275">
        <v>43330.0</v>
      </c>
      <c r="D2363" s="24" t="str">
        <f t="shared" si="189"/>
        <v>Aug-2018</v>
      </c>
      <c r="E2363" t="s">
        <v>25</v>
      </c>
      <c r="F2363" s="24" t="s">
        <v>35</v>
      </c>
      <c r="G2363" s="24" t="s">
        <v>970</v>
      </c>
      <c r="H2363" s="24" t="s">
        <v>9</v>
      </c>
      <c r="I2363" s="24" t="s">
        <v>9</v>
      </c>
      <c r="J2363" s="24" t="s">
        <v>30</v>
      </c>
      <c r="K2363" s="24"/>
      <c r="L2363" s="24" t="s">
        <v>98</v>
      </c>
    </row>
    <row r="2364">
      <c r="A2364" s="24">
        <f t="shared" si="1"/>
        <v>2362</v>
      </c>
      <c r="B2364" s="24" t="s">
        <v>969</v>
      </c>
      <c r="C2364" s="275">
        <v>43330.0</v>
      </c>
      <c r="D2364" s="24" t="str">
        <f t="shared" si="189"/>
        <v>Aug-2018</v>
      </c>
      <c r="E2364" t="s">
        <v>20</v>
      </c>
      <c r="F2364" s="24" t="s">
        <v>35</v>
      </c>
      <c r="G2364" s="24" t="s">
        <v>442</v>
      </c>
      <c r="H2364" s="24" t="s">
        <v>71</v>
      </c>
      <c r="I2364" s="24" t="s">
        <v>9</v>
      </c>
      <c r="J2364" s="24" t="s">
        <v>30</v>
      </c>
      <c r="K2364" s="24" t="s">
        <v>30</v>
      </c>
      <c r="L2364" s="24" t="s">
        <v>99</v>
      </c>
    </row>
    <row r="2365">
      <c r="A2365" s="24">
        <f t="shared" si="1"/>
        <v>2363</v>
      </c>
      <c r="B2365" s="24" t="s">
        <v>969</v>
      </c>
      <c r="C2365" s="275">
        <v>43330.0</v>
      </c>
      <c r="D2365" s="24" t="str">
        <f t="shared" si="189"/>
        <v>Aug-2018</v>
      </c>
      <c r="E2365" t="s">
        <v>25</v>
      </c>
      <c r="F2365" s="24" t="s">
        <v>35</v>
      </c>
      <c r="G2365" s="24" t="s">
        <v>442</v>
      </c>
      <c r="H2365" s="24" t="s">
        <v>71</v>
      </c>
      <c r="I2365" s="24" t="s">
        <v>9</v>
      </c>
      <c r="J2365" s="24" t="s">
        <v>24</v>
      </c>
      <c r="K2365" s="24"/>
      <c r="L2365" s="24" t="s">
        <v>98</v>
      </c>
    </row>
    <row r="2366">
      <c r="A2366" s="24">
        <f t="shared" si="1"/>
        <v>2364</v>
      </c>
      <c r="B2366" s="24" t="s">
        <v>969</v>
      </c>
      <c r="C2366" s="275">
        <v>43330.0</v>
      </c>
      <c r="D2366" s="24" t="str">
        <f t="shared" si="189"/>
        <v>Aug-2018</v>
      </c>
      <c r="E2366" t="s">
        <v>32</v>
      </c>
      <c r="F2366" s="24" t="s">
        <v>35</v>
      </c>
      <c r="G2366" s="24" t="s">
        <v>442</v>
      </c>
      <c r="H2366" s="24" t="s">
        <v>71</v>
      </c>
      <c r="I2366" s="24" t="s">
        <v>9</v>
      </c>
      <c r="J2366" s="24" t="s">
        <v>30</v>
      </c>
      <c r="K2366" s="24"/>
      <c r="L2366" s="24" t="s">
        <v>106</v>
      </c>
    </row>
    <row r="2367">
      <c r="A2367" s="24">
        <f t="shared" si="1"/>
        <v>2365</v>
      </c>
      <c r="B2367" s="24" t="s">
        <v>969</v>
      </c>
      <c r="C2367" s="275">
        <v>43330.0</v>
      </c>
      <c r="D2367" s="24" t="str">
        <f t="shared" si="189"/>
        <v>Aug-2018</v>
      </c>
      <c r="E2367" t="s">
        <v>20</v>
      </c>
      <c r="F2367" s="24" t="s">
        <v>35</v>
      </c>
      <c r="G2367" s="24" t="s">
        <v>239</v>
      </c>
      <c r="H2367" s="24" t="s">
        <v>27</v>
      </c>
      <c r="I2367" s="24" t="s">
        <v>9</v>
      </c>
      <c r="J2367" s="24" t="s">
        <v>24</v>
      </c>
      <c r="K2367" s="24" t="s">
        <v>24</v>
      </c>
      <c r="L2367" s="24" t="s">
        <v>69</v>
      </c>
    </row>
    <row r="2368">
      <c r="A2368" s="24">
        <f t="shared" si="1"/>
        <v>2366</v>
      </c>
      <c r="B2368" s="24" t="s">
        <v>969</v>
      </c>
      <c r="C2368" s="275">
        <v>43330.0</v>
      </c>
      <c r="D2368" s="24" t="str">
        <f t="shared" si="189"/>
        <v>Aug-2018</v>
      </c>
      <c r="E2368" t="s">
        <v>25</v>
      </c>
      <c r="F2368" s="24" t="s">
        <v>35</v>
      </c>
      <c r="G2368" s="24" t="s">
        <v>239</v>
      </c>
      <c r="H2368" s="24" t="s">
        <v>27</v>
      </c>
      <c r="I2368" s="24" t="s">
        <v>9</v>
      </c>
      <c r="J2368" s="24" t="s">
        <v>24</v>
      </c>
      <c r="K2368" s="24"/>
      <c r="L2368" s="24" t="s">
        <v>98</v>
      </c>
    </row>
    <row r="2369">
      <c r="A2369" s="24">
        <f t="shared" si="1"/>
        <v>2367</v>
      </c>
      <c r="B2369" s="24" t="s">
        <v>969</v>
      </c>
      <c r="C2369" s="275">
        <v>43330.0</v>
      </c>
      <c r="D2369" s="24" t="str">
        <f t="shared" si="189"/>
        <v>Aug-2018</v>
      </c>
      <c r="E2369" t="s">
        <v>20</v>
      </c>
      <c r="F2369" s="24" t="s">
        <v>35</v>
      </c>
      <c r="G2369" s="24" t="s">
        <v>936</v>
      </c>
      <c r="H2369" s="24" t="s">
        <v>97</v>
      </c>
      <c r="I2369" s="24" t="s">
        <v>9</v>
      </c>
      <c r="J2369" s="24" t="s">
        <v>30</v>
      </c>
      <c r="K2369" s="24" t="s">
        <v>30</v>
      </c>
      <c r="L2369" s="24" t="s">
        <v>98</v>
      </c>
    </row>
    <row r="2370">
      <c r="A2370" s="24">
        <f t="shared" si="1"/>
        <v>2368</v>
      </c>
      <c r="B2370" s="24" t="s">
        <v>969</v>
      </c>
      <c r="C2370" s="275">
        <v>43330.0</v>
      </c>
      <c r="D2370" s="24" t="str">
        <f t="shared" ref="D2370:D2374" si="190">TEXT(C2362:C2370, "mmm") &amp; "-" &amp; TEXT(C2362:C2370, "yyyy") </f>
        <v>Aug-2018</v>
      </c>
      <c r="E2370" t="s">
        <v>25</v>
      </c>
      <c r="F2370" s="24" t="s">
        <v>35</v>
      </c>
      <c r="G2370" s="24" t="s">
        <v>936</v>
      </c>
      <c r="H2370" s="24" t="s">
        <v>97</v>
      </c>
      <c r="I2370" s="24" t="s">
        <v>9</v>
      </c>
      <c r="J2370" s="24" t="s">
        <v>24</v>
      </c>
      <c r="K2370" s="24"/>
      <c r="L2370" s="24" t="s">
        <v>37</v>
      </c>
    </row>
    <row r="2371">
      <c r="A2371" s="24">
        <f t="shared" si="1"/>
        <v>2369</v>
      </c>
      <c r="B2371" s="24" t="s">
        <v>969</v>
      </c>
      <c r="C2371" s="275">
        <v>43330.0</v>
      </c>
      <c r="D2371" s="24" t="str">
        <f t="shared" si="190"/>
        <v>Aug-2018</v>
      </c>
      <c r="E2371" t="s">
        <v>32</v>
      </c>
      <c r="F2371" s="24" t="s">
        <v>35</v>
      </c>
      <c r="G2371" s="24" t="s">
        <v>936</v>
      </c>
      <c r="H2371" s="24" t="s">
        <v>97</v>
      </c>
      <c r="I2371" s="24" t="s">
        <v>9</v>
      </c>
      <c r="J2371" s="24" t="s">
        <v>30</v>
      </c>
      <c r="K2371" s="24"/>
      <c r="L2371" s="24" t="s">
        <v>69</v>
      </c>
    </row>
    <row r="2372">
      <c r="A2372" s="24">
        <f t="shared" si="1"/>
        <v>2370</v>
      </c>
      <c r="B2372" s="24" t="s">
        <v>969</v>
      </c>
      <c r="C2372" s="275">
        <v>43330.0</v>
      </c>
      <c r="D2372" s="24" t="str">
        <f t="shared" si="190"/>
        <v>Aug-2018</v>
      </c>
      <c r="E2372" t="s">
        <v>146</v>
      </c>
      <c r="F2372" s="24" t="s">
        <v>35</v>
      </c>
      <c r="G2372" s="24" t="s">
        <v>947</v>
      </c>
      <c r="H2372" s="24" t="s">
        <v>71</v>
      </c>
      <c r="I2372" s="24" t="s">
        <v>9</v>
      </c>
      <c r="J2372" s="24" t="s">
        <v>24</v>
      </c>
      <c r="K2372" s="24" t="s">
        <v>24</v>
      </c>
      <c r="L2372" s="24" t="s">
        <v>98</v>
      </c>
    </row>
    <row r="2373">
      <c r="A2373" s="24">
        <f t="shared" si="1"/>
        <v>2371</v>
      </c>
      <c r="B2373" s="24" t="s">
        <v>969</v>
      </c>
      <c r="C2373" s="275">
        <v>43330.0</v>
      </c>
      <c r="D2373" s="24" t="str">
        <f t="shared" si="190"/>
        <v>Aug-2018</v>
      </c>
      <c r="E2373" t="s">
        <v>149</v>
      </c>
      <c r="F2373" s="24" t="s">
        <v>35</v>
      </c>
      <c r="G2373" s="24" t="s">
        <v>947</v>
      </c>
      <c r="H2373" s="24" t="s">
        <v>71</v>
      </c>
      <c r="I2373" s="24" t="s">
        <v>9</v>
      </c>
      <c r="J2373" s="24" t="s">
        <v>24</v>
      </c>
      <c r="K2373" s="24"/>
      <c r="L2373" s="24" t="s">
        <v>69</v>
      </c>
    </row>
    <row r="2374">
      <c r="A2374" s="24">
        <f t="shared" si="1"/>
        <v>2372</v>
      </c>
      <c r="B2374" s="24" t="s">
        <v>969</v>
      </c>
      <c r="C2374" s="275">
        <v>43330.0</v>
      </c>
      <c r="D2374" s="24" t="str">
        <f t="shared" si="190"/>
        <v>Aug-2018</v>
      </c>
      <c r="E2374" t="s">
        <v>222</v>
      </c>
      <c r="F2374" s="24" t="s">
        <v>35</v>
      </c>
      <c r="G2374" s="24" t="s">
        <v>947</v>
      </c>
      <c r="H2374" s="24" t="s">
        <v>71</v>
      </c>
      <c r="I2374" s="24" t="s">
        <v>9</v>
      </c>
      <c r="J2374" s="24" t="s">
        <v>24</v>
      </c>
      <c r="K2374" s="24"/>
      <c r="L2374" s="24" t="s">
        <v>106</v>
      </c>
    </row>
    <row r="2375">
      <c r="A2375" s="24">
        <f t="shared" si="1"/>
        <v>2373</v>
      </c>
      <c r="B2375" s="24" t="s">
        <v>975</v>
      </c>
      <c r="C2375" s="275">
        <v>43340.0</v>
      </c>
      <c r="D2375" s="24" t="str">
        <f t="shared" ref="D2375:D2382" si="191">TEXT(C2368:C2375, "mmm") &amp; "-" &amp; TEXT(C2368:C2375, "yyyy") </f>
        <v>Aug-2018</v>
      </c>
      <c r="E2375" s="24" t="s">
        <v>20</v>
      </c>
      <c r="F2375" s="24" t="s">
        <v>35</v>
      </c>
      <c r="G2375" s="24" t="s">
        <v>634</v>
      </c>
      <c r="H2375" s="24" t="s">
        <v>97</v>
      </c>
      <c r="I2375" s="24" t="s">
        <v>9</v>
      </c>
      <c r="J2375" s="24" t="s">
        <v>30</v>
      </c>
      <c r="K2375" s="24" t="s">
        <v>30</v>
      </c>
      <c r="L2375" s="24" t="s">
        <v>69</v>
      </c>
    </row>
    <row r="2376">
      <c r="A2376" s="24">
        <f t="shared" si="1"/>
        <v>2374</v>
      </c>
      <c r="B2376" s="24" t="s">
        <v>975</v>
      </c>
      <c r="C2376" s="275">
        <v>43340.0</v>
      </c>
      <c r="D2376" s="24" t="str">
        <f t="shared" si="191"/>
        <v>Aug-2018</v>
      </c>
      <c r="E2376" s="24" t="s">
        <v>25</v>
      </c>
      <c r="F2376" s="24" t="s">
        <v>35</v>
      </c>
      <c r="G2376" s="24" t="s">
        <v>634</v>
      </c>
      <c r="H2376" s="24" t="s">
        <v>97</v>
      </c>
      <c r="I2376" s="24" t="s">
        <v>9</v>
      </c>
      <c r="J2376" s="24" t="s">
        <v>30</v>
      </c>
      <c r="K2376" s="24"/>
      <c r="L2376" s="24" t="s">
        <v>106</v>
      </c>
    </row>
    <row r="2377">
      <c r="A2377" s="24">
        <f t="shared" si="1"/>
        <v>2375</v>
      </c>
      <c r="B2377" s="24" t="s">
        <v>975</v>
      </c>
      <c r="C2377" s="275">
        <v>43340.0</v>
      </c>
      <c r="D2377" s="24" t="str">
        <f t="shared" si="191"/>
        <v>Aug-2018</v>
      </c>
      <c r="E2377" s="24" t="s">
        <v>20</v>
      </c>
      <c r="F2377" s="24" t="s">
        <v>35</v>
      </c>
      <c r="G2377" s="24" t="s">
        <v>148</v>
      </c>
      <c r="H2377" s="24" t="s">
        <v>27</v>
      </c>
      <c r="I2377" s="24" t="s">
        <v>9</v>
      </c>
      <c r="J2377" s="24" t="s">
        <v>24</v>
      </c>
      <c r="K2377" s="24" t="s">
        <v>24</v>
      </c>
      <c r="L2377" s="24" t="s">
        <v>37</v>
      </c>
    </row>
    <row r="2378">
      <c r="A2378" s="24">
        <f t="shared" si="1"/>
        <v>2376</v>
      </c>
      <c r="B2378" s="24" t="s">
        <v>975</v>
      </c>
      <c r="C2378" s="275">
        <v>43340.0</v>
      </c>
      <c r="D2378" s="24" t="str">
        <f t="shared" si="191"/>
        <v>Aug-2018</v>
      </c>
      <c r="E2378" s="24" t="s">
        <v>25</v>
      </c>
      <c r="F2378" s="24" t="s">
        <v>35</v>
      </c>
      <c r="G2378" s="24" t="s">
        <v>148</v>
      </c>
      <c r="H2378" s="24" t="s">
        <v>27</v>
      </c>
      <c r="I2378" s="24" t="s">
        <v>9</v>
      </c>
      <c r="J2378" s="24" t="s">
        <v>24</v>
      </c>
      <c r="K2378" s="24"/>
      <c r="L2378" s="24" t="s">
        <v>106</v>
      </c>
    </row>
    <row r="2379">
      <c r="A2379" s="24">
        <f t="shared" si="1"/>
        <v>2377</v>
      </c>
      <c r="B2379" s="24" t="s">
        <v>975</v>
      </c>
      <c r="C2379" s="275">
        <v>43340.0</v>
      </c>
      <c r="D2379" s="24" t="str">
        <f t="shared" si="191"/>
        <v>Aug-2018</v>
      </c>
      <c r="E2379" t="s">
        <v>20</v>
      </c>
      <c r="F2379" s="24" t="s">
        <v>35</v>
      </c>
      <c r="G2379" s="24" t="s">
        <v>976</v>
      </c>
      <c r="H2379" s="24" t="s">
        <v>48</v>
      </c>
      <c r="I2379" s="24" t="s">
        <v>9</v>
      </c>
      <c r="J2379" s="24" t="s">
        <v>30</v>
      </c>
      <c r="K2379" s="24" t="s">
        <v>30</v>
      </c>
      <c r="L2379" s="24" t="s">
        <v>98</v>
      </c>
    </row>
    <row r="2380">
      <c r="A2380" s="24">
        <f t="shared" si="1"/>
        <v>2378</v>
      </c>
      <c r="B2380" s="24" t="s">
        <v>975</v>
      </c>
      <c r="C2380" s="275">
        <v>43340.0</v>
      </c>
      <c r="D2380" s="24" t="str">
        <f t="shared" si="191"/>
        <v>Aug-2018</v>
      </c>
      <c r="E2380" t="s">
        <v>25</v>
      </c>
      <c r="F2380" s="24" t="s">
        <v>35</v>
      </c>
      <c r="G2380" s="24" t="s">
        <v>976</v>
      </c>
      <c r="H2380" s="24" t="s">
        <v>48</v>
      </c>
      <c r="I2380" s="24" t="s">
        <v>9</v>
      </c>
      <c r="J2380" s="24" t="s">
        <v>24</v>
      </c>
      <c r="K2380" s="24"/>
      <c r="L2380" s="24" t="s">
        <v>69</v>
      </c>
    </row>
    <row r="2381">
      <c r="A2381" s="24">
        <f t="shared" si="1"/>
        <v>2379</v>
      </c>
      <c r="B2381" s="24" t="s">
        <v>975</v>
      </c>
      <c r="C2381" s="275">
        <v>43340.0</v>
      </c>
      <c r="D2381" s="24" t="str">
        <f t="shared" si="191"/>
        <v>Aug-2018</v>
      </c>
      <c r="E2381" t="s">
        <v>32</v>
      </c>
      <c r="F2381" s="24" t="s">
        <v>35</v>
      </c>
      <c r="G2381" s="24" t="s">
        <v>976</v>
      </c>
      <c r="H2381" s="24" t="s">
        <v>48</v>
      </c>
      <c r="I2381" s="24" t="s">
        <v>9</v>
      </c>
      <c r="J2381" s="24" t="s">
        <v>30</v>
      </c>
      <c r="K2381" s="24"/>
      <c r="L2381" s="24" t="s">
        <v>106</v>
      </c>
    </row>
    <row r="2382">
      <c r="A2382" s="24">
        <f t="shared" si="1"/>
        <v>2380</v>
      </c>
      <c r="B2382" s="24" t="s">
        <v>975</v>
      </c>
      <c r="C2382" s="275">
        <v>43340.0</v>
      </c>
      <c r="D2382" s="24" t="str">
        <f t="shared" si="191"/>
        <v>Aug-2018</v>
      </c>
      <c r="E2382" t="s">
        <v>146</v>
      </c>
      <c r="F2382" s="24" t="s">
        <v>35</v>
      </c>
      <c r="G2382" s="24" t="s">
        <v>978</v>
      </c>
      <c r="H2382" s="24" t="s">
        <v>23</v>
      </c>
      <c r="I2382" s="24" t="s">
        <v>9</v>
      </c>
      <c r="J2382" s="24" t="s">
        <v>24</v>
      </c>
      <c r="K2382" s="24" t="s">
        <v>30</v>
      </c>
      <c r="L2382" s="24" t="s">
        <v>37</v>
      </c>
    </row>
    <row r="2383">
      <c r="A2383" s="24">
        <f t="shared" si="1"/>
        <v>2381</v>
      </c>
      <c r="B2383" s="24" t="s">
        <v>975</v>
      </c>
      <c r="C2383" s="275">
        <v>43340.0</v>
      </c>
      <c r="D2383" s="24" t="str">
        <f t="shared" ref="D2383:D2399" si="192">TEXT(C2375:C2383, "mmm") &amp; "-" &amp; TEXT(C2375:C2383, "yyyy") </f>
        <v>Aug-2018</v>
      </c>
      <c r="E2383" t="s">
        <v>149</v>
      </c>
      <c r="F2383" s="24" t="s">
        <v>35</v>
      </c>
      <c r="G2383" s="24" t="s">
        <v>978</v>
      </c>
      <c r="H2383" s="24" t="s">
        <v>23</v>
      </c>
      <c r="I2383" s="24" t="s">
        <v>9</v>
      </c>
      <c r="J2383" s="24" t="s">
        <v>30</v>
      </c>
      <c r="K2383" s="24"/>
      <c r="L2383" s="24" t="s">
        <v>29</v>
      </c>
    </row>
    <row r="2384">
      <c r="A2384" s="24">
        <f t="shared" si="1"/>
        <v>2382</v>
      </c>
      <c r="B2384" s="24" t="s">
        <v>975</v>
      </c>
      <c r="C2384" s="275">
        <v>43340.0</v>
      </c>
      <c r="D2384" s="24" t="str">
        <f t="shared" si="192"/>
        <v>Aug-2018</v>
      </c>
      <c r="E2384" t="s">
        <v>222</v>
      </c>
      <c r="F2384" s="24" t="s">
        <v>35</v>
      </c>
      <c r="G2384" s="24" t="s">
        <v>978</v>
      </c>
      <c r="H2384" s="24" t="s">
        <v>23</v>
      </c>
      <c r="I2384" s="24" t="s">
        <v>9</v>
      </c>
      <c r="J2384" s="24" t="s">
        <v>30</v>
      </c>
      <c r="K2384" s="24"/>
      <c r="L2384" s="24" t="s">
        <v>98</v>
      </c>
    </row>
    <row r="2385">
      <c r="A2385" s="24">
        <f t="shared" si="1"/>
        <v>2383</v>
      </c>
      <c r="B2385" s="24" t="s">
        <v>975</v>
      </c>
      <c r="C2385" s="275">
        <v>43340.0</v>
      </c>
      <c r="D2385" s="24" t="str">
        <f t="shared" si="192"/>
        <v>Aug-2018</v>
      </c>
      <c r="E2385" t="s">
        <v>467</v>
      </c>
      <c r="F2385" s="24" t="s">
        <v>35</v>
      </c>
      <c r="G2385" s="24" t="s">
        <v>978</v>
      </c>
      <c r="H2385" s="24" t="s">
        <v>23</v>
      </c>
      <c r="I2385" s="24" t="s">
        <v>9</v>
      </c>
      <c r="J2385" s="24" t="s">
        <v>30</v>
      </c>
      <c r="K2385" s="24"/>
      <c r="L2385" s="24" t="s">
        <v>98</v>
      </c>
    </row>
    <row r="2386">
      <c r="A2386" s="24">
        <f t="shared" si="1"/>
        <v>2384</v>
      </c>
      <c r="B2386" s="24" t="s">
        <v>975</v>
      </c>
      <c r="C2386" s="275">
        <v>43340.0</v>
      </c>
      <c r="D2386" s="24" t="str">
        <f t="shared" si="192"/>
        <v>Aug-2018</v>
      </c>
      <c r="E2386" t="s">
        <v>146</v>
      </c>
      <c r="F2386" s="24" t="s">
        <v>35</v>
      </c>
      <c r="G2386" s="24" t="s">
        <v>218</v>
      </c>
      <c r="H2386" s="24" t="s">
        <v>86</v>
      </c>
      <c r="I2386" s="24" t="s">
        <v>9</v>
      </c>
      <c r="J2386" s="24" t="s">
        <v>24</v>
      </c>
      <c r="K2386" s="24" t="s">
        <v>30</v>
      </c>
      <c r="L2386" s="24" t="s">
        <v>29</v>
      </c>
    </row>
    <row r="2387">
      <c r="A2387" s="24">
        <f t="shared" si="1"/>
        <v>2385</v>
      </c>
      <c r="B2387" s="24" t="s">
        <v>975</v>
      </c>
      <c r="C2387" s="275">
        <v>43340.0</v>
      </c>
      <c r="D2387" s="24" t="str">
        <f t="shared" si="192"/>
        <v>Aug-2018</v>
      </c>
      <c r="E2387" t="s">
        <v>149</v>
      </c>
      <c r="F2387" s="24" t="s">
        <v>35</v>
      </c>
      <c r="G2387" s="24" t="s">
        <v>218</v>
      </c>
      <c r="H2387" s="24" t="s">
        <v>86</v>
      </c>
      <c r="I2387" s="24" t="s">
        <v>9</v>
      </c>
      <c r="J2387" s="24" t="s">
        <v>30</v>
      </c>
      <c r="K2387" s="24"/>
      <c r="L2387" s="24" t="s">
        <v>69</v>
      </c>
    </row>
    <row r="2388">
      <c r="A2388" s="24">
        <f t="shared" si="1"/>
        <v>2386</v>
      </c>
      <c r="B2388" s="24" t="s">
        <v>975</v>
      </c>
      <c r="C2388" s="275">
        <v>43340.0</v>
      </c>
      <c r="D2388" s="24" t="str">
        <f t="shared" si="192"/>
        <v>Aug-2018</v>
      </c>
      <c r="E2388" t="s">
        <v>222</v>
      </c>
      <c r="F2388" s="24" t="s">
        <v>35</v>
      </c>
      <c r="G2388" s="24" t="s">
        <v>218</v>
      </c>
      <c r="H2388" s="24" t="s">
        <v>86</v>
      </c>
      <c r="I2388" s="24" t="s">
        <v>9</v>
      </c>
      <c r="J2388" s="24" t="s">
        <v>24</v>
      </c>
      <c r="K2388" s="24"/>
      <c r="L2388" s="24" t="s">
        <v>98</v>
      </c>
    </row>
    <row r="2389">
      <c r="A2389" s="24">
        <f t="shared" si="1"/>
        <v>2387</v>
      </c>
      <c r="B2389" s="24" t="s">
        <v>975</v>
      </c>
      <c r="C2389" s="275">
        <v>43340.0</v>
      </c>
      <c r="D2389" s="24" t="str">
        <f t="shared" si="192"/>
        <v>Aug-2018</v>
      </c>
      <c r="E2389" t="s">
        <v>467</v>
      </c>
      <c r="F2389" s="24" t="s">
        <v>35</v>
      </c>
      <c r="G2389" s="24" t="s">
        <v>218</v>
      </c>
      <c r="H2389" s="24" t="s">
        <v>86</v>
      </c>
      <c r="I2389" s="24" t="s">
        <v>9</v>
      </c>
      <c r="J2389" s="24" t="s">
        <v>30</v>
      </c>
      <c r="K2389" s="24"/>
      <c r="L2389" s="24" t="s">
        <v>29</v>
      </c>
    </row>
    <row r="2390">
      <c r="A2390" s="24">
        <f t="shared" si="1"/>
        <v>2388</v>
      </c>
      <c r="B2390" s="24" t="s">
        <v>975</v>
      </c>
      <c r="C2390" s="275">
        <v>43340.0</v>
      </c>
      <c r="D2390" s="24" t="str">
        <f t="shared" si="192"/>
        <v>Aug-2018</v>
      </c>
      <c r="E2390" t="s">
        <v>480</v>
      </c>
      <c r="F2390" s="24" t="s">
        <v>35</v>
      </c>
      <c r="G2390" s="24" t="s">
        <v>218</v>
      </c>
      <c r="H2390" s="24" t="s">
        <v>86</v>
      </c>
      <c r="I2390" s="24" t="s">
        <v>9</v>
      </c>
      <c r="J2390" s="24" t="s">
        <v>30</v>
      </c>
      <c r="K2390" s="24"/>
      <c r="L2390" s="24" t="s">
        <v>37</v>
      </c>
    </row>
    <row r="2391">
      <c r="A2391" s="24">
        <f t="shared" si="1"/>
        <v>2389</v>
      </c>
      <c r="B2391" s="24" t="s">
        <v>975</v>
      </c>
      <c r="C2391" s="275">
        <v>43340.0</v>
      </c>
      <c r="D2391" s="24" t="str">
        <f t="shared" si="192"/>
        <v>Aug-2018</v>
      </c>
      <c r="E2391" t="s">
        <v>146</v>
      </c>
      <c r="F2391" s="24" t="s">
        <v>35</v>
      </c>
      <c r="G2391" s="24" t="s">
        <v>148</v>
      </c>
      <c r="H2391" s="24" t="s">
        <v>27</v>
      </c>
      <c r="I2391" s="24" t="s">
        <v>9</v>
      </c>
      <c r="J2391" s="24" t="s">
        <v>30</v>
      </c>
      <c r="K2391" s="24" t="s">
        <v>30</v>
      </c>
      <c r="L2391" s="24" t="s">
        <v>37</v>
      </c>
    </row>
    <row r="2392">
      <c r="A2392" s="24">
        <f t="shared" si="1"/>
        <v>2390</v>
      </c>
      <c r="B2392" s="24" t="s">
        <v>975</v>
      </c>
      <c r="C2392" s="275">
        <v>43340.0</v>
      </c>
      <c r="D2392" s="24" t="str">
        <f t="shared" si="192"/>
        <v>Aug-2018</v>
      </c>
      <c r="E2392" t="s">
        <v>149</v>
      </c>
      <c r="F2392" s="24" t="s">
        <v>35</v>
      </c>
      <c r="G2392" s="24" t="s">
        <v>148</v>
      </c>
      <c r="H2392" s="24" t="s">
        <v>27</v>
      </c>
      <c r="I2392" s="24" t="s">
        <v>9</v>
      </c>
      <c r="J2392" s="24" t="s">
        <v>30</v>
      </c>
      <c r="K2392" s="24"/>
      <c r="L2392" s="24" t="s">
        <v>37</v>
      </c>
    </row>
    <row r="2393">
      <c r="A2393" s="24">
        <f t="shared" si="1"/>
        <v>2391</v>
      </c>
      <c r="B2393" s="24" t="s">
        <v>975</v>
      </c>
      <c r="C2393" s="275">
        <v>43340.0</v>
      </c>
      <c r="D2393" s="24" t="str">
        <f t="shared" si="192"/>
        <v>Aug-2018</v>
      </c>
      <c r="E2393" t="s">
        <v>222</v>
      </c>
      <c r="F2393" s="24" t="s">
        <v>35</v>
      </c>
      <c r="G2393" s="24" t="s">
        <v>148</v>
      </c>
      <c r="H2393" s="24" t="s">
        <v>27</v>
      </c>
      <c r="I2393" s="24" t="s">
        <v>9</v>
      </c>
      <c r="J2393" s="24" t="s">
        <v>24</v>
      </c>
      <c r="K2393" s="24"/>
      <c r="L2393" s="24" t="s">
        <v>106</v>
      </c>
    </row>
    <row r="2394">
      <c r="A2394" s="24">
        <f t="shared" si="1"/>
        <v>2392</v>
      </c>
      <c r="B2394" s="24" t="s">
        <v>975</v>
      </c>
      <c r="C2394" s="275">
        <v>43340.0</v>
      </c>
      <c r="D2394" s="24" t="str">
        <f t="shared" si="192"/>
        <v>Aug-2018</v>
      </c>
      <c r="E2394" t="s">
        <v>467</v>
      </c>
      <c r="F2394" s="24" t="s">
        <v>35</v>
      </c>
      <c r="G2394" s="24" t="s">
        <v>148</v>
      </c>
      <c r="H2394" s="24" t="s">
        <v>27</v>
      </c>
      <c r="I2394" s="24" t="s">
        <v>9</v>
      </c>
      <c r="J2394" s="24" t="s">
        <v>24</v>
      </c>
      <c r="K2394" s="24"/>
      <c r="L2394" s="24" t="s">
        <v>98</v>
      </c>
    </row>
    <row r="2395">
      <c r="A2395" s="24">
        <f t="shared" si="1"/>
        <v>2393</v>
      </c>
      <c r="B2395" s="24" t="s">
        <v>975</v>
      </c>
      <c r="C2395" s="275">
        <v>43340.0</v>
      </c>
      <c r="D2395" s="24" t="str">
        <f t="shared" si="192"/>
        <v>Aug-2018</v>
      </c>
      <c r="E2395" t="s">
        <v>480</v>
      </c>
      <c r="F2395" s="24" t="s">
        <v>35</v>
      </c>
      <c r="G2395" s="24" t="s">
        <v>148</v>
      </c>
      <c r="H2395" s="24" t="s">
        <v>27</v>
      </c>
      <c r="I2395" s="24" t="s">
        <v>9</v>
      </c>
      <c r="J2395" s="24" t="s">
        <v>30</v>
      </c>
      <c r="K2395" s="24"/>
      <c r="L2395" s="24" t="s">
        <v>98</v>
      </c>
    </row>
    <row r="2396">
      <c r="A2396" s="24">
        <f t="shared" si="1"/>
        <v>2394</v>
      </c>
      <c r="B2396" s="24" t="s">
        <v>975</v>
      </c>
      <c r="C2396" s="275">
        <v>43340.0</v>
      </c>
      <c r="D2396" s="24" t="str">
        <f t="shared" si="192"/>
        <v>Aug-2018</v>
      </c>
      <c r="E2396" t="s">
        <v>146</v>
      </c>
      <c r="F2396" s="24" t="s">
        <v>35</v>
      </c>
      <c r="G2396" s="24" t="s">
        <v>452</v>
      </c>
      <c r="H2396" s="24" t="s">
        <v>27</v>
      </c>
      <c r="I2396" s="24" t="s">
        <v>9</v>
      </c>
      <c r="J2396" s="24" t="s">
        <v>30</v>
      </c>
      <c r="K2396" s="24" t="s">
        <v>24</v>
      </c>
      <c r="L2396" s="24" t="s">
        <v>37</v>
      </c>
    </row>
    <row r="2397">
      <c r="A2397" s="24">
        <f t="shared" si="1"/>
        <v>2395</v>
      </c>
      <c r="B2397" s="24" t="s">
        <v>975</v>
      </c>
      <c r="C2397" s="275">
        <v>43340.0</v>
      </c>
      <c r="D2397" s="24" t="str">
        <f t="shared" si="192"/>
        <v>Aug-2018</v>
      </c>
      <c r="E2397" t="s">
        <v>149</v>
      </c>
      <c r="F2397" s="24" t="s">
        <v>35</v>
      </c>
      <c r="G2397" s="24" t="s">
        <v>452</v>
      </c>
      <c r="H2397" s="24" t="s">
        <v>27</v>
      </c>
      <c r="I2397" s="24" t="s">
        <v>9</v>
      </c>
      <c r="J2397" s="24" t="s">
        <v>24</v>
      </c>
      <c r="K2397" s="24"/>
      <c r="L2397" s="24" t="s">
        <v>99</v>
      </c>
    </row>
    <row r="2398">
      <c r="A2398" s="24">
        <f t="shared" si="1"/>
        <v>2396</v>
      </c>
      <c r="B2398" s="24" t="s">
        <v>975</v>
      </c>
      <c r="C2398" s="275">
        <v>43340.0</v>
      </c>
      <c r="D2398" s="24" t="str">
        <f t="shared" si="192"/>
        <v>Aug-2018</v>
      </c>
      <c r="E2398" t="s">
        <v>222</v>
      </c>
      <c r="F2398" s="24" t="s">
        <v>35</v>
      </c>
      <c r="G2398" s="24" t="s">
        <v>452</v>
      </c>
      <c r="H2398" s="24" t="s">
        <v>27</v>
      </c>
      <c r="I2398" s="24" t="s">
        <v>9</v>
      </c>
      <c r="J2398" s="24" t="s">
        <v>24</v>
      </c>
      <c r="K2398" s="24"/>
      <c r="L2398" s="24" t="s">
        <v>98</v>
      </c>
    </row>
    <row r="2399">
      <c r="A2399" s="24">
        <f t="shared" si="1"/>
        <v>2397</v>
      </c>
      <c r="B2399" s="24" t="s">
        <v>975</v>
      </c>
      <c r="C2399" s="275">
        <v>43340.0</v>
      </c>
      <c r="D2399" s="24" t="str">
        <f t="shared" si="192"/>
        <v>Aug-2018</v>
      </c>
      <c r="E2399" t="s">
        <v>467</v>
      </c>
      <c r="F2399" s="24" t="s">
        <v>35</v>
      </c>
      <c r="G2399" s="24" t="s">
        <v>452</v>
      </c>
      <c r="H2399" s="24" t="s">
        <v>27</v>
      </c>
      <c r="I2399" s="24" t="s">
        <v>9</v>
      </c>
      <c r="J2399" s="24" t="s">
        <v>24</v>
      </c>
      <c r="K2399" s="24"/>
      <c r="L2399" s="24" t="s">
        <v>98</v>
      </c>
    </row>
    <row r="2400">
      <c r="A2400" s="24">
        <f t="shared" si="1"/>
        <v>2398</v>
      </c>
      <c r="B2400" s="24" t="s">
        <v>979</v>
      </c>
      <c r="C2400" s="275">
        <v>43343.0</v>
      </c>
      <c r="D2400" s="24" t="str">
        <f t="shared" ref="D2400:D2407" si="193">TEXT(C2393:C2400, "mmm") &amp; "-" &amp; TEXT(C2393:C2400, "yyyy") </f>
        <v>Aug-2018</v>
      </c>
      <c r="E2400" t="s">
        <v>20</v>
      </c>
      <c r="F2400" s="24" t="s">
        <v>35</v>
      </c>
      <c r="G2400" s="24" t="s">
        <v>980</v>
      </c>
      <c r="H2400" s="24" t="s">
        <v>9</v>
      </c>
      <c r="I2400" s="24" t="s">
        <v>9</v>
      </c>
      <c r="J2400" s="24" t="s">
        <v>30</v>
      </c>
      <c r="K2400" s="24" t="s">
        <v>30</v>
      </c>
      <c r="L2400" s="24" t="s">
        <v>69</v>
      </c>
    </row>
    <row r="2401">
      <c r="A2401" s="24">
        <f t="shared" si="1"/>
        <v>2399</v>
      </c>
      <c r="B2401" s="24" t="s">
        <v>979</v>
      </c>
      <c r="C2401" s="275">
        <v>43343.0</v>
      </c>
      <c r="D2401" s="24" t="str">
        <f t="shared" si="193"/>
        <v>Aug-2018</v>
      </c>
      <c r="E2401" t="s">
        <v>25</v>
      </c>
      <c r="F2401" s="24" t="s">
        <v>35</v>
      </c>
      <c r="G2401" s="24" t="s">
        <v>980</v>
      </c>
      <c r="H2401" s="24" t="s">
        <v>64</v>
      </c>
      <c r="I2401" s="24" t="s">
        <v>9</v>
      </c>
      <c r="J2401" s="24" t="s">
        <v>30</v>
      </c>
      <c r="K2401" s="24"/>
      <c r="L2401" s="24" t="s">
        <v>37</v>
      </c>
    </row>
    <row r="2402">
      <c r="A2402" s="24">
        <f t="shared" si="1"/>
        <v>2400</v>
      </c>
      <c r="B2402" s="24" t="s">
        <v>979</v>
      </c>
      <c r="C2402" s="275">
        <v>43343.0</v>
      </c>
      <c r="D2402" s="24" t="str">
        <f t="shared" si="193"/>
        <v>Aug-2018</v>
      </c>
      <c r="E2402" t="s">
        <v>20</v>
      </c>
      <c r="F2402" s="24" t="s">
        <v>35</v>
      </c>
      <c r="G2402" s="24" t="s">
        <v>302</v>
      </c>
      <c r="H2402" s="24" t="s">
        <v>27</v>
      </c>
      <c r="I2402" s="24" t="s">
        <v>9</v>
      </c>
      <c r="J2402" s="24" t="s">
        <v>30</v>
      </c>
      <c r="K2402" s="24" t="s">
        <v>30</v>
      </c>
      <c r="L2402" s="24" t="s">
        <v>69</v>
      </c>
    </row>
    <row r="2403">
      <c r="A2403" s="24">
        <f t="shared" si="1"/>
        <v>2401</v>
      </c>
      <c r="B2403" s="24" t="s">
        <v>979</v>
      </c>
      <c r="C2403" s="275">
        <v>43343.0</v>
      </c>
      <c r="D2403" s="24" t="str">
        <f t="shared" si="193"/>
        <v>Aug-2018</v>
      </c>
      <c r="E2403" t="s">
        <v>25</v>
      </c>
      <c r="F2403" s="24" t="s">
        <v>35</v>
      </c>
      <c r="G2403" s="24" t="s">
        <v>302</v>
      </c>
      <c r="H2403" s="24" t="s">
        <v>27</v>
      </c>
      <c r="I2403" s="24" t="s">
        <v>9</v>
      </c>
      <c r="J2403" s="24" t="s">
        <v>30</v>
      </c>
      <c r="K2403" s="24"/>
      <c r="L2403" s="24" t="s">
        <v>106</v>
      </c>
    </row>
    <row r="2404">
      <c r="A2404" s="24">
        <f t="shared" si="1"/>
        <v>2402</v>
      </c>
      <c r="B2404" s="24" t="s">
        <v>979</v>
      </c>
      <c r="C2404" s="275">
        <v>43343.0</v>
      </c>
      <c r="D2404" s="24" t="str">
        <f t="shared" si="193"/>
        <v>Aug-2018</v>
      </c>
      <c r="E2404" t="s">
        <v>20</v>
      </c>
      <c r="F2404" s="24" t="s">
        <v>35</v>
      </c>
      <c r="G2404" s="24" t="s">
        <v>607</v>
      </c>
      <c r="H2404" s="24" t="s">
        <v>44</v>
      </c>
      <c r="I2404" s="24" t="s">
        <v>9</v>
      </c>
      <c r="J2404" s="24" t="s">
        <v>30</v>
      </c>
      <c r="K2404" s="24" t="s">
        <v>24</v>
      </c>
      <c r="L2404" s="24" t="s">
        <v>99</v>
      </c>
    </row>
    <row r="2405">
      <c r="A2405" s="24">
        <f t="shared" si="1"/>
        <v>2403</v>
      </c>
      <c r="B2405" s="24" t="s">
        <v>979</v>
      </c>
      <c r="C2405" s="275">
        <v>43343.0</v>
      </c>
      <c r="D2405" s="24" t="str">
        <f t="shared" si="193"/>
        <v>Aug-2018</v>
      </c>
      <c r="E2405" t="s">
        <v>25</v>
      </c>
      <c r="F2405" s="24" t="s">
        <v>35</v>
      </c>
      <c r="G2405" s="24" t="s">
        <v>607</v>
      </c>
      <c r="H2405" s="24" t="s">
        <v>44</v>
      </c>
      <c r="I2405" s="24" t="s">
        <v>9</v>
      </c>
      <c r="J2405" s="24" t="s">
        <v>24</v>
      </c>
      <c r="K2405" s="24"/>
      <c r="L2405" s="24" t="s">
        <v>98</v>
      </c>
    </row>
    <row r="2406">
      <c r="A2406" s="24">
        <f t="shared" si="1"/>
        <v>2404</v>
      </c>
      <c r="B2406" s="24" t="s">
        <v>979</v>
      </c>
      <c r="C2406" s="275">
        <v>43343.0</v>
      </c>
      <c r="D2406" s="24" t="str">
        <f t="shared" si="193"/>
        <v>Aug-2018</v>
      </c>
      <c r="E2406" t="s">
        <v>32</v>
      </c>
      <c r="F2406" s="24" t="s">
        <v>35</v>
      </c>
      <c r="G2406" s="24" t="s">
        <v>607</v>
      </c>
      <c r="H2406" s="24" t="s">
        <v>44</v>
      </c>
      <c r="I2406" s="24" t="s">
        <v>9</v>
      </c>
      <c r="J2406" s="24" t="s">
        <v>24</v>
      </c>
      <c r="K2406" s="24"/>
      <c r="L2406" s="24" t="s">
        <v>106</v>
      </c>
    </row>
    <row r="2407">
      <c r="A2407" s="24">
        <f t="shared" si="1"/>
        <v>2405</v>
      </c>
      <c r="B2407" s="24" t="s">
        <v>979</v>
      </c>
      <c r="C2407" s="275">
        <v>43343.0</v>
      </c>
      <c r="D2407" s="24" t="str">
        <f t="shared" si="193"/>
        <v>Aug-2018</v>
      </c>
      <c r="E2407" t="s">
        <v>20</v>
      </c>
      <c r="F2407" s="24" t="s">
        <v>35</v>
      </c>
      <c r="G2407" s="24" t="s">
        <v>842</v>
      </c>
      <c r="H2407" s="24" t="s">
        <v>71</v>
      </c>
      <c r="I2407" s="24" t="s">
        <v>9</v>
      </c>
      <c r="J2407" s="24" t="s">
        <v>30</v>
      </c>
      <c r="K2407" s="24" t="s">
        <v>30</v>
      </c>
      <c r="L2407" s="24" t="s">
        <v>99</v>
      </c>
    </row>
    <row r="2408">
      <c r="A2408" s="24">
        <f t="shared" si="1"/>
        <v>2406</v>
      </c>
      <c r="B2408" s="24" t="s">
        <v>979</v>
      </c>
      <c r="C2408" s="275">
        <v>43343.0</v>
      </c>
      <c r="D2408" s="24" t="str">
        <f t="shared" ref="D2408:D2415" si="194">TEXT(C2400:C2408, "mmm") &amp; "-" &amp; TEXT(C2400:C2408, "yyyy") </f>
        <v>Aug-2018</v>
      </c>
      <c r="E2408" t="s">
        <v>25</v>
      </c>
      <c r="F2408" s="24" t="s">
        <v>35</v>
      </c>
      <c r="G2408" s="24" t="s">
        <v>842</v>
      </c>
      <c r="H2408" s="24" t="s">
        <v>71</v>
      </c>
      <c r="I2408" s="24" t="s">
        <v>9</v>
      </c>
      <c r="J2408" s="24" t="s">
        <v>30</v>
      </c>
      <c r="K2408" s="24"/>
      <c r="L2408" s="24" t="s">
        <v>69</v>
      </c>
    </row>
    <row r="2409">
      <c r="A2409" s="24">
        <f t="shared" si="1"/>
        <v>2407</v>
      </c>
      <c r="B2409" s="24" t="s">
        <v>979</v>
      </c>
      <c r="C2409" s="275">
        <v>43343.0</v>
      </c>
      <c r="D2409" s="24" t="str">
        <f t="shared" si="194"/>
        <v>Aug-2018</v>
      </c>
      <c r="E2409" t="s">
        <v>146</v>
      </c>
      <c r="F2409" s="24" t="s">
        <v>35</v>
      </c>
      <c r="G2409" s="24" t="s">
        <v>793</v>
      </c>
      <c r="H2409" s="24" t="s">
        <v>71</v>
      </c>
      <c r="I2409" s="24" t="s">
        <v>9</v>
      </c>
      <c r="J2409" s="24" t="s">
        <v>30</v>
      </c>
      <c r="K2409" s="24" t="s">
        <v>30</v>
      </c>
      <c r="L2409" s="24" t="s">
        <v>99</v>
      </c>
    </row>
    <row r="2410">
      <c r="A2410" s="24">
        <f t="shared" si="1"/>
        <v>2408</v>
      </c>
      <c r="B2410" s="24" t="s">
        <v>979</v>
      </c>
      <c r="C2410" s="275">
        <v>43343.0</v>
      </c>
      <c r="D2410" s="24" t="str">
        <f t="shared" si="194"/>
        <v>Aug-2018</v>
      </c>
      <c r="E2410" t="s">
        <v>149</v>
      </c>
      <c r="F2410" s="24" t="s">
        <v>35</v>
      </c>
      <c r="G2410" s="24" t="s">
        <v>793</v>
      </c>
      <c r="H2410" s="24" t="s">
        <v>71</v>
      </c>
      <c r="I2410" s="24" t="s">
        <v>9</v>
      </c>
      <c r="J2410" s="24" t="s">
        <v>30</v>
      </c>
      <c r="K2410" s="24"/>
      <c r="L2410" s="24" t="s">
        <v>29</v>
      </c>
    </row>
    <row r="2411">
      <c r="A2411" s="24">
        <f t="shared" si="1"/>
        <v>2409</v>
      </c>
      <c r="B2411" s="24" t="s">
        <v>979</v>
      </c>
      <c r="C2411" s="275">
        <v>43343.0</v>
      </c>
      <c r="D2411" s="24" t="str">
        <f t="shared" si="194"/>
        <v>Aug-2018</v>
      </c>
      <c r="E2411" t="s">
        <v>222</v>
      </c>
      <c r="F2411" s="24" t="s">
        <v>35</v>
      </c>
      <c r="G2411" s="24" t="s">
        <v>793</v>
      </c>
      <c r="H2411" s="24" t="s">
        <v>71</v>
      </c>
      <c r="I2411" s="24" t="s">
        <v>9</v>
      </c>
      <c r="J2411" s="24" t="s">
        <v>30</v>
      </c>
      <c r="K2411" s="24"/>
      <c r="L2411" s="24" t="s">
        <v>37</v>
      </c>
    </row>
    <row r="2412">
      <c r="A2412" s="24">
        <f t="shared" si="1"/>
        <v>2410</v>
      </c>
      <c r="B2412" s="24" t="s">
        <v>979</v>
      </c>
      <c r="C2412" s="275">
        <v>43343.0</v>
      </c>
      <c r="D2412" s="24" t="str">
        <f t="shared" si="194"/>
        <v>Aug-2018</v>
      </c>
      <c r="E2412" t="s">
        <v>146</v>
      </c>
      <c r="F2412" s="24" t="s">
        <v>35</v>
      </c>
      <c r="G2412" s="24" t="s">
        <v>111</v>
      </c>
      <c r="H2412" s="24" t="s">
        <v>216</v>
      </c>
      <c r="I2412" s="24" t="s">
        <v>9</v>
      </c>
      <c r="J2412" s="24" t="s">
        <v>24</v>
      </c>
      <c r="K2412" s="24" t="s">
        <v>24</v>
      </c>
      <c r="L2412" s="24" t="s">
        <v>98</v>
      </c>
    </row>
    <row r="2413">
      <c r="A2413" s="24">
        <f t="shared" si="1"/>
        <v>2411</v>
      </c>
      <c r="B2413" s="24" t="s">
        <v>979</v>
      </c>
      <c r="C2413" s="275">
        <v>43343.0</v>
      </c>
      <c r="D2413" s="24" t="str">
        <f t="shared" si="194"/>
        <v>Aug-2018</v>
      </c>
      <c r="E2413" t="s">
        <v>149</v>
      </c>
      <c r="F2413" s="24" t="s">
        <v>35</v>
      </c>
      <c r="G2413" s="24" t="s">
        <v>111</v>
      </c>
      <c r="H2413" s="24" t="s">
        <v>216</v>
      </c>
      <c r="I2413" s="24" t="s">
        <v>9</v>
      </c>
      <c r="J2413" s="24" t="s">
        <v>30</v>
      </c>
      <c r="K2413" s="24"/>
      <c r="L2413" s="24" t="s">
        <v>69</v>
      </c>
    </row>
    <row r="2414">
      <c r="A2414" s="24">
        <f t="shared" si="1"/>
        <v>2412</v>
      </c>
      <c r="B2414" s="24" t="s">
        <v>979</v>
      </c>
      <c r="C2414" s="275">
        <v>43343.0</v>
      </c>
      <c r="D2414" s="24" t="str">
        <f t="shared" si="194"/>
        <v>Aug-2018</v>
      </c>
      <c r="E2414" t="s">
        <v>222</v>
      </c>
      <c r="F2414" s="24" t="s">
        <v>35</v>
      </c>
      <c r="G2414" s="24" t="s">
        <v>111</v>
      </c>
      <c r="H2414" s="24" t="s">
        <v>216</v>
      </c>
      <c r="I2414" s="24" t="s">
        <v>9</v>
      </c>
      <c r="J2414" s="24" t="s">
        <v>24</v>
      </c>
      <c r="K2414" s="24"/>
      <c r="L2414" s="24" t="s">
        <v>37</v>
      </c>
    </row>
    <row r="2415">
      <c r="A2415" s="24">
        <f t="shared" si="1"/>
        <v>2413</v>
      </c>
      <c r="B2415" s="24" t="s">
        <v>979</v>
      </c>
      <c r="C2415" s="275">
        <v>43343.0</v>
      </c>
      <c r="D2415" s="24" t="str">
        <f t="shared" si="194"/>
        <v>Aug-2018</v>
      </c>
      <c r="E2415" t="s">
        <v>467</v>
      </c>
      <c r="F2415" s="24" t="s">
        <v>35</v>
      </c>
      <c r="G2415" s="24" t="s">
        <v>111</v>
      </c>
      <c r="H2415" s="24" t="s">
        <v>216</v>
      </c>
      <c r="I2415" s="24" t="s">
        <v>9</v>
      </c>
      <c r="J2415" s="24" t="s">
        <v>24</v>
      </c>
      <c r="K2415" s="24"/>
      <c r="L2415" s="24" t="s">
        <v>106</v>
      </c>
    </row>
    <row r="2416">
      <c r="A2416" s="24">
        <f t="shared" si="1"/>
        <v>2414</v>
      </c>
      <c r="B2416" s="24" t="s">
        <v>984</v>
      </c>
      <c r="C2416" s="275">
        <v>43346.0</v>
      </c>
      <c r="D2416" s="24" t="str">
        <f t="shared" ref="D2416:D2423" si="195">TEXT(C2409:C2416, "mmm") &amp; "-" &amp; TEXT(C2409:C2416, "yyyy") </f>
        <v>Sep-2018</v>
      </c>
      <c r="E2416" t="s">
        <v>20</v>
      </c>
      <c r="F2416" s="24" t="s">
        <v>35</v>
      </c>
      <c r="G2416" s="24" t="s">
        <v>985</v>
      </c>
      <c r="H2416" s="24" t="s">
        <v>44</v>
      </c>
      <c r="I2416" s="24" t="s">
        <v>9</v>
      </c>
      <c r="J2416" s="24" t="s">
        <v>24</v>
      </c>
      <c r="K2416" s="24" t="s">
        <v>24</v>
      </c>
      <c r="L2416" s="24" t="s">
        <v>69</v>
      </c>
    </row>
    <row r="2417">
      <c r="A2417" s="24">
        <f t="shared" si="1"/>
        <v>2415</v>
      </c>
      <c r="B2417" s="24" t="s">
        <v>984</v>
      </c>
      <c r="C2417" s="275">
        <v>43346.0</v>
      </c>
      <c r="D2417" s="24" t="str">
        <f t="shared" si="195"/>
        <v>Sep-2018</v>
      </c>
      <c r="E2417" t="s">
        <v>25</v>
      </c>
      <c r="F2417" s="24" t="s">
        <v>35</v>
      </c>
      <c r="G2417" s="24" t="s">
        <v>985</v>
      </c>
      <c r="H2417" s="24" t="s">
        <v>44</v>
      </c>
      <c r="I2417" s="24" t="s">
        <v>9</v>
      </c>
      <c r="J2417" s="24" t="s">
        <v>30</v>
      </c>
      <c r="K2417" s="24"/>
      <c r="L2417" s="24" t="s">
        <v>106</v>
      </c>
    </row>
    <row r="2418">
      <c r="A2418" s="24">
        <f t="shared" si="1"/>
        <v>2416</v>
      </c>
      <c r="B2418" s="24" t="s">
        <v>984</v>
      </c>
      <c r="C2418" s="275">
        <v>43346.0</v>
      </c>
      <c r="D2418" s="24" t="str">
        <f t="shared" si="195"/>
        <v>Sep-2018</v>
      </c>
      <c r="E2418" t="s">
        <v>32</v>
      </c>
      <c r="F2418" s="24" t="s">
        <v>35</v>
      </c>
      <c r="G2418" s="24" t="s">
        <v>985</v>
      </c>
      <c r="H2418" s="24" t="s">
        <v>44</v>
      </c>
      <c r="I2418" s="24" t="s">
        <v>9</v>
      </c>
      <c r="J2418" s="24" t="s">
        <v>24</v>
      </c>
      <c r="K2418" s="24"/>
      <c r="L2418" s="24" t="s">
        <v>98</v>
      </c>
    </row>
    <row r="2419">
      <c r="A2419" s="24">
        <f t="shared" si="1"/>
        <v>2417</v>
      </c>
      <c r="B2419" s="24" t="s">
        <v>984</v>
      </c>
      <c r="C2419" s="275">
        <v>43346.0</v>
      </c>
      <c r="D2419" s="24" t="str">
        <f t="shared" si="195"/>
        <v>Sep-2018</v>
      </c>
      <c r="E2419" t="s">
        <v>20</v>
      </c>
      <c r="F2419" s="24" t="s">
        <v>35</v>
      </c>
      <c r="G2419" s="24" t="s">
        <v>801</v>
      </c>
      <c r="H2419" s="24" t="s">
        <v>9</v>
      </c>
      <c r="I2419" s="24" t="s">
        <v>9</v>
      </c>
      <c r="J2419" s="24" t="s">
        <v>30</v>
      </c>
      <c r="K2419" s="24" t="s">
        <v>30</v>
      </c>
      <c r="L2419" s="24" t="s">
        <v>69</v>
      </c>
    </row>
    <row r="2420">
      <c r="A2420" s="24">
        <f t="shared" si="1"/>
        <v>2418</v>
      </c>
      <c r="B2420" s="24" t="s">
        <v>984</v>
      </c>
      <c r="C2420" s="275">
        <v>43346.0</v>
      </c>
      <c r="D2420" s="24" t="str">
        <f t="shared" si="195"/>
        <v>Sep-2018</v>
      </c>
      <c r="E2420" t="s">
        <v>25</v>
      </c>
      <c r="F2420" s="24" t="s">
        <v>35</v>
      </c>
      <c r="G2420" s="24" t="s">
        <v>801</v>
      </c>
      <c r="H2420" s="24" t="s">
        <v>9</v>
      </c>
      <c r="I2420" s="24" t="s">
        <v>9</v>
      </c>
      <c r="J2420" s="24" t="s">
        <v>30</v>
      </c>
      <c r="K2420" s="24"/>
      <c r="L2420" s="24" t="s">
        <v>99</v>
      </c>
    </row>
    <row r="2421">
      <c r="A2421" s="24">
        <f t="shared" si="1"/>
        <v>2419</v>
      </c>
      <c r="B2421" s="24" t="s">
        <v>984</v>
      </c>
      <c r="C2421" s="275">
        <v>43346.0</v>
      </c>
      <c r="D2421" s="24" t="str">
        <f t="shared" si="195"/>
        <v>Sep-2018</v>
      </c>
      <c r="E2421" t="s">
        <v>20</v>
      </c>
      <c r="F2421" s="24" t="s">
        <v>35</v>
      </c>
      <c r="G2421" s="24" t="s">
        <v>302</v>
      </c>
      <c r="H2421" s="24" t="s">
        <v>27</v>
      </c>
      <c r="I2421" s="24" t="s">
        <v>9</v>
      </c>
      <c r="J2421" s="24" t="s">
        <v>30</v>
      </c>
      <c r="K2421" s="24" t="s">
        <v>30</v>
      </c>
      <c r="L2421" s="24" t="s">
        <v>69</v>
      </c>
    </row>
    <row r="2422">
      <c r="A2422" s="24">
        <f t="shared" si="1"/>
        <v>2420</v>
      </c>
      <c r="B2422" s="24" t="s">
        <v>984</v>
      </c>
      <c r="C2422" s="275">
        <v>43346.0</v>
      </c>
      <c r="D2422" s="24" t="str">
        <f t="shared" si="195"/>
        <v>Sep-2018</v>
      </c>
      <c r="E2422" t="s">
        <v>25</v>
      </c>
      <c r="F2422" s="24" t="s">
        <v>35</v>
      </c>
      <c r="G2422" s="24" t="s">
        <v>302</v>
      </c>
      <c r="H2422" s="24" t="s">
        <v>27</v>
      </c>
      <c r="I2422" s="24" t="s">
        <v>9</v>
      </c>
      <c r="J2422" s="24" t="s">
        <v>30</v>
      </c>
      <c r="K2422" s="24"/>
      <c r="L2422" s="24" t="s">
        <v>99</v>
      </c>
    </row>
    <row r="2423">
      <c r="A2423" s="24">
        <f t="shared" si="1"/>
        <v>2421</v>
      </c>
      <c r="B2423" s="24" t="s">
        <v>984</v>
      </c>
      <c r="C2423" s="275">
        <v>43346.0</v>
      </c>
      <c r="D2423" s="24" t="str">
        <f t="shared" si="195"/>
        <v>Sep-2018</v>
      </c>
      <c r="E2423" t="s">
        <v>20</v>
      </c>
      <c r="F2423" s="24" t="s">
        <v>35</v>
      </c>
      <c r="G2423" s="24" t="s">
        <v>93</v>
      </c>
      <c r="H2423" s="24" t="s">
        <v>23</v>
      </c>
      <c r="I2423" s="24" t="s">
        <v>9</v>
      </c>
      <c r="J2423" s="24" t="s">
        <v>30</v>
      </c>
      <c r="K2423" s="24" t="s">
        <v>30</v>
      </c>
      <c r="L2423" s="24" t="s">
        <v>37</v>
      </c>
    </row>
    <row r="2424">
      <c r="A2424" s="24">
        <f t="shared" si="1"/>
        <v>2422</v>
      </c>
      <c r="B2424" s="24" t="s">
        <v>984</v>
      </c>
      <c r="C2424" s="275">
        <v>43346.0</v>
      </c>
      <c r="D2424" s="24" t="str">
        <f t="shared" ref="D2424:D2437" si="196">TEXT(C2416:C2424, "mmm") &amp; "-" &amp; TEXT(C2416:C2424, "yyyy") </f>
        <v>Sep-2018</v>
      </c>
      <c r="E2424" t="s">
        <v>25</v>
      </c>
      <c r="F2424" s="24" t="s">
        <v>35</v>
      </c>
      <c r="G2424" s="24" t="s">
        <v>93</v>
      </c>
      <c r="H2424" s="24" t="s">
        <v>23</v>
      </c>
      <c r="I2424" s="24" t="s">
        <v>9</v>
      </c>
      <c r="J2424" s="24" t="s">
        <v>30</v>
      </c>
      <c r="K2424" s="24"/>
      <c r="L2424" s="24" t="s">
        <v>99</v>
      </c>
    </row>
    <row r="2425">
      <c r="A2425" s="24">
        <f t="shared" si="1"/>
        <v>2423</v>
      </c>
      <c r="B2425" s="24" t="s">
        <v>984</v>
      </c>
      <c r="C2425" s="275">
        <v>43346.0</v>
      </c>
      <c r="D2425" s="24" t="str">
        <f t="shared" si="196"/>
        <v>Sep-2018</v>
      </c>
      <c r="E2425" t="s">
        <v>146</v>
      </c>
      <c r="F2425" s="24" t="s">
        <v>35</v>
      </c>
      <c r="G2425" s="24" t="s">
        <v>409</v>
      </c>
      <c r="H2425" s="24" t="s">
        <v>27</v>
      </c>
      <c r="I2425" s="24" t="s">
        <v>9</v>
      </c>
      <c r="J2425" s="24" t="s">
        <v>30</v>
      </c>
      <c r="K2425" s="24" t="s">
        <v>30</v>
      </c>
      <c r="L2425" s="24" t="s">
        <v>37</v>
      </c>
    </row>
    <row r="2426">
      <c r="A2426" s="24">
        <f t="shared" si="1"/>
        <v>2424</v>
      </c>
      <c r="B2426" s="24" t="s">
        <v>984</v>
      </c>
      <c r="C2426" s="275">
        <v>43346.0</v>
      </c>
      <c r="D2426" s="24" t="str">
        <f t="shared" si="196"/>
        <v>Sep-2018</v>
      </c>
      <c r="E2426" t="s">
        <v>149</v>
      </c>
      <c r="F2426" s="24" t="s">
        <v>35</v>
      </c>
      <c r="G2426" s="24" t="s">
        <v>409</v>
      </c>
      <c r="H2426" s="24" t="s">
        <v>27</v>
      </c>
      <c r="I2426" s="24" t="s">
        <v>9</v>
      </c>
      <c r="J2426" s="24" t="s">
        <v>30</v>
      </c>
      <c r="K2426" s="24"/>
      <c r="L2426" s="24" t="s">
        <v>69</v>
      </c>
    </row>
    <row r="2427">
      <c r="A2427" s="24">
        <f t="shared" si="1"/>
        <v>2425</v>
      </c>
      <c r="B2427" s="24" t="s">
        <v>984</v>
      </c>
      <c r="C2427" s="275">
        <v>43346.0</v>
      </c>
      <c r="D2427" s="24" t="str">
        <f t="shared" si="196"/>
        <v>Sep-2018</v>
      </c>
      <c r="E2427" t="s">
        <v>222</v>
      </c>
      <c r="F2427" s="24" t="s">
        <v>35</v>
      </c>
      <c r="G2427" s="24" t="s">
        <v>409</v>
      </c>
      <c r="H2427" s="24" t="s">
        <v>27</v>
      </c>
      <c r="I2427" s="24" t="s">
        <v>9</v>
      </c>
      <c r="J2427" s="24" t="s">
        <v>30</v>
      </c>
      <c r="K2427" s="24"/>
      <c r="L2427" s="24" t="s">
        <v>99</v>
      </c>
    </row>
    <row r="2428">
      <c r="A2428" s="24">
        <f t="shared" si="1"/>
        <v>2426</v>
      </c>
      <c r="B2428" s="24" t="s">
        <v>984</v>
      </c>
      <c r="C2428" s="275">
        <v>43346.0</v>
      </c>
      <c r="D2428" s="24" t="str">
        <f t="shared" si="196"/>
        <v>Sep-2018</v>
      </c>
      <c r="E2428" t="s">
        <v>146</v>
      </c>
      <c r="F2428" s="24" t="s">
        <v>35</v>
      </c>
      <c r="G2428" s="24" t="s">
        <v>989</v>
      </c>
      <c r="H2428" s="24" t="s">
        <v>86</v>
      </c>
      <c r="I2428" s="24" t="s">
        <v>9</v>
      </c>
      <c r="J2428" s="24" t="s">
        <v>24</v>
      </c>
      <c r="K2428" s="24" t="s">
        <v>30</v>
      </c>
      <c r="L2428" s="24" t="s">
        <v>69</v>
      </c>
    </row>
    <row r="2429">
      <c r="A2429" s="24">
        <f t="shared" si="1"/>
        <v>2427</v>
      </c>
      <c r="B2429" s="24" t="s">
        <v>984</v>
      </c>
      <c r="C2429" s="275">
        <v>43346.0</v>
      </c>
      <c r="D2429" s="24" t="str">
        <f t="shared" si="196"/>
        <v>Sep-2018</v>
      </c>
      <c r="E2429" t="s">
        <v>149</v>
      </c>
      <c r="F2429" s="24" t="s">
        <v>35</v>
      </c>
      <c r="G2429" s="24" t="s">
        <v>989</v>
      </c>
      <c r="H2429" s="24" t="s">
        <v>86</v>
      </c>
      <c r="I2429" s="24" t="s">
        <v>9</v>
      </c>
      <c r="J2429" s="24" t="s">
        <v>24</v>
      </c>
      <c r="K2429" s="24"/>
      <c r="L2429" s="24" t="s">
        <v>29</v>
      </c>
    </row>
    <row r="2430">
      <c r="A2430" s="24">
        <f t="shared" si="1"/>
        <v>2428</v>
      </c>
      <c r="B2430" s="24" t="s">
        <v>984</v>
      </c>
      <c r="C2430" s="275">
        <v>43346.0</v>
      </c>
      <c r="D2430" s="24" t="str">
        <f t="shared" si="196"/>
        <v>Sep-2018</v>
      </c>
      <c r="E2430" t="s">
        <v>222</v>
      </c>
      <c r="F2430" s="24" t="s">
        <v>35</v>
      </c>
      <c r="G2430" s="24" t="s">
        <v>989</v>
      </c>
      <c r="H2430" s="24" t="s">
        <v>86</v>
      </c>
      <c r="I2430" s="24" t="s">
        <v>9</v>
      </c>
      <c r="J2430" s="24" t="s">
        <v>30</v>
      </c>
      <c r="K2430" s="24"/>
      <c r="L2430" s="24" t="s">
        <v>29</v>
      </c>
    </row>
    <row r="2431">
      <c r="A2431" s="24">
        <f t="shared" si="1"/>
        <v>2429</v>
      </c>
      <c r="B2431" s="24" t="s">
        <v>984</v>
      </c>
      <c r="C2431" s="275">
        <v>43346.0</v>
      </c>
      <c r="D2431" s="24" t="str">
        <f t="shared" si="196"/>
        <v>Sep-2018</v>
      </c>
      <c r="E2431" t="s">
        <v>467</v>
      </c>
      <c r="F2431" s="24" t="s">
        <v>35</v>
      </c>
      <c r="G2431" s="24" t="s">
        <v>989</v>
      </c>
      <c r="H2431" s="24" t="s">
        <v>86</v>
      </c>
      <c r="I2431" s="24" t="s">
        <v>9</v>
      </c>
      <c r="J2431" s="24" t="s">
        <v>30</v>
      </c>
      <c r="K2431" s="24"/>
      <c r="L2431" s="24" t="s">
        <v>37</v>
      </c>
    </row>
    <row r="2432">
      <c r="A2432" s="24">
        <f t="shared" si="1"/>
        <v>2430</v>
      </c>
      <c r="B2432" s="24" t="s">
        <v>984</v>
      </c>
      <c r="C2432" s="275">
        <v>43346.0</v>
      </c>
      <c r="D2432" s="24" t="str">
        <f t="shared" si="196"/>
        <v>Sep-2018</v>
      </c>
      <c r="E2432" t="s">
        <v>480</v>
      </c>
      <c r="F2432" s="24" t="s">
        <v>35</v>
      </c>
      <c r="G2432" s="24" t="s">
        <v>989</v>
      </c>
      <c r="H2432" s="24" t="s">
        <v>86</v>
      </c>
      <c r="I2432" s="24" t="s">
        <v>9</v>
      </c>
      <c r="J2432" s="24" t="s">
        <v>30</v>
      </c>
      <c r="K2432" s="24"/>
      <c r="L2432" s="24" t="s">
        <v>37</v>
      </c>
    </row>
    <row r="2433">
      <c r="A2433" s="24">
        <f t="shared" si="1"/>
        <v>2431</v>
      </c>
      <c r="B2433" s="24" t="s">
        <v>984</v>
      </c>
      <c r="C2433" s="275">
        <v>43346.0</v>
      </c>
      <c r="D2433" s="24" t="str">
        <f t="shared" si="196"/>
        <v>Sep-2018</v>
      </c>
      <c r="E2433" t="s">
        <v>146</v>
      </c>
      <c r="F2433" s="24" t="s">
        <v>35</v>
      </c>
      <c r="G2433" s="24" t="s">
        <v>122</v>
      </c>
      <c r="H2433" s="24" t="s">
        <v>44</v>
      </c>
      <c r="I2433" s="24" t="s">
        <v>9</v>
      </c>
      <c r="J2433" s="24" t="s">
        <v>30</v>
      </c>
      <c r="K2433" s="24" t="s">
        <v>24</v>
      </c>
      <c r="L2433" s="24" t="s">
        <v>98</v>
      </c>
    </row>
    <row r="2434">
      <c r="A2434" s="24">
        <f t="shared" si="1"/>
        <v>2432</v>
      </c>
      <c r="B2434" s="24" t="s">
        <v>984</v>
      </c>
      <c r="C2434" s="275">
        <v>43346.0</v>
      </c>
      <c r="D2434" s="24" t="str">
        <f t="shared" si="196"/>
        <v>Sep-2018</v>
      </c>
      <c r="E2434" t="s">
        <v>149</v>
      </c>
      <c r="F2434" s="24" t="s">
        <v>35</v>
      </c>
      <c r="G2434" s="24" t="s">
        <v>122</v>
      </c>
      <c r="H2434" s="24" t="s">
        <v>44</v>
      </c>
      <c r="I2434" s="24" t="s">
        <v>9</v>
      </c>
      <c r="J2434" s="24" t="s">
        <v>24</v>
      </c>
      <c r="K2434" s="24"/>
      <c r="L2434" s="24" t="s">
        <v>98</v>
      </c>
    </row>
    <row r="2435">
      <c r="A2435" s="24">
        <f t="shared" si="1"/>
        <v>2433</v>
      </c>
      <c r="B2435" s="24" t="s">
        <v>984</v>
      </c>
      <c r="C2435" s="275">
        <v>43346.0</v>
      </c>
      <c r="D2435" s="24" t="str">
        <f t="shared" si="196"/>
        <v>Sep-2018</v>
      </c>
      <c r="E2435" t="s">
        <v>222</v>
      </c>
      <c r="F2435" s="24" t="s">
        <v>35</v>
      </c>
      <c r="G2435" s="24" t="s">
        <v>122</v>
      </c>
      <c r="H2435" s="24" t="s">
        <v>44</v>
      </c>
      <c r="I2435" s="24" t="s">
        <v>9</v>
      </c>
      <c r="J2435" s="24" t="s">
        <v>24</v>
      </c>
      <c r="K2435" s="24"/>
      <c r="L2435" s="24" t="s">
        <v>106</v>
      </c>
    </row>
    <row r="2436">
      <c r="A2436" s="24">
        <f t="shared" si="1"/>
        <v>2434</v>
      </c>
      <c r="B2436" s="24" t="s">
        <v>984</v>
      </c>
      <c r="C2436" s="275">
        <v>43346.0</v>
      </c>
      <c r="D2436" s="24" t="str">
        <f t="shared" si="196"/>
        <v>Sep-2018</v>
      </c>
      <c r="E2436" t="s">
        <v>467</v>
      </c>
      <c r="F2436" s="24" t="s">
        <v>35</v>
      </c>
      <c r="G2436" s="24" t="s">
        <v>122</v>
      </c>
      <c r="H2436" s="24" t="s">
        <v>44</v>
      </c>
      <c r="I2436" s="24" t="s">
        <v>9</v>
      </c>
      <c r="J2436" s="24" t="s">
        <v>30</v>
      </c>
      <c r="K2436" s="24"/>
      <c r="L2436" s="24" t="s">
        <v>37</v>
      </c>
    </row>
    <row r="2437">
      <c r="A2437" s="24">
        <f t="shared" si="1"/>
        <v>2435</v>
      </c>
      <c r="B2437" s="24" t="s">
        <v>984</v>
      </c>
      <c r="C2437" s="275">
        <v>43346.0</v>
      </c>
      <c r="D2437" s="24" t="str">
        <f t="shared" si="196"/>
        <v>Sep-2018</v>
      </c>
      <c r="E2437" t="s">
        <v>480</v>
      </c>
      <c r="F2437" s="24" t="s">
        <v>35</v>
      </c>
      <c r="G2437" s="24" t="s">
        <v>122</v>
      </c>
      <c r="H2437" s="24" t="s">
        <v>44</v>
      </c>
      <c r="I2437" s="24" t="s">
        <v>9</v>
      </c>
      <c r="J2437" s="24" t="s">
        <v>24</v>
      </c>
      <c r="K2437" s="24"/>
      <c r="L2437" s="24" t="s">
        <v>29</v>
      </c>
    </row>
    <row r="2438">
      <c r="A2438" s="24">
        <f t="shared" si="1"/>
        <v>2436</v>
      </c>
      <c r="B2438" s="24" t="s">
        <v>990</v>
      </c>
      <c r="C2438" s="275">
        <v>43351.0</v>
      </c>
      <c r="D2438" s="24" t="str">
        <f t="shared" ref="D2438:D2445" si="197">TEXT(C2431:C2438, "mmm") &amp; "-" &amp; TEXT(C2431:C2438, "yyyy") </f>
        <v>Sep-2018</v>
      </c>
      <c r="E2438" t="s">
        <v>20</v>
      </c>
      <c r="F2438" s="24" t="s">
        <v>682</v>
      </c>
      <c r="G2438" s="24" t="s">
        <v>991</v>
      </c>
      <c r="H2438" s="24" t="s">
        <v>71</v>
      </c>
      <c r="I2438" s="24" t="s">
        <v>9</v>
      </c>
      <c r="J2438" s="24" t="s">
        <v>30</v>
      </c>
      <c r="K2438" s="24" t="s">
        <v>30</v>
      </c>
      <c r="L2438" s="24" t="s">
        <v>99</v>
      </c>
    </row>
    <row r="2439">
      <c r="A2439" s="24">
        <f t="shared" si="1"/>
        <v>2437</v>
      </c>
      <c r="B2439" s="24" t="s">
        <v>990</v>
      </c>
      <c r="C2439" s="275">
        <v>43351.0</v>
      </c>
      <c r="D2439" s="24" t="str">
        <f t="shared" si="197"/>
        <v>Sep-2018</v>
      </c>
      <c r="E2439" t="s">
        <v>25</v>
      </c>
      <c r="F2439" s="24" t="s">
        <v>682</v>
      </c>
      <c r="G2439" s="24" t="s">
        <v>991</v>
      </c>
      <c r="H2439" s="24" t="s">
        <v>71</v>
      </c>
      <c r="I2439" s="24" t="s">
        <v>9</v>
      </c>
      <c r="J2439" s="24" t="s">
        <v>24</v>
      </c>
      <c r="K2439" s="24"/>
      <c r="L2439" s="24" t="s">
        <v>99</v>
      </c>
    </row>
    <row r="2440">
      <c r="A2440" s="24">
        <f t="shared" si="1"/>
        <v>2438</v>
      </c>
      <c r="B2440" s="24" t="s">
        <v>990</v>
      </c>
      <c r="C2440" s="275">
        <v>43351.0</v>
      </c>
      <c r="D2440" s="24" t="str">
        <f t="shared" si="197"/>
        <v>Sep-2018</v>
      </c>
      <c r="E2440" t="s">
        <v>32</v>
      </c>
      <c r="F2440" s="24" t="s">
        <v>682</v>
      </c>
      <c r="G2440" s="24" t="s">
        <v>991</v>
      </c>
      <c r="H2440" s="24" t="s">
        <v>71</v>
      </c>
      <c r="I2440" s="24" t="s">
        <v>9</v>
      </c>
      <c r="J2440" s="24" t="s">
        <v>30</v>
      </c>
      <c r="K2440" s="24"/>
      <c r="L2440" s="24" t="s">
        <v>106</v>
      </c>
    </row>
    <row r="2441">
      <c r="A2441" s="24">
        <f t="shared" si="1"/>
        <v>2439</v>
      </c>
      <c r="B2441" s="24" t="s">
        <v>990</v>
      </c>
      <c r="C2441" s="275">
        <v>43351.0</v>
      </c>
      <c r="D2441" s="24" t="str">
        <f t="shared" si="197"/>
        <v>Sep-2018</v>
      </c>
      <c r="E2441" t="s">
        <v>20</v>
      </c>
      <c r="F2441" s="24" t="s">
        <v>682</v>
      </c>
      <c r="G2441" s="24" t="s">
        <v>404</v>
      </c>
      <c r="H2441" s="24" t="s">
        <v>27</v>
      </c>
      <c r="I2441" s="24" t="s">
        <v>9</v>
      </c>
      <c r="J2441" s="24" t="s">
        <v>24</v>
      </c>
      <c r="K2441" s="24" t="s">
        <v>30</v>
      </c>
      <c r="L2441" s="24" t="s">
        <v>37</v>
      </c>
    </row>
    <row r="2442">
      <c r="A2442" s="24">
        <f t="shared" si="1"/>
        <v>2440</v>
      </c>
      <c r="B2442" s="24" t="s">
        <v>990</v>
      </c>
      <c r="C2442" s="275">
        <v>43351.0</v>
      </c>
      <c r="D2442" s="24" t="str">
        <f t="shared" si="197"/>
        <v>Sep-2018</v>
      </c>
      <c r="E2442" t="s">
        <v>25</v>
      </c>
      <c r="F2442" s="24" t="s">
        <v>682</v>
      </c>
      <c r="G2442" s="24" t="s">
        <v>404</v>
      </c>
      <c r="H2442" s="24" t="s">
        <v>27</v>
      </c>
      <c r="I2442" s="24" t="s">
        <v>9</v>
      </c>
      <c r="J2442" s="24" t="s">
        <v>30</v>
      </c>
      <c r="K2442" s="24"/>
      <c r="L2442" s="24" t="s">
        <v>106</v>
      </c>
    </row>
    <row r="2443">
      <c r="A2443" s="24">
        <f t="shared" si="1"/>
        <v>2441</v>
      </c>
      <c r="B2443" s="24" t="s">
        <v>990</v>
      </c>
      <c r="C2443" s="275">
        <v>43351.0</v>
      </c>
      <c r="D2443" s="24" t="str">
        <f t="shared" si="197"/>
        <v>Sep-2018</v>
      </c>
      <c r="E2443" t="s">
        <v>32</v>
      </c>
      <c r="F2443" s="24" t="s">
        <v>682</v>
      </c>
      <c r="G2443" s="24" t="s">
        <v>404</v>
      </c>
      <c r="H2443" s="24" t="s">
        <v>27</v>
      </c>
      <c r="I2443" s="24" t="s">
        <v>9</v>
      </c>
      <c r="J2443" s="24" t="s">
        <v>30</v>
      </c>
      <c r="K2443" s="24"/>
      <c r="L2443" s="24" t="s">
        <v>69</v>
      </c>
    </row>
    <row r="2444">
      <c r="A2444" s="24">
        <f t="shared" si="1"/>
        <v>2442</v>
      </c>
      <c r="B2444" s="24" t="s">
        <v>990</v>
      </c>
      <c r="C2444" s="275">
        <v>43351.0</v>
      </c>
      <c r="D2444" s="24" t="str">
        <f t="shared" si="197"/>
        <v>Sep-2018</v>
      </c>
      <c r="E2444" t="s">
        <v>20</v>
      </c>
      <c r="F2444" s="24" t="s">
        <v>682</v>
      </c>
      <c r="G2444" s="24" t="s">
        <v>364</v>
      </c>
      <c r="H2444" s="24" t="s">
        <v>86</v>
      </c>
      <c r="I2444" s="24" t="s">
        <v>9</v>
      </c>
      <c r="J2444" s="24" t="s">
        <v>24</v>
      </c>
      <c r="K2444" s="24" t="s">
        <v>24</v>
      </c>
      <c r="L2444" s="24" t="s">
        <v>69</v>
      </c>
    </row>
    <row r="2445">
      <c r="A2445" s="24">
        <f t="shared" si="1"/>
        <v>2443</v>
      </c>
      <c r="B2445" s="24" t="s">
        <v>990</v>
      </c>
      <c r="C2445" s="275">
        <v>43351.0</v>
      </c>
      <c r="D2445" s="24" t="str">
        <f t="shared" si="197"/>
        <v>Sep-2018</v>
      </c>
      <c r="E2445" t="s">
        <v>25</v>
      </c>
      <c r="F2445" s="24" t="s">
        <v>682</v>
      </c>
      <c r="G2445" s="24" t="s">
        <v>364</v>
      </c>
      <c r="H2445" s="24" t="s">
        <v>86</v>
      </c>
      <c r="I2445" s="24" t="s">
        <v>9</v>
      </c>
      <c r="J2445" s="24" t="s">
        <v>24</v>
      </c>
      <c r="K2445" s="24"/>
      <c r="L2445" s="24" t="s">
        <v>37</v>
      </c>
    </row>
    <row r="2446">
      <c r="A2446" s="24">
        <f t="shared" si="1"/>
        <v>2444</v>
      </c>
      <c r="B2446" s="24" t="s">
        <v>990</v>
      </c>
      <c r="C2446" s="275">
        <v>43351.0</v>
      </c>
      <c r="D2446" s="24" t="str">
        <f t="shared" ref="D2446:D2466" si="198">TEXT(C2438:C2446, "mmm") &amp; "-" &amp; TEXT(C2438:C2446, "yyyy") </f>
        <v>Sep-2018</v>
      </c>
      <c r="E2446" t="s">
        <v>20</v>
      </c>
      <c r="F2446" s="24" t="s">
        <v>682</v>
      </c>
      <c r="G2446" s="24" t="s">
        <v>996</v>
      </c>
      <c r="H2446" s="24" t="s">
        <v>64</v>
      </c>
      <c r="I2446" s="24" t="s">
        <v>9</v>
      </c>
      <c r="J2446" s="24" t="s">
        <v>30</v>
      </c>
      <c r="K2446" s="24" t="s">
        <v>30</v>
      </c>
      <c r="L2446" s="24" t="s">
        <v>98</v>
      </c>
    </row>
    <row r="2447">
      <c r="A2447" s="24">
        <f t="shared" si="1"/>
        <v>2445</v>
      </c>
      <c r="B2447" s="24" t="s">
        <v>990</v>
      </c>
      <c r="C2447" s="275">
        <v>43351.0</v>
      </c>
      <c r="D2447" s="24" t="str">
        <f t="shared" si="198"/>
        <v>Sep-2018</v>
      </c>
      <c r="E2447" t="s">
        <v>25</v>
      </c>
      <c r="F2447" s="24" t="s">
        <v>682</v>
      </c>
      <c r="G2447" s="24" t="s">
        <v>996</v>
      </c>
      <c r="H2447" s="24" t="s">
        <v>64</v>
      </c>
      <c r="I2447" s="24" t="s">
        <v>9</v>
      </c>
      <c r="J2447" s="24" t="s">
        <v>24</v>
      </c>
      <c r="K2447" s="24"/>
      <c r="L2447" s="24" t="s">
        <v>98</v>
      </c>
    </row>
    <row r="2448">
      <c r="A2448" s="24">
        <f t="shared" si="1"/>
        <v>2446</v>
      </c>
      <c r="B2448" s="24" t="s">
        <v>990</v>
      </c>
      <c r="C2448" s="275">
        <v>43351.0</v>
      </c>
      <c r="D2448" s="24" t="str">
        <f t="shared" si="198"/>
        <v>Sep-2018</v>
      </c>
      <c r="E2448" t="s">
        <v>32</v>
      </c>
      <c r="F2448" s="24" t="s">
        <v>682</v>
      </c>
      <c r="G2448" s="24" t="s">
        <v>996</v>
      </c>
      <c r="H2448" s="24" t="s">
        <v>64</v>
      </c>
      <c r="I2448" s="24" t="s">
        <v>9</v>
      </c>
      <c r="J2448" s="24" t="s">
        <v>30</v>
      </c>
      <c r="K2448" s="24"/>
      <c r="L2448" s="24" t="s">
        <v>106</v>
      </c>
    </row>
    <row r="2449">
      <c r="A2449" s="24">
        <f t="shared" si="1"/>
        <v>2447</v>
      </c>
      <c r="B2449" s="24" t="s">
        <v>990</v>
      </c>
      <c r="C2449" s="275">
        <v>43351.0</v>
      </c>
      <c r="D2449" s="24" t="str">
        <f t="shared" si="198"/>
        <v>Sep-2018</v>
      </c>
      <c r="E2449" t="s">
        <v>20</v>
      </c>
      <c r="F2449" s="24" t="s">
        <v>682</v>
      </c>
      <c r="G2449" s="24" t="s">
        <v>296</v>
      </c>
      <c r="H2449" s="24" t="s">
        <v>9</v>
      </c>
      <c r="I2449" s="24" t="s">
        <v>9</v>
      </c>
      <c r="J2449" s="24" t="s">
        <v>24</v>
      </c>
      <c r="K2449" s="24" t="s">
        <v>24</v>
      </c>
      <c r="L2449" s="24" t="s">
        <v>98</v>
      </c>
    </row>
    <row r="2450">
      <c r="A2450" s="24">
        <f t="shared" si="1"/>
        <v>2448</v>
      </c>
      <c r="B2450" s="24" t="s">
        <v>990</v>
      </c>
      <c r="C2450" s="275">
        <v>43351.0</v>
      </c>
      <c r="D2450" s="24" t="str">
        <f t="shared" si="198"/>
        <v>Sep-2018</v>
      </c>
      <c r="E2450" t="s">
        <v>25</v>
      </c>
      <c r="F2450" s="24" t="s">
        <v>682</v>
      </c>
      <c r="G2450" s="24" t="s">
        <v>296</v>
      </c>
      <c r="H2450" s="24" t="s">
        <v>9</v>
      </c>
      <c r="I2450" s="24" t="s">
        <v>9</v>
      </c>
      <c r="J2450" s="24" t="s">
        <v>30</v>
      </c>
      <c r="K2450" s="24"/>
      <c r="L2450" s="24" t="s">
        <v>106</v>
      </c>
    </row>
    <row r="2451">
      <c r="A2451" s="24">
        <f t="shared" si="1"/>
        <v>2449</v>
      </c>
      <c r="B2451" s="24" t="s">
        <v>990</v>
      </c>
      <c r="C2451" s="275">
        <v>43351.0</v>
      </c>
      <c r="D2451" s="24" t="str">
        <f t="shared" si="198"/>
        <v>Sep-2018</v>
      </c>
      <c r="E2451" t="s">
        <v>32</v>
      </c>
      <c r="F2451" s="24" t="s">
        <v>682</v>
      </c>
      <c r="G2451" s="24" t="s">
        <v>296</v>
      </c>
      <c r="H2451" s="24" t="s">
        <v>9</v>
      </c>
      <c r="I2451" s="24" t="s">
        <v>9</v>
      </c>
      <c r="J2451" s="24" t="s">
        <v>24</v>
      </c>
      <c r="K2451" s="24"/>
      <c r="L2451" s="24" t="s">
        <v>37</v>
      </c>
    </row>
    <row r="2452">
      <c r="A2452" s="24">
        <f t="shared" si="1"/>
        <v>2450</v>
      </c>
      <c r="B2452" s="24" t="s">
        <v>990</v>
      </c>
      <c r="C2452" s="275">
        <v>43351.0</v>
      </c>
      <c r="D2452" s="24" t="str">
        <f t="shared" si="198"/>
        <v>Sep-2018</v>
      </c>
      <c r="E2452" t="s">
        <v>20</v>
      </c>
      <c r="F2452" s="24" t="s">
        <v>682</v>
      </c>
      <c r="G2452" s="24" t="s">
        <v>997</v>
      </c>
      <c r="H2452" s="24" t="s">
        <v>9</v>
      </c>
      <c r="I2452" s="24" t="s">
        <v>9</v>
      </c>
      <c r="J2452" s="24" t="s">
        <v>24</v>
      </c>
      <c r="K2452" s="24" t="s">
        <v>30</v>
      </c>
      <c r="L2452" s="24" t="s">
        <v>98</v>
      </c>
    </row>
    <row r="2453">
      <c r="A2453" s="24">
        <f t="shared" si="1"/>
        <v>2451</v>
      </c>
      <c r="B2453" s="24" t="s">
        <v>990</v>
      </c>
      <c r="C2453" s="275">
        <v>43351.0</v>
      </c>
      <c r="D2453" s="24" t="str">
        <f t="shared" si="198"/>
        <v>Sep-2018</v>
      </c>
      <c r="E2453" t="s">
        <v>25</v>
      </c>
      <c r="F2453" s="24" t="s">
        <v>682</v>
      </c>
      <c r="G2453" s="24" t="s">
        <v>997</v>
      </c>
      <c r="H2453" s="24" t="s">
        <v>9</v>
      </c>
      <c r="I2453" s="24" t="s">
        <v>9</v>
      </c>
      <c r="J2453" s="24" t="s">
        <v>30</v>
      </c>
      <c r="K2453" s="24"/>
      <c r="L2453" s="24" t="s">
        <v>106</v>
      </c>
    </row>
    <row r="2454">
      <c r="A2454" s="24">
        <f t="shared" si="1"/>
        <v>2452</v>
      </c>
      <c r="B2454" s="24" t="s">
        <v>990</v>
      </c>
      <c r="C2454" s="275">
        <v>43351.0</v>
      </c>
      <c r="D2454" s="24" t="str">
        <f t="shared" si="198"/>
        <v>Sep-2018</v>
      </c>
      <c r="E2454" t="s">
        <v>32</v>
      </c>
      <c r="F2454" s="24" t="s">
        <v>682</v>
      </c>
      <c r="G2454" s="24" t="s">
        <v>997</v>
      </c>
      <c r="H2454" s="24" t="s">
        <v>9</v>
      </c>
      <c r="I2454" s="24" t="s">
        <v>9</v>
      </c>
      <c r="J2454" s="24" t="s">
        <v>30</v>
      </c>
      <c r="K2454" s="24"/>
      <c r="L2454" s="24" t="s">
        <v>69</v>
      </c>
    </row>
    <row r="2455">
      <c r="A2455" s="24">
        <f t="shared" si="1"/>
        <v>2453</v>
      </c>
      <c r="B2455" s="24" t="s">
        <v>990</v>
      </c>
      <c r="C2455" s="275">
        <v>43351.0</v>
      </c>
      <c r="D2455" s="24" t="str">
        <f t="shared" si="198"/>
        <v>Sep-2018</v>
      </c>
      <c r="E2455" t="s">
        <v>20</v>
      </c>
      <c r="F2455" s="24" t="s">
        <v>35</v>
      </c>
      <c r="G2455" s="24" t="s">
        <v>998</v>
      </c>
      <c r="H2455" s="24" t="s">
        <v>27</v>
      </c>
      <c r="I2455" s="24" t="s">
        <v>9</v>
      </c>
      <c r="J2455" s="24" t="s">
        <v>30</v>
      </c>
      <c r="K2455" s="24" t="s">
        <v>30</v>
      </c>
      <c r="L2455" s="24" t="s">
        <v>37</v>
      </c>
    </row>
    <row r="2456">
      <c r="A2456" s="24">
        <f t="shared" si="1"/>
        <v>2454</v>
      </c>
      <c r="B2456" s="24" t="s">
        <v>990</v>
      </c>
      <c r="C2456" s="275">
        <v>43351.0</v>
      </c>
      <c r="D2456" s="24" t="str">
        <f t="shared" si="198"/>
        <v>Sep-2018</v>
      </c>
      <c r="E2456" t="s">
        <v>25</v>
      </c>
      <c r="F2456" s="24" t="s">
        <v>35</v>
      </c>
      <c r="G2456" s="24" t="s">
        <v>998</v>
      </c>
      <c r="H2456" s="24" t="s">
        <v>27</v>
      </c>
      <c r="I2456" s="24" t="s">
        <v>9</v>
      </c>
      <c r="J2456" s="24" t="s">
        <v>30</v>
      </c>
      <c r="K2456" s="24"/>
      <c r="L2456" s="24" t="s">
        <v>106</v>
      </c>
    </row>
    <row r="2457">
      <c r="A2457" s="24">
        <f t="shared" si="1"/>
        <v>2455</v>
      </c>
      <c r="B2457" s="24" t="s">
        <v>990</v>
      </c>
      <c r="C2457" s="275">
        <v>43351.0</v>
      </c>
      <c r="D2457" s="24" t="str">
        <f t="shared" si="198"/>
        <v>Sep-2018</v>
      </c>
      <c r="E2457" t="s">
        <v>20</v>
      </c>
      <c r="F2457" s="24" t="s">
        <v>35</v>
      </c>
      <c r="G2457" s="24" t="s">
        <v>756</v>
      </c>
      <c r="H2457" s="24" t="s">
        <v>23</v>
      </c>
      <c r="I2457" s="24" t="s">
        <v>9</v>
      </c>
      <c r="J2457" s="24" t="s">
        <v>24</v>
      </c>
      <c r="K2457" s="24" t="s">
        <v>24</v>
      </c>
      <c r="L2457" s="24" t="s">
        <v>37</v>
      </c>
    </row>
    <row r="2458">
      <c r="A2458" s="24">
        <f t="shared" si="1"/>
        <v>2456</v>
      </c>
      <c r="B2458" s="24" t="s">
        <v>990</v>
      </c>
      <c r="C2458" s="275">
        <v>43351.0</v>
      </c>
      <c r="D2458" s="24" t="str">
        <f t="shared" si="198"/>
        <v>Sep-2018</v>
      </c>
      <c r="E2458" t="s">
        <v>25</v>
      </c>
      <c r="F2458" s="24" t="s">
        <v>35</v>
      </c>
      <c r="G2458" s="24" t="s">
        <v>756</v>
      </c>
      <c r="H2458" s="24" t="s">
        <v>23</v>
      </c>
      <c r="I2458" s="24" t="s">
        <v>9</v>
      </c>
      <c r="J2458" s="24" t="s">
        <v>30</v>
      </c>
      <c r="K2458" s="24"/>
      <c r="L2458" s="24" t="s">
        <v>106</v>
      </c>
    </row>
    <row r="2459">
      <c r="A2459" s="24">
        <f t="shared" si="1"/>
        <v>2457</v>
      </c>
      <c r="B2459" s="24" t="s">
        <v>990</v>
      </c>
      <c r="C2459" s="275">
        <v>43351.0</v>
      </c>
      <c r="D2459" s="24" t="str">
        <f t="shared" si="198"/>
        <v>Sep-2018</v>
      </c>
      <c r="E2459" t="s">
        <v>32</v>
      </c>
      <c r="F2459" s="24" t="s">
        <v>35</v>
      </c>
      <c r="G2459" s="24" t="s">
        <v>756</v>
      </c>
      <c r="H2459" s="24" t="s">
        <v>23</v>
      </c>
      <c r="I2459" s="24" t="s">
        <v>9</v>
      </c>
      <c r="J2459" s="24" t="s">
        <v>24</v>
      </c>
      <c r="K2459" s="24"/>
      <c r="L2459" s="24" t="s">
        <v>99</v>
      </c>
    </row>
    <row r="2460">
      <c r="A2460" s="24">
        <f t="shared" si="1"/>
        <v>2458</v>
      </c>
      <c r="B2460" s="24" t="s">
        <v>990</v>
      </c>
      <c r="C2460" s="275">
        <v>43351.0</v>
      </c>
      <c r="D2460" s="24" t="str">
        <f t="shared" si="198"/>
        <v>Sep-2018</v>
      </c>
      <c r="E2460" t="s">
        <v>20</v>
      </c>
      <c r="F2460" s="24" t="s">
        <v>35</v>
      </c>
      <c r="G2460" s="24" t="s">
        <v>961</v>
      </c>
      <c r="H2460" s="24" t="s">
        <v>27</v>
      </c>
      <c r="I2460" s="24" t="s">
        <v>9</v>
      </c>
      <c r="J2460" s="24" t="s">
        <v>30</v>
      </c>
      <c r="K2460" s="24" t="s">
        <v>30</v>
      </c>
      <c r="L2460" s="24" t="s">
        <v>37</v>
      </c>
    </row>
    <row r="2461">
      <c r="A2461" s="24">
        <f t="shared" si="1"/>
        <v>2459</v>
      </c>
      <c r="B2461" s="24" t="s">
        <v>990</v>
      </c>
      <c r="C2461" s="275">
        <v>43351.0</v>
      </c>
      <c r="D2461" s="24" t="str">
        <f t="shared" si="198"/>
        <v>Sep-2018</v>
      </c>
      <c r="E2461" t="s">
        <v>25</v>
      </c>
      <c r="F2461" s="24" t="s">
        <v>35</v>
      </c>
      <c r="G2461" s="24" t="s">
        <v>961</v>
      </c>
      <c r="H2461" s="24" t="s">
        <v>27</v>
      </c>
      <c r="I2461" s="24" t="s">
        <v>9</v>
      </c>
      <c r="J2461" s="24" t="s">
        <v>24</v>
      </c>
      <c r="K2461" s="24"/>
      <c r="L2461" s="24" t="s">
        <v>98</v>
      </c>
    </row>
    <row r="2462">
      <c r="A2462" s="24">
        <f t="shared" si="1"/>
        <v>2460</v>
      </c>
      <c r="B2462" s="24" t="s">
        <v>990</v>
      </c>
      <c r="C2462" s="275">
        <v>43351.0</v>
      </c>
      <c r="D2462" s="24" t="str">
        <f t="shared" si="198"/>
        <v>Sep-2018</v>
      </c>
      <c r="E2462" t="s">
        <v>32</v>
      </c>
      <c r="F2462" s="24" t="s">
        <v>35</v>
      </c>
      <c r="G2462" s="24" t="s">
        <v>961</v>
      </c>
      <c r="H2462" s="24" t="s">
        <v>27</v>
      </c>
      <c r="I2462" s="24" t="s">
        <v>9</v>
      </c>
      <c r="J2462" s="24" t="s">
        <v>30</v>
      </c>
      <c r="K2462" s="24"/>
      <c r="L2462" s="24" t="s">
        <v>29</v>
      </c>
    </row>
    <row r="2463">
      <c r="A2463" s="24">
        <f t="shared" si="1"/>
        <v>2461</v>
      </c>
      <c r="B2463" s="24" t="s">
        <v>990</v>
      </c>
      <c r="C2463" s="275">
        <v>43351.0</v>
      </c>
      <c r="D2463" s="24" t="str">
        <f t="shared" si="198"/>
        <v>Sep-2018</v>
      </c>
      <c r="E2463" t="s">
        <v>20</v>
      </c>
      <c r="F2463" s="24" t="s">
        <v>35</v>
      </c>
      <c r="G2463" s="24" t="s">
        <v>199</v>
      </c>
      <c r="H2463" s="24" t="s">
        <v>27</v>
      </c>
      <c r="I2463" s="24" t="s">
        <v>9</v>
      </c>
      <c r="J2463" s="24" t="s">
        <v>30</v>
      </c>
      <c r="K2463" s="24" t="s">
        <v>30</v>
      </c>
      <c r="L2463" s="24" t="s">
        <v>69</v>
      </c>
    </row>
    <row r="2464">
      <c r="A2464" s="24">
        <f t="shared" si="1"/>
        <v>2462</v>
      </c>
      <c r="B2464" s="24" t="s">
        <v>990</v>
      </c>
      <c r="C2464" s="275">
        <v>43351.0</v>
      </c>
      <c r="D2464" s="24" t="str">
        <f t="shared" si="198"/>
        <v>Sep-2018</v>
      </c>
      <c r="E2464" t="s">
        <v>25</v>
      </c>
      <c r="F2464" s="24" t="s">
        <v>35</v>
      </c>
      <c r="G2464" s="24" t="s">
        <v>199</v>
      </c>
      <c r="H2464" s="24" t="s">
        <v>27</v>
      </c>
      <c r="I2464" s="24" t="s">
        <v>9</v>
      </c>
      <c r="J2464" s="24" t="s">
        <v>30</v>
      </c>
      <c r="K2464" s="24"/>
      <c r="L2464" s="24" t="s">
        <v>99</v>
      </c>
    </row>
    <row r="2465">
      <c r="A2465" s="24">
        <f t="shared" si="1"/>
        <v>2463</v>
      </c>
      <c r="B2465" s="24" t="s">
        <v>990</v>
      </c>
      <c r="C2465" s="275">
        <v>43351.0</v>
      </c>
      <c r="D2465" s="24" t="str">
        <f t="shared" si="198"/>
        <v>Sep-2018</v>
      </c>
      <c r="E2465" t="s">
        <v>20</v>
      </c>
      <c r="F2465" s="24" t="s">
        <v>35</v>
      </c>
      <c r="G2465" s="24" t="s">
        <v>989</v>
      </c>
      <c r="H2465" s="24" t="s">
        <v>86</v>
      </c>
      <c r="I2465" s="24" t="s">
        <v>9</v>
      </c>
      <c r="J2465" s="24" t="s">
        <v>24</v>
      </c>
      <c r="K2465" s="24" t="s">
        <v>24</v>
      </c>
      <c r="L2465" s="24" t="s">
        <v>69</v>
      </c>
    </row>
    <row r="2466">
      <c r="A2466" s="24">
        <f t="shared" si="1"/>
        <v>2464</v>
      </c>
      <c r="B2466" s="24" t="s">
        <v>990</v>
      </c>
      <c r="C2466" s="275">
        <v>43351.0</v>
      </c>
      <c r="D2466" s="24" t="str">
        <f t="shared" si="198"/>
        <v>Sep-2018</v>
      </c>
      <c r="E2466" t="s">
        <v>25</v>
      </c>
      <c r="F2466" s="24" t="s">
        <v>35</v>
      </c>
      <c r="G2466" s="24" t="s">
        <v>989</v>
      </c>
      <c r="H2466" s="24" t="s">
        <v>86</v>
      </c>
      <c r="I2466" s="24" t="s">
        <v>9</v>
      </c>
      <c r="J2466" s="24" t="s">
        <v>24</v>
      </c>
      <c r="K2466" s="24"/>
      <c r="L2466" s="24" t="s">
        <v>106</v>
      </c>
    </row>
    <row r="2467">
      <c r="A2467" s="24">
        <f t="shared" si="1"/>
        <v>2465</v>
      </c>
      <c r="B2467" s="24" t="s">
        <v>999</v>
      </c>
      <c r="C2467" s="275">
        <v>43354.0</v>
      </c>
      <c r="D2467" s="24" t="str">
        <f t="shared" ref="D2467:D2474" si="199">TEXT(C2460:C2467, "mmm") &amp; "-" &amp; TEXT(C2460:C2467, "yyyy") </f>
        <v>Sep-2018</v>
      </c>
      <c r="E2467" t="s">
        <v>20</v>
      </c>
      <c r="F2467" s="24" t="s">
        <v>35</v>
      </c>
      <c r="G2467" s="24" t="s">
        <v>576</v>
      </c>
      <c r="H2467" s="24" t="s">
        <v>27</v>
      </c>
      <c r="I2467" s="24" t="s">
        <v>9</v>
      </c>
      <c r="J2467" s="24" t="s">
        <v>30</v>
      </c>
      <c r="K2467" s="24" t="s">
        <v>30</v>
      </c>
      <c r="L2467" s="24" t="s">
        <v>37</v>
      </c>
    </row>
    <row r="2468">
      <c r="A2468" s="24">
        <f t="shared" si="1"/>
        <v>2466</v>
      </c>
      <c r="B2468" s="24" t="s">
        <v>999</v>
      </c>
      <c r="C2468" s="275">
        <v>43354.0</v>
      </c>
      <c r="D2468" s="24" t="str">
        <f t="shared" si="199"/>
        <v>Sep-2018</v>
      </c>
      <c r="E2468" t="s">
        <v>25</v>
      </c>
      <c r="F2468" s="24" t="s">
        <v>35</v>
      </c>
      <c r="G2468" s="24" t="s">
        <v>576</v>
      </c>
      <c r="H2468" s="24" t="s">
        <v>27</v>
      </c>
      <c r="I2468" s="24" t="s">
        <v>9</v>
      </c>
      <c r="J2468" s="24" t="s">
        <v>30</v>
      </c>
      <c r="K2468" s="24"/>
      <c r="L2468" s="24" t="s">
        <v>98</v>
      </c>
    </row>
    <row r="2469">
      <c r="A2469" s="24">
        <f t="shared" si="1"/>
        <v>2467</v>
      </c>
      <c r="B2469" s="24" t="s">
        <v>999</v>
      </c>
      <c r="C2469" s="275">
        <v>43354.0</v>
      </c>
      <c r="D2469" s="24" t="str">
        <f t="shared" si="199"/>
        <v>Sep-2018</v>
      </c>
      <c r="E2469" t="s">
        <v>20</v>
      </c>
      <c r="F2469" s="24" t="s">
        <v>35</v>
      </c>
      <c r="G2469" s="24" t="s">
        <v>976</v>
      </c>
      <c r="H2469" s="24" t="s">
        <v>48</v>
      </c>
      <c r="I2469" s="24" t="s">
        <v>9</v>
      </c>
      <c r="J2469" s="24" t="s">
        <v>30</v>
      </c>
      <c r="K2469" s="24" t="s">
        <v>30</v>
      </c>
      <c r="L2469" s="24" t="s">
        <v>98</v>
      </c>
    </row>
    <row r="2470">
      <c r="A2470" s="24">
        <f t="shared" si="1"/>
        <v>2468</v>
      </c>
      <c r="B2470" s="24" t="s">
        <v>999</v>
      </c>
      <c r="C2470" s="275">
        <v>43354.0</v>
      </c>
      <c r="D2470" s="24" t="str">
        <f t="shared" si="199"/>
        <v>Sep-2018</v>
      </c>
      <c r="E2470" t="s">
        <v>25</v>
      </c>
      <c r="F2470" s="24" t="s">
        <v>35</v>
      </c>
      <c r="G2470" s="24" t="s">
        <v>976</v>
      </c>
      <c r="H2470" s="24" t="s">
        <v>48</v>
      </c>
      <c r="I2470" s="24" t="s">
        <v>9</v>
      </c>
      <c r="J2470" s="24" t="s">
        <v>24</v>
      </c>
      <c r="K2470" s="24"/>
      <c r="L2470" s="24" t="s">
        <v>98</v>
      </c>
    </row>
    <row r="2471">
      <c r="A2471" s="24">
        <f t="shared" si="1"/>
        <v>2469</v>
      </c>
      <c r="B2471" s="24" t="s">
        <v>999</v>
      </c>
      <c r="C2471" s="275">
        <v>43354.0</v>
      </c>
      <c r="D2471" s="24" t="str">
        <f t="shared" si="199"/>
        <v>Sep-2018</v>
      </c>
      <c r="E2471" t="s">
        <v>32</v>
      </c>
      <c r="F2471" s="24" t="s">
        <v>35</v>
      </c>
      <c r="G2471" s="24" t="s">
        <v>976</v>
      </c>
      <c r="H2471" s="24" t="s">
        <v>48</v>
      </c>
      <c r="I2471" s="24" t="s">
        <v>9</v>
      </c>
      <c r="J2471" s="24" t="s">
        <v>30</v>
      </c>
      <c r="K2471" s="24"/>
      <c r="L2471" s="24" t="s">
        <v>106</v>
      </c>
    </row>
    <row r="2472">
      <c r="A2472" s="24">
        <f t="shared" si="1"/>
        <v>2470</v>
      </c>
      <c r="B2472" s="24" t="s">
        <v>999</v>
      </c>
      <c r="C2472" s="275">
        <v>43354.0</v>
      </c>
      <c r="D2472" s="24" t="str">
        <f t="shared" si="199"/>
        <v>Sep-2018</v>
      </c>
      <c r="E2472" t="s">
        <v>20</v>
      </c>
      <c r="F2472" s="24" t="s">
        <v>35</v>
      </c>
      <c r="G2472" s="24" t="s">
        <v>148</v>
      </c>
      <c r="H2472" s="24" t="s">
        <v>27</v>
      </c>
      <c r="I2472" s="24" t="s">
        <v>9</v>
      </c>
      <c r="J2472" s="24" t="s">
        <v>24</v>
      </c>
      <c r="K2472" s="24" t="s">
        <v>24</v>
      </c>
      <c r="L2472" s="24" t="s">
        <v>69</v>
      </c>
    </row>
    <row r="2473">
      <c r="A2473" s="24">
        <f t="shared" si="1"/>
        <v>2471</v>
      </c>
      <c r="B2473" s="24" t="s">
        <v>999</v>
      </c>
      <c r="C2473" s="275">
        <v>43354.0</v>
      </c>
      <c r="D2473" s="24" t="str">
        <f t="shared" si="199"/>
        <v>Sep-2018</v>
      </c>
      <c r="E2473" t="s">
        <v>25</v>
      </c>
      <c r="F2473" s="24" t="s">
        <v>35</v>
      </c>
      <c r="G2473" s="24" t="s">
        <v>148</v>
      </c>
      <c r="H2473" s="24" t="s">
        <v>27</v>
      </c>
      <c r="I2473" s="24" t="s">
        <v>9</v>
      </c>
      <c r="J2473" s="24" t="s">
        <v>24</v>
      </c>
      <c r="K2473" s="24"/>
      <c r="L2473" s="24" t="s">
        <v>106</v>
      </c>
    </row>
    <row r="2474">
      <c r="A2474" s="24">
        <f t="shared" si="1"/>
        <v>2472</v>
      </c>
      <c r="B2474" s="24" t="s">
        <v>999</v>
      </c>
      <c r="C2474" s="275">
        <v>43354.0</v>
      </c>
      <c r="D2474" s="24" t="str">
        <f t="shared" si="199"/>
        <v>Sep-2018</v>
      </c>
      <c r="E2474" t="s">
        <v>20</v>
      </c>
      <c r="F2474" s="24" t="s">
        <v>35</v>
      </c>
      <c r="G2474" s="24" t="s">
        <v>163</v>
      </c>
      <c r="H2474" s="24" t="s">
        <v>44</v>
      </c>
      <c r="I2474" s="24" t="s">
        <v>9</v>
      </c>
      <c r="J2474" s="24" t="s">
        <v>30</v>
      </c>
      <c r="K2474" s="24" t="s">
        <v>30</v>
      </c>
      <c r="L2474" s="24" t="s">
        <v>69</v>
      </c>
    </row>
    <row r="2475">
      <c r="A2475" s="24">
        <f t="shared" si="1"/>
        <v>2473</v>
      </c>
      <c r="B2475" s="24" t="s">
        <v>999</v>
      </c>
      <c r="C2475" s="275">
        <v>43354.0</v>
      </c>
      <c r="D2475" s="24" t="str">
        <f t="shared" ref="D2475:D2491" si="200">TEXT(C2467:C2475, "mmm") &amp; "-" &amp; TEXT(C2467:C2475, "yyyy") </f>
        <v>Sep-2018</v>
      </c>
      <c r="E2475" t="s">
        <v>25</v>
      </c>
      <c r="F2475" s="24" t="s">
        <v>35</v>
      </c>
      <c r="G2475" s="24" t="s">
        <v>163</v>
      </c>
      <c r="H2475" s="24" t="s">
        <v>44</v>
      </c>
      <c r="I2475" s="24" t="s">
        <v>9</v>
      </c>
      <c r="J2475" s="24" t="s">
        <v>30</v>
      </c>
      <c r="K2475" s="24"/>
      <c r="L2475" s="24" t="s">
        <v>69</v>
      </c>
    </row>
    <row r="2476">
      <c r="A2476" s="24">
        <f t="shared" si="1"/>
        <v>2474</v>
      </c>
      <c r="B2476" s="24" t="s">
        <v>999</v>
      </c>
      <c r="C2476" s="275">
        <v>43354.0</v>
      </c>
      <c r="D2476" s="24" t="str">
        <f t="shared" si="200"/>
        <v>Sep-2018</v>
      </c>
      <c r="E2476" t="s">
        <v>146</v>
      </c>
      <c r="F2476" s="24" t="s">
        <v>35</v>
      </c>
      <c r="G2476" s="24" t="s">
        <v>989</v>
      </c>
      <c r="H2476" s="24" t="s">
        <v>86</v>
      </c>
      <c r="I2476" s="24" t="s">
        <v>9</v>
      </c>
      <c r="J2476" s="24" t="s">
        <v>30</v>
      </c>
      <c r="K2476" s="24" t="s">
        <v>30</v>
      </c>
      <c r="L2476" s="24" t="s">
        <v>69</v>
      </c>
    </row>
    <row r="2477">
      <c r="A2477" s="24">
        <f t="shared" si="1"/>
        <v>2475</v>
      </c>
      <c r="B2477" s="24" t="s">
        <v>999</v>
      </c>
      <c r="C2477" s="275">
        <v>43354.0</v>
      </c>
      <c r="D2477" s="24" t="str">
        <f t="shared" si="200"/>
        <v>Sep-2018</v>
      </c>
      <c r="E2477" t="s">
        <v>149</v>
      </c>
      <c r="F2477" s="24" t="s">
        <v>35</v>
      </c>
      <c r="G2477" s="24" t="s">
        <v>989</v>
      </c>
      <c r="H2477" s="24" t="s">
        <v>86</v>
      </c>
      <c r="I2477" s="24" t="s">
        <v>9</v>
      </c>
      <c r="J2477" s="24" t="s">
        <v>30</v>
      </c>
      <c r="K2477" s="24"/>
      <c r="L2477" s="24" t="s">
        <v>37</v>
      </c>
    </row>
    <row r="2478">
      <c r="A2478" s="24">
        <f t="shared" si="1"/>
        <v>2476</v>
      </c>
      <c r="B2478" s="24" t="s">
        <v>999</v>
      </c>
      <c r="C2478" s="275">
        <v>43354.0</v>
      </c>
      <c r="D2478" s="24" t="str">
        <f t="shared" si="200"/>
        <v>Sep-2018</v>
      </c>
      <c r="E2478" t="s">
        <v>222</v>
      </c>
      <c r="F2478" s="24" t="s">
        <v>35</v>
      </c>
      <c r="G2478" s="24" t="s">
        <v>989</v>
      </c>
      <c r="H2478" s="24" t="s">
        <v>86</v>
      </c>
      <c r="I2478" s="24" t="s">
        <v>9</v>
      </c>
      <c r="J2478" s="24" t="s">
        <v>30</v>
      </c>
      <c r="K2478" s="24"/>
      <c r="L2478" s="24" t="s">
        <v>37</v>
      </c>
    </row>
    <row r="2479">
      <c r="A2479" s="24">
        <f t="shared" si="1"/>
        <v>2477</v>
      </c>
      <c r="B2479" s="24" t="s">
        <v>999</v>
      </c>
      <c r="C2479" s="275">
        <v>43354.0</v>
      </c>
      <c r="D2479" s="24" t="str">
        <f t="shared" si="200"/>
        <v>Sep-2018</v>
      </c>
      <c r="E2479" t="s">
        <v>146</v>
      </c>
      <c r="F2479" s="24" t="s">
        <v>35</v>
      </c>
      <c r="G2479" s="24" t="s">
        <v>633</v>
      </c>
      <c r="H2479" s="24" t="s">
        <v>27</v>
      </c>
      <c r="I2479" s="24" t="s">
        <v>9</v>
      </c>
      <c r="J2479" s="24" t="s">
        <v>30</v>
      </c>
      <c r="K2479" s="24" t="s">
        <v>30</v>
      </c>
      <c r="L2479" s="24" t="s">
        <v>69</v>
      </c>
    </row>
    <row r="2480">
      <c r="A2480" s="24">
        <f t="shared" si="1"/>
        <v>2478</v>
      </c>
      <c r="B2480" s="24" t="s">
        <v>999</v>
      </c>
      <c r="C2480" s="275">
        <v>43354.0</v>
      </c>
      <c r="D2480" s="24" t="str">
        <f t="shared" si="200"/>
        <v>Sep-2018</v>
      </c>
      <c r="E2480" t="s">
        <v>149</v>
      </c>
      <c r="F2480" s="24" t="s">
        <v>35</v>
      </c>
      <c r="G2480" s="24" t="s">
        <v>633</v>
      </c>
      <c r="H2480" s="24" t="s">
        <v>27</v>
      </c>
      <c r="I2480" s="24" t="s">
        <v>9</v>
      </c>
      <c r="J2480" s="24" t="s">
        <v>30</v>
      </c>
      <c r="K2480" s="24"/>
      <c r="L2480" s="24" t="s">
        <v>99</v>
      </c>
    </row>
    <row r="2481">
      <c r="A2481" s="24">
        <f t="shared" si="1"/>
        <v>2479</v>
      </c>
      <c r="B2481" s="24" t="s">
        <v>999</v>
      </c>
      <c r="C2481" s="275">
        <v>43354.0</v>
      </c>
      <c r="D2481" s="24" t="str">
        <f t="shared" si="200"/>
        <v>Sep-2018</v>
      </c>
      <c r="E2481" t="s">
        <v>222</v>
      </c>
      <c r="F2481" s="24" t="s">
        <v>35</v>
      </c>
      <c r="G2481" s="24" t="s">
        <v>633</v>
      </c>
      <c r="H2481" s="24" t="s">
        <v>27</v>
      </c>
      <c r="I2481" s="24" t="s">
        <v>9</v>
      </c>
      <c r="J2481" s="24" t="s">
        <v>24</v>
      </c>
      <c r="K2481" s="24"/>
      <c r="L2481" s="24" t="s">
        <v>99</v>
      </c>
    </row>
    <row r="2482">
      <c r="A2482" s="24">
        <f t="shared" si="1"/>
        <v>2480</v>
      </c>
      <c r="B2482" s="24" t="s">
        <v>999</v>
      </c>
      <c r="C2482" s="275">
        <v>43354.0</v>
      </c>
      <c r="D2482" s="24" t="str">
        <f t="shared" si="200"/>
        <v>Sep-2018</v>
      </c>
      <c r="E2482" t="s">
        <v>467</v>
      </c>
      <c r="F2482" s="24" t="s">
        <v>35</v>
      </c>
      <c r="G2482" s="24" t="s">
        <v>633</v>
      </c>
      <c r="H2482" s="24" t="s">
        <v>27</v>
      </c>
      <c r="I2482" s="24" t="s">
        <v>9</v>
      </c>
      <c r="J2482" s="24" t="s">
        <v>30</v>
      </c>
      <c r="K2482" s="24"/>
      <c r="L2482" s="24" t="s">
        <v>106</v>
      </c>
    </row>
    <row r="2483">
      <c r="A2483" s="24">
        <f t="shared" si="1"/>
        <v>2481</v>
      </c>
      <c r="B2483" s="24" t="s">
        <v>999</v>
      </c>
      <c r="C2483" s="275">
        <v>43354.0</v>
      </c>
      <c r="D2483" s="24" t="str">
        <f t="shared" si="200"/>
        <v>Sep-2018</v>
      </c>
      <c r="E2483" t="s">
        <v>146</v>
      </c>
      <c r="F2483" s="24" t="s">
        <v>35</v>
      </c>
      <c r="G2483" s="24" t="s">
        <v>361</v>
      </c>
      <c r="H2483" s="24" t="s">
        <v>44</v>
      </c>
      <c r="I2483" s="24" t="s">
        <v>9</v>
      </c>
      <c r="J2483" s="24" t="s">
        <v>30</v>
      </c>
      <c r="K2483" s="24" t="s">
        <v>30</v>
      </c>
      <c r="L2483" s="24" t="s">
        <v>69</v>
      </c>
    </row>
    <row r="2484">
      <c r="A2484" s="24">
        <f t="shared" si="1"/>
        <v>2482</v>
      </c>
      <c r="B2484" s="24" t="s">
        <v>999</v>
      </c>
      <c r="C2484" s="275">
        <v>43354.0</v>
      </c>
      <c r="D2484" s="24" t="str">
        <f t="shared" si="200"/>
        <v>Sep-2018</v>
      </c>
      <c r="E2484" t="s">
        <v>149</v>
      </c>
      <c r="F2484" s="24" t="s">
        <v>35</v>
      </c>
      <c r="G2484" s="24" t="s">
        <v>361</v>
      </c>
      <c r="H2484" s="24" t="s">
        <v>44</v>
      </c>
      <c r="I2484" s="24" t="s">
        <v>9</v>
      </c>
      <c r="J2484" s="24" t="s">
        <v>30</v>
      </c>
      <c r="K2484" s="24"/>
      <c r="L2484" s="24" t="s">
        <v>29</v>
      </c>
    </row>
    <row r="2485">
      <c r="A2485" s="24">
        <f t="shared" si="1"/>
        <v>2483</v>
      </c>
      <c r="B2485" s="24" t="s">
        <v>999</v>
      </c>
      <c r="C2485" s="275">
        <v>43354.0</v>
      </c>
      <c r="D2485" s="24" t="str">
        <f t="shared" si="200"/>
        <v>Sep-2018</v>
      </c>
      <c r="E2485" t="s">
        <v>222</v>
      </c>
      <c r="F2485" s="24" t="s">
        <v>35</v>
      </c>
      <c r="G2485" s="24" t="s">
        <v>361</v>
      </c>
      <c r="H2485" s="24" t="s">
        <v>44</v>
      </c>
      <c r="I2485" s="24" t="s">
        <v>9</v>
      </c>
      <c r="J2485" s="24" t="s">
        <v>24</v>
      </c>
      <c r="K2485" s="24"/>
      <c r="L2485" s="24" t="s">
        <v>29</v>
      </c>
    </row>
    <row r="2486">
      <c r="A2486" s="24">
        <f t="shared" si="1"/>
        <v>2484</v>
      </c>
      <c r="B2486" s="24" t="s">
        <v>999</v>
      </c>
      <c r="C2486" s="275">
        <v>43354.0</v>
      </c>
      <c r="D2486" s="24" t="str">
        <f t="shared" si="200"/>
        <v>Sep-2018</v>
      </c>
      <c r="E2486" t="s">
        <v>467</v>
      </c>
      <c r="F2486" s="24" t="s">
        <v>35</v>
      </c>
      <c r="G2486" s="24" t="s">
        <v>361</v>
      </c>
      <c r="H2486" s="24" t="s">
        <v>44</v>
      </c>
      <c r="I2486" s="24" t="s">
        <v>9</v>
      </c>
      <c r="J2486" s="24" t="s">
        <v>24</v>
      </c>
      <c r="K2486" s="24"/>
      <c r="L2486" s="24" t="s">
        <v>37</v>
      </c>
    </row>
    <row r="2487">
      <c r="A2487" s="24">
        <f t="shared" si="1"/>
        <v>2485</v>
      </c>
      <c r="B2487" s="24" t="s">
        <v>999</v>
      </c>
      <c r="C2487" s="275">
        <v>43354.0</v>
      </c>
      <c r="D2487" s="24" t="str">
        <f t="shared" si="200"/>
        <v>Sep-2018</v>
      </c>
      <c r="E2487" t="s">
        <v>480</v>
      </c>
      <c r="F2487" s="24" t="s">
        <v>35</v>
      </c>
      <c r="G2487" s="24" t="s">
        <v>361</v>
      </c>
      <c r="H2487" s="24" t="s">
        <v>44</v>
      </c>
      <c r="I2487" s="24" t="s">
        <v>9</v>
      </c>
      <c r="J2487" s="24" t="s">
        <v>30</v>
      </c>
      <c r="K2487" s="24"/>
      <c r="L2487" s="24" t="s">
        <v>37</v>
      </c>
    </row>
    <row r="2488">
      <c r="A2488" s="24">
        <f t="shared" si="1"/>
        <v>2486</v>
      </c>
      <c r="B2488" s="24" t="s">
        <v>999</v>
      </c>
      <c r="C2488" s="275">
        <v>43354.0</v>
      </c>
      <c r="D2488" s="24" t="str">
        <f t="shared" si="200"/>
        <v>Sep-2018</v>
      </c>
      <c r="E2488" t="s">
        <v>146</v>
      </c>
      <c r="F2488" s="24" t="s">
        <v>35</v>
      </c>
      <c r="G2488" s="24" t="s">
        <v>452</v>
      </c>
      <c r="H2488" s="24" t="s">
        <v>27</v>
      </c>
      <c r="I2488" s="24" t="s">
        <v>9</v>
      </c>
      <c r="J2488" s="24" t="s">
        <v>30</v>
      </c>
      <c r="K2488" s="24" t="s">
        <v>24</v>
      </c>
      <c r="L2488" s="24" t="s">
        <v>37</v>
      </c>
    </row>
    <row r="2489">
      <c r="A2489" s="24">
        <f t="shared" si="1"/>
        <v>2487</v>
      </c>
      <c r="B2489" s="24" t="s">
        <v>999</v>
      </c>
      <c r="C2489" s="275">
        <v>43354.0</v>
      </c>
      <c r="D2489" s="24" t="str">
        <f t="shared" si="200"/>
        <v>Sep-2018</v>
      </c>
      <c r="E2489" t="s">
        <v>149</v>
      </c>
      <c r="F2489" s="24" t="s">
        <v>35</v>
      </c>
      <c r="G2489" s="24" t="s">
        <v>452</v>
      </c>
      <c r="H2489" s="24" t="s">
        <v>27</v>
      </c>
      <c r="I2489" s="24" t="s">
        <v>9</v>
      </c>
      <c r="J2489" s="24" t="s">
        <v>24</v>
      </c>
      <c r="K2489" s="24"/>
      <c r="L2489" s="24" t="s">
        <v>99</v>
      </c>
    </row>
    <row r="2490">
      <c r="A2490" s="24">
        <f t="shared" si="1"/>
        <v>2488</v>
      </c>
      <c r="B2490" s="24" t="s">
        <v>999</v>
      </c>
      <c r="C2490" s="275">
        <v>43354.0</v>
      </c>
      <c r="D2490" s="24" t="str">
        <f t="shared" si="200"/>
        <v>Sep-2018</v>
      </c>
      <c r="E2490" t="s">
        <v>222</v>
      </c>
      <c r="F2490" s="24" t="s">
        <v>35</v>
      </c>
      <c r="G2490" s="24" t="s">
        <v>452</v>
      </c>
      <c r="H2490" s="24" t="s">
        <v>27</v>
      </c>
      <c r="I2490" s="24" t="s">
        <v>9</v>
      </c>
      <c r="J2490" s="24" t="s">
        <v>24</v>
      </c>
      <c r="K2490" s="24"/>
      <c r="L2490" s="24" t="s">
        <v>98</v>
      </c>
    </row>
    <row r="2491">
      <c r="A2491" s="24">
        <f t="shared" si="1"/>
        <v>2489</v>
      </c>
      <c r="B2491" s="24" t="s">
        <v>999</v>
      </c>
      <c r="C2491" s="275">
        <v>43354.0</v>
      </c>
      <c r="D2491" s="24" t="str">
        <f t="shared" si="200"/>
        <v>Sep-2018</v>
      </c>
      <c r="E2491" t="s">
        <v>467</v>
      </c>
      <c r="F2491" s="24" t="s">
        <v>35</v>
      </c>
      <c r="G2491" s="24" t="s">
        <v>452</v>
      </c>
      <c r="H2491" s="24" t="s">
        <v>27</v>
      </c>
      <c r="I2491" s="24" t="s">
        <v>9</v>
      </c>
      <c r="J2491" s="24" t="s">
        <v>24</v>
      </c>
      <c r="K2491" s="24"/>
      <c r="L2491" s="24" t="s">
        <v>106</v>
      </c>
    </row>
    <row r="2492">
      <c r="A2492" s="24">
        <f t="shared" si="1"/>
        <v>2490</v>
      </c>
      <c r="B2492" s="24" t="s">
        <v>1001</v>
      </c>
      <c r="C2492" s="275">
        <v>43361.0</v>
      </c>
      <c r="D2492" s="24" t="str">
        <f t="shared" ref="D2492:D2499" si="201">TEXT(C2485:C2492, "mmm") &amp; "-" &amp; TEXT(C2485:C2492, "yyyy") </f>
        <v>Sep-2018</v>
      </c>
      <c r="E2492" t="s">
        <v>20</v>
      </c>
      <c r="F2492" s="24" t="s">
        <v>35</v>
      </c>
      <c r="G2492" s="24" t="s">
        <v>122</v>
      </c>
      <c r="H2492" s="24" t="s">
        <v>44</v>
      </c>
      <c r="I2492" s="24" t="s">
        <v>9</v>
      </c>
      <c r="J2492" s="24" t="s">
        <v>30</v>
      </c>
      <c r="K2492" s="24" t="s">
        <v>30</v>
      </c>
      <c r="L2492" s="24" t="s">
        <v>99</v>
      </c>
    </row>
    <row r="2493">
      <c r="A2493" s="24">
        <f t="shared" si="1"/>
        <v>2491</v>
      </c>
      <c r="B2493" s="24" t="s">
        <v>1001</v>
      </c>
      <c r="C2493" s="275">
        <v>43361.0</v>
      </c>
      <c r="D2493" s="24" t="str">
        <f t="shared" si="201"/>
        <v>Sep-2018</v>
      </c>
      <c r="E2493" t="s">
        <v>25</v>
      </c>
      <c r="F2493" s="24" t="s">
        <v>35</v>
      </c>
      <c r="G2493" s="24" t="s">
        <v>122</v>
      </c>
      <c r="H2493" s="24" t="s">
        <v>44</v>
      </c>
      <c r="I2493" s="24" t="s">
        <v>9</v>
      </c>
      <c r="J2493" s="24" t="s">
        <v>30</v>
      </c>
      <c r="K2493" s="24"/>
      <c r="L2493" s="24" t="s">
        <v>98</v>
      </c>
    </row>
    <row r="2494">
      <c r="A2494" s="24">
        <f t="shared" si="1"/>
        <v>2492</v>
      </c>
      <c r="B2494" s="24" t="s">
        <v>1001</v>
      </c>
      <c r="C2494" s="275">
        <v>43361.0</v>
      </c>
      <c r="D2494" s="24" t="str">
        <f t="shared" si="201"/>
        <v>Sep-2018</v>
      </c>
      <c r="E2494" t="s">
        <v>20</v>
      </c>
      <c r="F2494" s="24" t="s">
        <v>35</v>
      </c>
      <c r="G2494" s="24" t="s">
        <v>194</v>
      </c>
      <c r="H2494" s="24" t="s">
        <v>23</v>
      </c>
      <c r="I2494" s="24" t="s">
        <v>9</v>
      </c>
      <c r="J2494" s="24" t="s">
        <v>24</v>
      </c>
      <c r="K2494" s="24" t="s">
        <v>24</v>
      </c>
      <c r="L2494" s="24" t="s">
        <v>37</v>
      </c>
    </row>
    <row r="2495">
      <c r="A2495" s="24">
        <f t="shared" si="1"/>
        <v>2493</v>
      </c>
      <c r="B2495" s="24" t="s">
        <v>1001</v>
      </c>
      <c r="C2495" s="275">
        <v>43361.0</v>
      </c>
      <c r="D2495" s="24" t="str">
        <f t="shared" si="201"/>
        <v>Sep-2018</v>
      </c>
      <c r="E2495" t="s">
        <v>25</v>
      </c>
      <c r="F2495" s="24" t="s">
        <v>35</v>
      </c>
      <c r="G2495" s="24" t="s">
        <v>194</v>
      </c>
      <c r="H2495" s="24" t="s">
        <v>23</v>
      </c>
      <c r="I2495" s="24" t="s">
        <v>9</v>
      </c>
      <c r="J2495" s="24" t="s">
        <v>30</v>
      </c>
      <c r="K2495" s="24"/>
      <c r="L2495" s="24" t="s">
        <v>106</v>
      </c>
    </row>
    <row r="2496">
      <c r="A2496" s="24">
        <f t="shared" si="1"/>
        <v>2494</v>
      </c>
      <c r="B2496" s="24" t="s">
        <v>1001</v>
      </c>
      <c r="C2496" s="275">
        <v>43361.0</v>
      </c>
      <c r="D2496" s="24" t="str">
        <f t="shared" si="201"/>
        <v>Sep-2018</v>
      </c>
      <c r="E2496" t="s">
        <v>32</v>
      </c>
      <c r="F2496" s="24" t="s">
        <v>35</v>
      </c>
      <c r="G2496" s="24" t="s">
        <v>194</v>
      </c>
      <c r="H2496" s="24" t="s">
        <v>23</v>
      </c>
      <c r="I2496" s="24" t="s">
        <v>9</v>
      </c>
      <c r="J2496" s="24" t="s">
        <v>24</v>
      </c>
      <c r="K2496" s="24"/>
      <c r="L2496" s="24" t="s">
        <v>99</v>
      </c>
    </row>
    <row r="2497">
      <c r="A2497" s="24">
        <f t="shared" si="1"/>
        <v>2495</v>
      </c>
      <c r="B2497" s="24" t="s">
        <v>1001</v>
      </c>
      <c r="C2497" s="275">
        <v>43361.0</v>
      </c>
      <c r="D2497" s="24" t="str">
        <f t="shared" si="201"/>
        <v>Sep-2018</v>
      </c>
      <c r="E2497" t="s">
        <v>20</v>
      </c>
      <c r="F2497" s="24" t="s">
        <v>35</v>
      </c>
      <c r="G2497" s="24" t="s">
        <v>302</v>
      </c>
      <c r="H2497" s="24" t="s">
        <v>27</v>
      </c>
      <c r="I2497" s="24" t="s">
        <v>9</v>
      </c>
      <c r="J2497" s="24" t="s">
        <v>30</v>
      </c>
      <c r="K2497" s="24" t="s">
        <v>30</v>
      </c>
      <c r="L2497" s="24" t="s">
        <v>98</v>
      </c>
    </row>
    <row r="2498">
      <c r="A2498" s="24">
        <f t="shared" si="1"/>
        <v>2496</v>
      </c>
      <c r="B2498" s="24" t="s">
        <v>1001</v>
      </c>
      <c r="C2498" s="275">
        <v>43361.0</v>
      </c>
      <c r="D2498" s="24" t="str">
        <f t="shared" si="201"/>
        <v>Sep-2018</v>
      </c>
      <c r="E2498" t="s">
        <v>25</v>
      </c>
      <c r="F2498" s="24" t="s">
        <v>35</v>
      </c>
      <c r="G2498" s="24" t="s">
        <v>302</v>
      </c>
      <c r="H2498" s="24" t="s">
        <v>27</v>
      </c>
      <c r="I2498" s="24" t="s">
        <v>9</v>
      </c>
      <c r="J2498" s="24" t="s">
        <v>30</v>
      </c>
      <c r="K2498" s="24"/>
      <c r="L2498" s="24" t="s">
        <v>69</v>
      </c>
    </row>
    <row r="2499">
      <c r="A2499" s="24">
        <f t="shared" si="1"/>
        <v>2497</v>
      </c>
      <c r="B2499" s="24" t="s">
        <v>1001</v>
      </c>
      <c r="C2499" s="275">
        <v>43361.0</v>
      </c>
      <c r="D2499" s="24" t="str">
        <f t="shared" si="201"/>
        <v>Sep-2018</v>
      </c>
      <c r="E2499" t="s">
        <v>146</v>
      </c>
      <c r="F2499" s="24" t="s">
        <v>35</v>
      </c>
      <c r="G2499" s="24" t="s">
        <v>148</v>
      </c>
      <c r="H2499" s="24" t="s">
        <v>27</v>
      </c>
      <c r="I2499" s="24" t="s">
        <v>9</v>
      </c>
      <c r="J2499" s="24" t="s">
        <v>24</v>
      </c>
      <c r="K2499" s="24" t="s">
        <v>24</v>
      </c>
      <c r="L2499" s="24" t="s">
        <v>29</v>
      </c>
    </row>
    <row r="2500">
      <c r="A2500" s="24">
        <f t="shared" si="1"/>
        <v>2498</v>
      </c>
      <c r="B2500" s="24" t="s">
        <v>1001</v>
      </c>
      <c r="C2500" s="275">
        <v>43361.0</v>
      </c>
      <c r="D2500" s="24" t="str">
        <f t="shared" ref="D2500:D2502" si="202">TEXT(C2492:C2500, "mmm") &amp; "-" &amp; TEXT(C2492:C2500, "yyyy") </f>
        <v>Sep-2018</v>
      </c>
      <c r="E2500" t="s">
        <v>149</v>
      </c>
      <c r="F2500" s="24" t="s">
        <v>35</v>
      </c>
      <c r="G2500" s="24" t="s">
        <v>148</v>
      </c>
      <c r="H2500" s="24" t="s">
        <v>27</v>
      </c>
      <c r="I2500" s="24" t="s">
        <v>9</v>
      </c>
      <c r="J2500" s="24" t="s">
        <v>24</v>
      </c>
      <c r="K2500" s="24"/>
      <c r="L2500" s="24" t="s">
        <v>106</v>
      </c>
    </row>
    <row r="2501">
      <c r="A2501" s="24">
        <f t="shared" si="1"/>
        <v>2499</v>
      </c>
      <c r="B2501" s="24" t="s">
        <v>1001</v>
      </c>
      <c r="C2501" s="275">
        <v>43361.0</v>
      </c>
      <c r="D2501" s="24" t="str">
        <f t="shared" si="202"/>
        <v>Sep-2018</v>
      </c>
      <c r="E2501" t="s">
        <v>222</v>
      </c>
      <c r="F2501" s="24" t="s">
        <v>35</v>
      </c>
      <c r="G2501" s="24" t="s">
        <v>148</v>
      </c>
      <c r="H2501" s="24" t="s">
        <v>27</v>
      </c>
      <c r="I2501" s="24" t="s">
        <v>9</v>
      </c>
      <c r="J2501" s="24" t="s">
        <v>30</v>
      </c>
      <c r="K2501" s="24"/>
      <c r="L2501" s="24" t="s">
        <v>37</v>
      </c>
    </row>
    <row r="2502">
      <c r="A2502" s="24">
        <f t="shared" si="1"/>
        <v>2500</v>
      </c>
      <c r="B2502" s="24" t="s">
        <v>1001</v>
      </c>
      <c r="C2502" s="275">
        <v>43361.0</v>
      </c>
      <c r="D2502" s="24" t="str">
        <f t="shared" si="202"/>
        <v>Sep-2018</v>
      </c>
      <c r="E2502" t="s">
        <v>467</v>
      </c>
      <c r="F2502" s="24" t="s">
        <v>35</v>
      </c>
      <c r="G2502" s="24" t="s">
        <v>148</v>
      </c>
      <c r="H2502" s="24" t="s">
        <v>27</v>
      </c>
      <c r="I2502" s="24" t="s">
        <v>9</v>
      </c>
      <c r="J2502" s="24" t="s">
        <v>24</v>
      </c>
      <c r="K2502" s="24"/>
      <c r="L2502" s="24" t="s">
        <v>69</v>
      </c>
    </row>
    <row r="2503">
      <c r="A2503" s="24">
        <f t="shared" si="1"/>
        <v>2501</v>
      </c>
      <c r="B2503" s="24" t="s">
        <v>1005</v>
      </c>
      <c r="C2503" s="275">
        <v>43368.0</v>
      </c>
      <c r="D2503" s="24" t="str">
        <f t="shared" ref="D2503:D2510" si="203">TEXT(C2496:C2503, "mmm") &amp; "-" &amp; TEXT(C2496:C2503, "yyyy") </f>
        <v>Sep-2018</v>
      </c>
      <c r="E2503" t="s">
        <v>20</v>
      </c>
      <c r="F2503" s="24" t="s">
        <v>35</v>
      </c>
      <c r="G2503" s="24" t="s">
        <v>1006</v>
      </c>
      <c r="H2503" s="24" t="s">
        <v>27</v>
      </c>
      <c r="I2503" s="24" t="s">
        <v>9</v>
      </c>
      <c r="J2503" s="24" t="s">
        <v>30</v>
      </c>
      <c r="K2503" s="24" t="s">
        <v>30</v>
      </c>
      <c r="L2503" s="24" t="s">
        <v>98</v>
      </c>
    </row>
    <row r="2504">
      <c r="A2504" s="24">
        <f t="shared" si="1"/>
        <v>2502</v>
      </c>
      <c r="B2504" s="24" t="s">
        <v>1005</v>
      </c>
      <c r="C2504" s="275">
        <v>43368.0</v>
      </c>
      <c r="D2504" s="24" t="str">
        <f t="shared" si="203"/>
        <v>Sep-2018</v>
      </c>
      <c r="E2504" t="s">
        <v>25</v>
      </c>
      <c r="F2504" s="24" t="s">
        <v>35</v>
      </c>
      <c r="G2504" s="24" t="s">
        <v>1006</v>
      </c>
      <c r="H2504" s="24" t="s">
        <v>27</v>
      </c>
      <c r="I2504" s="24" t="s">
        <v>9</v>
      </c>
      <c r="J2504" s="24" t="s">
        <v>30</v>
      </c>
      <c r="K2504" s="24"/>
      <c r="L2504" s="24" t="s">
        <v>98</v>
      </c>
    </row>
    <row r="2505">
      <c r="A2505" s="24">
        <f t="shared" si="1"/>
        <v>2503</v>
      </c>
      <c r="B2505" s="24" t="s">
        <v>1005</v>
      </c>
      <c r="C2505" s="275">
        <v>43368.0</v>
      </c>
      <c r="D2505" s="24" t="str">
        <f t="shared" si="203"/>
        <v>Sep-2018</v>
      </c>
      <c r="E2505" t="s">
        <v>20</v>
      </c>
      <c r="F2505" s="24" t="s">
        <v>35</v>
      </c>
      <c r="G2505" s="24" t="s">
        <v>782</v>
      </c>
      <c r="H2505" s="24" t="s">
        <v>9</v>
      </c>
      <c r="I2505" s="24" t="s">
        <v>9</v>
      </c>
      <c r="J2505" s="24" t="s">
        <v>30</v>
      </c>
      <c r="K2505" s="24" t="s">
        <v>30</v>
      </c>
      <c r="L2505" s="24" t="s">
        <v>69</v>
      </c>
    </row>
    <row r="2506">
      <c r="A2506" s="24">
        <f t="shared" si="1"/>
        <v>2504</v>
      </c>
      <c r="B2506" s="24" t="s">
        <v>1005</v>
      </c>
      <c r="C2506" s="275">
        <v>43368.0</v>
      </c>
      <c r="D2506" s="24" t="str">
        <f t="shared" si="203"/>
        <v>Sep-2018</v>
      </c>
      <c r="E2506" t="s">
        <v>25</v>
      </c>
      <c r="F2506" s="24" t="s">
        <v>35</v>
      </c>
      <c r="G2506" s="24" t="s">
        <v>782</v>
      </c>
      <c r="H2506" s="24" t="s">
        <v>9</v>
      </c>
      <c r="I2506" s="24" t="s">
        <v>9</v>
      </c>
      <c r="J2506" s="24" t="s">
        <v>30</v>
      </c>
      <c r="K2506" s="24"/>
      <c r="L2506" s="24" t="s">
        <v>69</v>
      </c>
    </row>
    <row r="2507">
      <c r="A2507" s="24">
        <f t="shared" si="1"/>
        <v>2505</v>
      </c>
      <c r="B2507" s="24" t="s">
        <v>1005</v>
      </c>
      <c r="C2507" s="275">
        <v>43368.0</v>
      </c>
      <c r="D2507" s="24" t="str">
        <f t="shared" si="203"/>
        <v>Sep-2018</v>
      </c>
      <c r="E2507" t="s">
        <v>146</v>
      </c>
      <c r="F2507" s="24" t="s">
        <v>35</v>
      </c>
      <c r="G2507" s="24" t="s">
        <v>452</v>
      </c>
      <c r="H2507" s="24" t="s">
        <v>27</v>
      </c>
      <c r="I2507" s="24" t="s">
        <v>9</v>
      </c>
      <c r="J2507" s="24" t="s">
        <v>30</v>
      </c>
      <c r="K2507" s="24" t="s">
        <v>24</v>
      </c>
      <c r="L2507" s="24" t="s">
        <v>37</v>
      </c>
    </row>
    <row r="2508">
      <c r="A2508" s="24">
        <f t="shared" si="1"/>
        <v>2506</v>
      </c>
      <c r="B2508" s="24" t="s">
        <v>1005</v>
      </c>
      <c r="C2508" s="275">
        <v>43368.0</v>
      </c>
      <c r="D2508" s="24" t="str">
        <f t="shared" si="203"/>
        <v>Sep-2018</v>
      </c>
      <c r="E2508" t="s">
        <v>149</v>
      </c>
      <c r="F2508" s="24" t="s">
        <v>35</v>
      </c>
      <c r="G2508" s="24" t="s">
        <v>452</v>
      </c>
      <c r="H2508" s="24" t="s">
        <v>27</v>
      </c>
      <c r="I2508" s="24" t="s">
        <v>9</v>
      </c>
      <c r="J2508" s="24" t="s">
        <v>24</v>
      </c>
      <c r="K2508" s="24"/>
      <c r="L2508" s="24" t="s">
        <v>99</v>
      </c>
    </row>
    <row r="2509">
      <c r="A2509" s="24">
        <f t="shared" si="1"/>
        <v>2507</v>
      </c>
      <c r="B2509" s="24" t="s">
        <v>1005</v>
      </c>
      <c r="C2509" s="275">
        <v>43368.0</v>
      </c>
      <c r="D2509" s="24" t="str">
        <f t="shared" si="203"/>
        <v>Sep-2018</v>
      </c>
      <c r="E2509" t="s">
        <v>222</v>
      </c>
      <c r="F2509" s="24" t="s">
        <v>35</v>
      </c>
      <c r="G2509" s="24" t="s">
        <v>452</v>
      </c>
      <c r="H2509" s="24" t="s">
        <v>27</v>
      </c>
      <c r="I2509" s="24" t="s">
        <v>9</v>
      </c>
      <c r="J2509" s="24" t="s">
        <v>30</v>
      </c>
      <c r="K2509" s="24"/>
      <c r="L2509" s="24" t="s">
        <v>106</v>
      </c>
    </row>
    <row r="2510">
      <c r="A2510" s="24">
        <f t="shared" si="1"/>
        <v>2508</v>
      </c>
      <c r="B2510" s="24" t="s">
        <v>1005</v>
      </c>
      <c r="C2510" s="275">
        <v>43368.0</v>
      </c>
      <c r="D2510" s="24" t="str">
        <f t="shared" si="203"/>
        <v>Sep-2018</v>
      </c>
      <c r="E2510" t="s">
        <v>467</v>
      </c>
      <c r="F2510" s="24" t="s">
        <v>35</v>
      </c>
      <c r="G2510" s="24" t="s">
        <v>452</v>
      </c>
      <c r="H2510" s="24" t="s">
        <v>27</v>
      </c>
      <c r="I2510" s="24" t="s">
        <v>9</v>
      </c>
      <c r="J2510" s="24" t="s">
        <v>24</v>
      </c>
      <c r="K2510" s="24"/>
      <c r="L2510" s="24" t="s">
        <v>29</v>
      </c>
    </row>
    <row r="2511">
      <c r="A2511" s="24">
        <f t="shared" si="1"/>
        <v>2509</v>
      </c>
      <c r="B2511" s="24" t="s">
        <v>1005</v>
      </c>
      <c r="C2511" s="275">
        <v>43368.0</v>
      </c>
      <c r="D2511" s="24" t="str">
        <f t="shared" ref="D2511:D2520" si="204">TEXT(C2503:C2511, "mmm") &amp; "-" &amp; TEXT(C2503:C2511, "yyyy") </f>
        <v>Sep-2018</v>
      </c>
      <c r="E2511" t="s">
        <v>480</v>
      </c>
      <c r="F2511" s="24" t="s">
        <v>35</v>
      </c>
      <c r="G2511" s="24" t="s">
        <v>452</v>
      </c>
      <c r="H2511" s="24" t="s">
        <v>27</v>
      </c>
      <c r="I2511" s="24" t="s">
        <v>9</v>
      </c>
      <c r="J2511" s="24" t="s">
        <v>24</v>
      </c>
      <c r="K2511" s="24"/>
      <c r="L2511" s="24" t="s">
        <v>98</v>
      </c>
    </row>
    <row r="2512">
      <c r="A2512" s="24">
        <f t="shared" si="1"/>
        <v>2510</v>
      </c>
      <c r="B2512" s="24" t="s">
        <v>1005</v>
      </c>
      <c r="C2512" s="275">
        <v>43368.0</v>
      </c>
      <c r="D2512" s="24" t="str">
        <f t="shared" si="204"/>
        <v>Sep-2018</v>
      </c>
      <c r="E2512" t="s">
        <v>146</v>
      </c>
      <c r="F2512" s="24" t="s">
        <v>35</v>
      </c>
      <c r="G2512" s="24" t="s">
        <v>1006</v>
      </c>
      <c r="H2512" s="24" t="s">
        <v>27</v>
      </c>
      <c r="I2512" s="24" t="s">
        <v>9</v>
      </c>
      <c r="J2512" s="24" t="s">
        <v>24</v>
      </c>
      <c r="K2512" s="24" t="s">
        <v>30</v>
      </c>
      <c r="L2512" s="24" t="s">
        <v>98</v>
      </c>
    </row>
    <row r="2513">
      <c r="A2513" s="24">
        <f t="shared" si="1"/>
        <v>2511</v>
      </c>
      <c r="B2513" s="24" t="s">
        <v>1005</v>
      </c>
      <c r="C2513" s="275">
        <v>43368.0</v>
      </c>
      <c r="D2513" s="24" t="str">
        <f t="shared" si="204"/>
        <v>Sep-2018</v>
      </c>
      <c r="E2513" t="s">
        <v>149</v>
      </c>
      <c r="F2513" s="24" t="s">
        <v>35</v>
      </c>
      <c r="G2513" s="24" t="s">
        <v>1006</v>
      </c>
      <c r="H2513" s="24" t="s">
        <v>27</v>
      </c>
      <c r="I2513" s="24" t="s">
        <v>9</v>
      </c>
      <c r="J2513" s="24" t="s">
        <v>30</v>
      </c>
      <c r="K2513" s="24"/>
      <c r="L2513" s="24" t="s">
        <v>29</v>
      </c>
    </row>
    <row r="2514">
      <c r="A2514" s="24">
        <f t="shared" si="1"/>
        <v>2512</v>
      </c>
      <c r="B2514" s="24" t="s">
        <v>1005</v>
      </c>
      <c r="C2514" s="275">
        <v>43368.0</v>
      </c>
      <c r="D2514" s="24" t="str">
        <f t="shared" si="204"/>
        <v>Sep-2018</v>
      </c>
      <c r="E2514" t="s">
        <v>222</v>
      </c>
      <c r="F2514" s="24" t="s">
        <v>35</v>
      </c>
      <c r="G2514" s="24" t="s">
        <v>1006</v>
      </c>
      <c r="H2514" s="24" t="s">
        <v>27</v>
      </c>
      <c r="I2514" s="24" t="s">
        <v>9</v>
      </c>
      <c r="J2514" s="24" t="s">
        <v>30</v>
      </c>
      <c r="K2514" s="24"/>
      <c r="L2514" s="24" t="s">
        <v>99</v>
      </c>
    </row>
    <row r="2515">
      <c r="A2515" s="24">
        <f t="shared" si="1"/>
        <v>2513</v>
      </c>
      <c r="B2515" s="24" t="s">
        <v>1005</v>
      </c>
      <c r="C2515" s="275">
        <v>43368.0</v>
      </c>
      <c r="D2515" s="24" t="str">
        <f t="shared" si="204"/>
        <v>Sep-2018</v>
      </c>
      <c r="E2515" t="s">
        <v>467</v>
      </c>
      <c r="F2515" s="24" t="s">
        <v>35</v>
      </c>
      <c r="G2515" s="24" t="s">
        <v>1006</v>
      </c>
      <c r="H2515" s="24" t="s">
        <v>27</v>
      </c>
      <c r="I2515" s="24" t="s">
        <v>9</v>
      </c>
      <c r="J2515" s="24" t="s">
        <v>30</v>
      </c>
      <c r="K2515" s="24"/>
      <c r="L2515" s="24" t="s">
        <v>37</v>
      </c>
    </row>
    <row r="2516">
      <c r="A2516" s="24">
        <f t="shared" si="1"/>
        <v>2514</v>
      </c>
      <c r="B2516" s="24" t="s">
        <v>1005</v>
      </c>
      <c r="C2516" s="275">
        <v>43368.0</v>
      </c>
      <c r="D2516" s="24" t="str">
        <f t="shared" si="204"/>
        <v>Sep-2018</v>
      </c>
      <c r="E2516" t="s">
        <v>146</v>
      </c>
      <c r="F2516" s="24" t="s">
        <v>35</v>
      </c>
      <c r="G2516" s="24" t="s">
        <v>394</v>
      </c>
      <c r="H2516" s="24" t="s">
        <v>27</v>
      </c>
      <c r="I2516" s="24" t="s">
        <v>9</v>
      </c>
      <c r="J2516" s="24" t="s">
        <v>24</v>
      </c>
      <c r="K2516" s="24" t="s">
        <v>24</v>
      </c>
      <c r="L2516" s="24" t="s">
        <v>37</v>
      </c>
    </row>
    <row r="2517">
      <c r="A2517" s="24">
        <f t="shared" si="1"/>
        <v>2515</v>
      </c>
      <c r="B2517" s="24" t="s">
        <v>1005</v>
      </c>
      <c r="C2517" s="275">
        <v>43368.0</v>
      </c>
      <c r="D2517" s="24" t="str">
        <f t="shared" si="204"/>
        <v>Sep-2018</v>
      </c>
      <c r="E2517" t="s">
        <v>149</v>
      </c>
      <c r="F2517" s="24" t="s">
        <v>35</v>
      </c>
      <c r="G2517" s="24" t="s">
        <v>394</v>
      </c>
      <c r="H2517" s="24" t="s">
        <v>27</v>
      </c>
      <c r="I2517" s="24" t="s">
        <v>9</v>
      </c>
      <c r="J2517" s="24" t="s">
        <v>30</v>
      </c>
      <c r="K2517" s="24"/>
      <c r="L2517" s="24" t="s">
        <v>106</v>
      </c>
    </row>
    <row r="2518">
      <c r="A2518" s="24">
        <f t="shared" si="1"/>
        <v>2516</v>
      </c>
      <c r="B2518" s="24" t="s">
        <v>1005</v>
      </c>
      <c r="C2518" s="275">
        <v>43368.0</v>
      </c>
      <c r="D2518" s="24" t="str">
        <f t="shared" si="204"/>
        <v>Sep-2018</v>
      </c>
      <c r="E2518" t="s">
        <v>222</v>
      </c>
      <c r="F2518" s="24" t="s">
        <v>35</v>
      </c>
      <c r="G2518" s="24" t="s">
        <v>394</v>
      </c>
      <c r="H2518" s="24" t="s">
        <v>27</v>
      </c>
      <c r="I2518" s="24" t="s">
        <v>9</v>
      </c>
      <c r="J2518" s="24" t="s">
        <v>30</v>
      </c>
      <c r="K2518" s="24"/>
      <c r="L2518" s="24" t="s">
        <v>69</v>
      </c>
    </row>
    <row r="2519">
      <c r="A2519" s="24">
        <f t="shared" si="1"/>
        <v>2517</v>
      </c>
      <c r="B2519" s="24" t="s">
        <v>1005</v>
      </c>
      <c r="C2519" s="275">
        <v>43368.0</v>
      </c>
      <c r="D2519" s="24" t="str">
        <f t="shared" si="204"/>
        <v>Sep-2018</v>
      </c>
      <c r="E2519" t="s">
        <v>467</v>
      </c>
      <c r="F2519" s="24" t="s">
        <v>35</v>
      </c>
      <c r="G2519" s="24" t="s">
        <v>394</v>
      </c>
      <c r="H2519" s="24" t="s">
        <v>27</v>
      </c>
      <c r="I2519" s="24" t="s">
        <v>9</v>
      </c>
      <c r="J2519" s="24" t="s">
        <v>24</v>
      </c>
      <c r="K2519" s="24"/>
      <c r="L2519" s="24" t="s">
        <v>29</v>
      </c>
    </row>
    <row r="2520">
      <c r="A2520" s="24">
        <f t="shared" si="1"/>
        <v>2518</v>
      </c>
      <c r="B2520" s="24" t="s">
        <v>1005</v>
      </c>
      <c r="C2520" s="275">
        <v>43368.0</v>
      </c>
      <c r="D2520" s="24" t="str">
        <f t="shared" si="204"/>
        <v>Sep-2018</v>
      </c>
      <c r="E2520" t="s">
        <v>480</v>
      </c>
      <c r="F2520" s="24" t="s">
        <v>35</v>
      </c>
      <c r="G2520" s="24" t="s">
        <v>394</v>
      </c>
      <c r="H2520" s="24" t="s">
        <v>27</v>
      </c>
      <c r="I2520" s="24" t="s">
        <v>9</v>
      </c>
      <c r="J2520" s="24" t="s">
        <v>24</v>
      </c>
      <c r="K2520" s="24"/>
      <c r="L2520" s="24" t="s">
        <v>98</v>
      </c>
    </row>
    <row r="2521">
      <c r="A2521" s="24">
        <f t="shared" si="1"/>
        <v>2519</v>
      </c>
      <c r="B2521" s="24" t="s">
        <v>1008</v>
      </c>
      <c r="C2521" s="275">
        <v>43375.0</v>
      </c>
      <c r="D2521" s="24" t="str">
        <f t="shared" ref="D2521:D2528" si="205">TEXT(C2514:C2521, "mmm") &amp; "-" &amp; TEXT(C2514:C2521, "yyyy") </f>
        <v>Oct-2018</v>
      </c>
      <c r="E2521" t="s">
        <v>20</v>
      </c>
      <c r="F2521" s="24" t="s">
        <v>35</v>
      </c>
      <c r="G2521" s="24" t="s">
        <v>302</v>
      </c>
      <c r="H2521" s="24" t="s">
        <v>27</v>
      </c>
      <c r="I2521" s="24" t="s">
        <v>9</v>
      </c>
      <c r="J2521" s="24" t="s">
        <v>30</v>
      </c>
      <c r="K2521" s="24" t="s">
        <v>30</v>
      </c>
      <c r="L2521" s="24" t="s">
        <v>69</v>
      </c>
    </row>
    <row r="2522">
      <c r="A2522" s="24">
        <f t="shared" si="1"/>
        <v>2520</v>
      </c>
      <c r="B2522" s="24" t="s">
        <v>1008</v>
      </c>
      <c r="C2522" s="275">
        <v>43375.0</v>
      </c>
      <c r="D2522" s="24" t="str">
        <f t="shared" si="205"/>
        <v>Oct-2018</v>
      </c>
      <c r="E2522" t="s">
        <v>25</v>
      </c>
      <c r="F2522" s="24" t="s">
        <v>35</v>
      </c>
      <c r="G2522" s="24" t="s">
        <v>302</v>
      </c>
      <c r="H2522" s="24" t="s">
        <v>27</v>
      </c>
      <c r="I2522" s="24" t="s">
        <v>9</v>
      </c>
      <c r="J2522" s="24" t="s">
        <v>30</v>
      </c>
      <c r="K2522" s="24"/>
      <c r="L2522" s="24" t="s">
        <v>29</v>
      </c>
    </row>
    <row r="2523">
      <c r="A2523" s="24">
        <f t="shared" si="1"/>
        <v>2521</v>
      </c>
      <c r="B2523" s="24" t="s">
        <v>1008</v>
      </c>
      <c r="C2523" s="275">
        <v>43375.0</v>
      </c>
      <c r="D2523" s="24" t="str">
        <f t="shared" si="205"/>
        <v>Oct-2018</v>
      </c>
      <c r="E2523" t="s">
        <v>20</v>
      </c>
      <c r="F2523" s="24" t="s">
        <v>35</v>
      </c>
      <c r="G2523" s="24" t="s">
        <v>361</v>
      </c>
      <c r="H2523" s="24" t="s">
        <v>44</v>
      </c>
      <c r="I2523" s="24" t="s">
        <v>9</v>
      </c>
      <c r="J2523" s="24" t="s">
        <v>30</v>
      </c>
      <c r="K2523" s="24" t="s">
        <v>24</v>
      </c>
      <c r="L2523" s="24" t="s">
        <v>69</v>
      </c>
    </row>
    <row r="2524">
      <c r="A2524" s="24">
        <f t="shared" si="1"/>
        <v>2522</v>
      </c>
      <c r="B2524" s="24" t="s">
        <v>1008</v>
      </c>
      <c r="C2524" s="275">
        <v>43375.0</v>
      </c>
      <c r="D2524" s="24" t="str">
        <f t="shared" si="205"/>
        <v>Oct-2018</v>
      </c>
      <c r="E2524" t="s">
        <v>25</v>
      </c>
      <c r="F2524" s="24" t="s">
        <v>35</v>
      </c>
      <c r="G2524" s="24" t="s">
        <v>361</v>
      </c>
      <c r="H2524" s="24" t="s">
        <v>44</v>
      </c>
      <c r="I2524" s="24" t="s">
        <v>9</v>
      </c>
      <c r="J2524" s="24" t="s">
        <v>24</v>
      </c>
      <c r="K2524" s="24"/>
      <c r="L2524" s="24" t="s">
        <v>99</v>
      </c>
    </row>
    <row r="2525">
      <c r="A2525" s="24">
        <f t="shared" si="1"/>
        <v>2523</v>
      </c>
      <c r="B2525" s="24" t="s">
        <v>1008</v>
      </c>
      <c r="C2525" s="275">
        <v>43375.0</v>
      </c>
      <c r="D2525" s="24" t="str">
        <f t="shared" si="205"/>
        <v>Oct-2018</v>
      </c>
      <c r="E2525" t="s">
        <v>32</v>
      </c>
      <c r="F2525" s="24" t="s">
        <v>35</v>
      </c>
      <c r="G2525" s="24" t="s">
        <v>361</v>
      </c>
      <c r="H2525" s="24" t="s">
        <v>44</v>
      </c>
      <c r="I2525" s="24" t="s">
        <v>9</v>
      </c>
      <c r="J2525" s="24" t="s">
        <v>24</v>
      </c>
      <c r="K2525" s="24"/>
      <c r="L2525" s="24" t="s">
        <v>106</v>
      </c>
    </row>
    <row r="2526">
      <c r="A2526" s="24">
        <f t="shared" si="1"/>
        <v>2524</v>
      </c>
      <c r="B2526" s="24" t="s">
        <v>1008</v>
      </c>
      <c r="C2526" s="275">
        <v>43375.0</v>
      </c>
      <c r="D2526" s="24" t="str">
        <f t="shared" si="205"/>
        <v>Oct-2018</v>
      </c>
      <c r="E2526" t="s">
        <v>20</v>
      </c>
      <c r="F2526" s="24" t="s">
        <v>35</v>
      </c>
      <c r="G2526" s="24" t="s">
        <v>976</v>
      </c>
      <c r="H2526" s="24" t="s">
        <v>48</v>
      </c>
      <c r="I2526" s="24" t="s">
        <v>9</v>
      </c>
      <c r="J2526" s="24" t="s">
        <v>30</v>
      </c>
      <c r="K2526" s="24" t="s">
        <v>30</v>
      </c>
      <c r="L2526" s="24" t="s">
        <v>98</v>
      </c>
    </row>
    <row r="2527">
      <c r="A2527" s="24">
        <f t="shared" si="1"/>
        <v>2525</v>
      </c>
      <c r="B2527" s="24" t="s">
        <v>1008</v>
      </c>
      <c r="C2527" s="275">
        <v>43375.0</v>
      </c>
      <c r="D2527" s="24" t="str">
        <f t="shared" si="205"/>
        <v>Oct-2018</v>
      </c>
      <c r="E2527" t="s">
        <v>25</v>
      </c>
      <c r="F2527" s="24" t="s">
        <v>35</v>
      </c>
      <c r="G2527" s="24" t="s">
        <v>976</v>
      </c>
      <c r="H2527" s="24" t="s">
        <v>48</v>
      </c>
      <c r="I2527" s="24" t="s">
        <v>9</v>
      </c>
      <c r="J2527" s="24" t="s">
        <v>30</v>
      </c>
      <c r="K2527" s="24"/>
      <c r="L2527" s="24" t="s">
        <v>98</v>
      </c>
    </row>
    <row r="2528">
      <c r="A2528" s="24">
        <f t="shared" si="1"/>
        <v>2526</v>
      </c>
      <c r="B2528" s="24" t="s">
        <v>1008</v>
      </c>
      <c r="C2528" s="275">
        <v>43375.0</v>
      </c>
      <c r="D2528" s="24" t="str">
        <f t="shared" si="205"/>
        <v>Oct-2018</v>
      </c>
      <c r="E2528" t="s">
        <v>146</v>
      </c>
      <c r="F2528" s="24" t="s">
        <v>35</v>
      </c>
      <c r="G2528" s="24" t="s">
        <v>451</v>
      </c>
      <c r="H2528" s="24" t="s">
        <v>139</v>
      </c>
      <c r="I2528" s="24" t="s">
        <v>9</v>
      </c>
      <c r="J2528" s="24" t="s">
        <v>30</v>
      </c>
      <c r="K2528" s="24" t="s">
        <v>30</v>
      </c>
      <c r="L2528" s="24" t="s">
        <v>98</v>
      </c>
    </row>
    <row r="2529">
      <c r="A2529" s="24">
        <f t="shared" si="1"/>
        <v>2527</v>
      </c>
      <c r="B2529" s="24" t="s">
        <v>1008</v>
      </c>
      <c r="C2529" s="275">
        <v>43375.0</v>
      </c>
      <c r="D2529" s="24" t="str">
        <f t="shared" ref="D2529:D2541" si="206">TEXT(C2521:C2529, "mmm") &amp; "-" &amp; TEXT(C2521:C2529, "yyyy") </f>
        <v>Oct-2018</v>
      </c>
      <c r="E2529" t="s">
        <v>149</v>
      </c>
      <c r="F2529" s="24" t="s">
        <v>35</v>
      </c>
      <c r="G2529" s="24" t="s">
        <v>451</v>
      </c>
      <c r="H2529" s="24" t="s">
        <v>139</v>
      </c>
      <c r="I2529" s="24" t="s">
        <v>9</v>
      </c>
      <c r="J2529" s="24" t="s">
        <v>30</v>
      </c>
      <c r="K2529" s="24"/>
      <c r="L2529" s="24" t="s">
        <v>29</v>
      </c>
    </row>
    <row r="2530">
      <c r="A2530" s="24">
        <f t="shared" si="1"/>
        <v>2528</v>
      </c>
      <c r="B2530" s="24" t="s">
        <v>1008</v>
      </c>
      <c r="C2530" s="275">
        <v>43375.0</v>
      </c>
      <c r="D2530" s="24" t="str">
        <f t="shared" si="206"/>
        <v>Oct-2018</v>
      </c>
      <c r="E2530" t="s">
        <v>222</v>
      </c>
      <c r="F2530" s="24" t="s">
        <v>35</v>
      </c>
      <c r="G2530" s="24" t="s">
        <v>451</v>
      </c>
      <c r="H2530" s="24" t="s">
        <v>139</v>
      </c>
      <c r="I2530" s="24" t="s">
        <v>9</v>
      </c>
      <c r="J2530" s="24" t="s">
        <v>30</v>
      </c>
      <c r="K2530" s="24"/>
      <c r="L2530" s="24" t="s">
        <v>29</v>
      </c>
    </row>
    <row r="2531">
      <c r="A2531" s="24">
        <f t="shared" si="1"/>
        <v>2529</v>
      </c>
      <c r="B2531" s="24" t="s">
        <v>1008</v>
      </c>
      <c r="C2531" s="275">
        <v>43375.0</v>
      </c>
      <c r="D2531" s="24" t="str">
        <f t="shared" si="206"/>
        <v>Oct-2018</v>
      </c>
      <c r="E2531" t="s">
        <v>146</v>
      </c>
      <c r="F2531" s="24" t="s">
        <v>35</v>
      </c>
      <c r="G2531" s="24" t="s">
        <v>184</v>
      </c>
      <c r="H2531" s="24" t="s">
        <v>9</v>
      </c>
      <c r="I2531" s="24" t="s">
        <v>9</v>
      </c>
      <c r="J2531" s="24" t="s">
        <v>30</v>
      </c>
      <c r="K2531" s="24" t="s">
        <v>30</v>
      </c>
      <c r="L2531" s="24" t="s">
        <v>69</v>
      </c>
    </row>
    <row r="2532">
      <c r="A2532" s="24">
        <f t="shared" si="1"/>
        <v>2530</v>
      </c>
      <c r="B2532" s="24" t="s">
        <v>1008</v>
      </c>
      <c r="C2532" s="275">
        <v>43375.0</v>
      </c>
      <c r="D2532" s="24" t="str">
        <f t="shared" si="206"/>
        <v>Oct-2018</v>
      </c>
      <c r="E2532" t="s">
        <v>149</v>
      </c>
      <c r="F2532" s="24" t="s">
        <v>35</v>
      </c>
      <c r="G2532" s="24" t="s">
        <v>184</v>
      </c>
      <c r="H2532" s="24" t="s">
        <v>44</v>
      </c>
      <c r="I2532" s="24" t="s">
        <v>9</v>
      </c>
      <c r="J2532" s="24" t="s">
        <v>24</v>
      </c>
      <c r="K2532" s="24"/>
      <c r="L2532" s="24" t="s">
        <v>69</v>
      </c>
    </row>
    <row r="2533">
      <c r="A2533" s="24">
        <f t="shared" si="1"/>
        <v>2531</v>
      </c>
      <c r="B2533" s="24" t="s">
        <v>1008</v>
      </c>
      <c r="C2533" s="275">
        <v>43375.0</v>
      </c>
      <c r="D2533" s="24" t="str">
        <f t="shared" si="206"/>
        <v>Oct-2018</v>
      </c>
      <c r="E2533" t="s">
        <v>222</v>
      </c>
      <c r="F2533" s="24" t="s">
        <v>35</v>
      </c>
      <c r="G2533" s="24" t="s">
        <v>184</v>
      </c>
      <c r="H2533" s="24" t="s">
        <v>44</v>
      </c>
      <c r="I2533" s="24" t="s">
        <v>9</v>
      </c>
      <c r="J2533" s="24" t="s">
        <v>30</v>
      </c>
      <c r="K2533" s="24"/>
      <c r="L2533" s="24" t="s">
        <v>106</v>
      </c>
    </row>
    <row r="2534">
      <c r="A2534" s="24">
        <f t="shared" si="1"/>
        <v>2532</v>
      </c>
      <c r="B2534" s="24" t="s">
        <v>1008</v>
      </c>
      <c r="C2534" s="275">
        <v>43375.0</v>
      </c>
      <c r="D2534" s="24" t="str">
        <f t="shared" si="206"/>
        <v>Oct-2018</v>
      </c>
      <c r="E2534" t="s">
        <v>467</v>
      </c>
      <c r="F2534" s="24" t="s">
        <v>35</v>
      </c>
      <c r="G2534" s="24" t="s">
        <v>184</v>
      </c>
      <c r="H2534" s="24" t="s">
        <v>44</v>
      </c>
      <c r="I2534" s="24" t="s">
        <v>9</v>
      </c>
      <c r="J2534" s="24" t="s">
        <v>30</v>
      </c>
      <c r="K2534" s="24"/>
      <c r="L2534" s="24" t="s">
        <v>99</v>
      </c>
    </row>
    <row r="2535">
      <c r="A2535" s="24">
        <f t="shared" si="1"/>
        <v>2533</v>
      </c>
      <c r="B2535" s="24" t="s">
        <v>1008</v>
      </c>
      <c r="C2535" s="275">
        <v>43375.0</v>
      </c>
      <c r="D2535" s="24" t="str">
        <f t="shared" si="206"/>
        <v>Oct-2018</v>
      </c>
      <c r="E2535" t="s">
        <v>146</v>
      </c>
      <c r="F2535" s="24" t="s">
        <v>35</v>
      </c>
      <c r="G2535" s="24" t="s">
        <v>361</v>
      </c>
      <c r="H2535" s="24" t="s">
        <v>44</v>
      </c>
      <c r="I2535" s="24" t="s">
        <v>9</v>
      </c>
      <c r="J2535" s="24" t="s">
        <v>30</v>
      </c>
      <c r="K2535" s="24" t="s">
        <v>30</v>
      </c>
      <c r="L2535" s="24" t="s">
        <v>69</v>
      </c>
    </row>
    <row r="2536">
      <c r="A2536" s="24">
        <f t="shared" si="1"/>
        <v>2534</v>
      </c>
      <c r="B2536" s="24" t="s">
        <v>1008</v>
      </c>
      <c r="C2536" s="275">
        <v>43375.0</v>
      </c>
      <c r="D2536" s="24" t="str">
        <f t="shared" si="206"/>
        <v>Oct-2018</v>
      </c>
      <c r="E2536" t="s">
        <v>149</v>
      </c>
      <c r="F2536" s="24" t="s">
        <v>35</v>
      </c>
      <c r="G2536" s="24" t="s">
        <v>361</v>
      </c>
      <c r="H2536" s="24" t="s">
        <v>44</v>
      </c>
      <c r="I2536" s="24" t="s">
        <v>9</v>
      </c>
      <c r="J2536" s="24" t="s">
        <v>24</v>
      </c>
      <c r="K2536" s="24"/>
      <c r="L2536" s="24" t="s">
        <v>29</v>
      </c>
    </row>
    <row r="2537">
      <c r="A2537" s="24">
        <f t="shared" si="1"/>
        <v>2535</v>
      </c>
      <c r="B2537" s="24" t="s">
        <v>1008</v>
      </c>
      <c r="C2537" s="275">
        <v>43375.0</v>
      </c>
      <c r="D2537" s="24" t="str">
        <f t="shared" si="206"/>
        <v>Oct-2018</v>
      </c>
      <c r="E2537" t="s">
        <v>222</v>
      </c>
      <c r="F2537" s="24" t="s">
        <v>35</v>
      </c>
      <c r="G2537" s="24" t="s">
        <v>361</v>
      </c>
      <c r="H2537" s="24" t="s">
        <v>44</v>
      </c>
      <c r="I2537" s="24" t="s">
        <v>9</v>
      </c>
      <c r="J2537" s="24" t="s">
        <v>30</v>
      </c>
      <c r="K2537" s="24"/>
      <c r="L2537" s="24" t="s">
        <v>37</v>
      </c>
    </row>
    <row r="2538">
      <c r="A2538" s="24">
        <f t="shared" si="1"/>
        <v>2536</v>
      </c>
      <c r="B2538" s="24" t="s">
        <v>1008</v>
      </c>
      <c r="C2538" s="275">
        <v>43375.0</v>
      </c>
      <c r="D2538" s="24" t="str">
        <f t="shared" si="206"/>
        <v>Oct-2018</v>
      </c>
      <c r="E2538" t="s">
        <v>467</v>
      </c>
      <c r="F2538" s="24" t="s">
        <v>35</v>
      </c>
      <c r="G2538" s="24" t="s">
        <v>361</v>
      </c>
      <c r="H2538" s="24" t="s">
        <v>44</v>
      </c>
      <c r="I2538" s="24" t="s">
        <v>9</v>
      </c>
      <c r="J2538" s="24" t="s">
        <v>30</v>
      </c>
      <c r="K2538" s="24"/>
      <c r="L2538" s="24" t="s">
        <v>99</v>
      </c>
    </row>
    <row r="2539">
      <c r="A2539" s="24">
        <f t="shared" si="1"/>
        <v>2537</v>
      </c>
      <c r="B2539" s="24" t="s">
        <v>1008</v>
      </c>
      <c r="C2539" s="275">
        <v>43375.0</v>
      </c>
      <c r="D2539" s="24" t="str">
        <f t="shared" si="206"/>
        <v>Oct-2018</v>
      </c>
      <c r="E2539" t="s">
        <v>146</v>
      </c>
      <c r="F2539" s="24" t="s">
        <v>35</v>
      </c>
      <c r="G2539" s="24" t="s">
        <v>947</v>
      </c>
      <c r="H2539" s="24" t="s">
        <v>71</v>
      </c>
      <c r="I2539" s="24" t="s">
        <v>9</v>
      </c>
      <c r="J2539" s="24" t="s">
        <v>24</v>
      </c>
      <c r="K2539" s="24" t="s">
        <v>24</v>
      </c>
      <c r="L2539" s="24" t="s">
        <v>98</v>
      </c>
    </row>
    <row r="2540">
      <c r="A2540" s="24">
        <f t="shared" si="1"/>
        <v>2538</v>
      </c>
      <c r="B2540" s="24" t="s">
        <v>1008</v>
      </c>
      <c r="C2540" s="275">
        <v>43375.0</v>
      </c>
      <c r="D2540" s="24" t="str">
        <f t="shared" si="206"/>
        <v>Oct-2018</v>
      </c>
      <c r="E2540" t="s">
        <v>149</v>
      </c>
      <c r="F2540" s="24" t="s">
        <v>35</v>
      </c>
      <c r="G2540" s="24" t="s">
        <v>947</v>
      </c>
      <c r="H2540" s="24" t="s">
        <v>71</v>
      </c>
      <c r="I2540" s="24" t="s">
        <v>9</v>
      </c>
      <c r="J2540" s="24" t="s">
        <v>24</v>
      </c>
      <c r="K2540" s="24"/>
      <c r="L2540" s="24" t="s">
        <v>69</v>
      </c>
    </row>
    <row r="2541">
      <c r="A2541" s="24">
        <f t="shared" si="1"/>
        <v>2539</v>
      </c>
      <c r="B2541" s="24" t="s">
        <v>1008</v>
      </c>
      <c r="C2541" s="275">
        <v>43375.0</v>
      </c>
      <c r="D2541" s="24" t="str">
        <f t="shared" si="206"/>
        <v>Oct-2018</v>
      </c>
      <c r="E2541" t="s">
        <v>222</v>
      </c>
      <c r="F2541" s="24" t="s">
        <v>35</v>
      </c>
      <c r="G2541" s="24" t="s">
        <v>947</v>
      </c>
      <c r="H2541" s="24" t="s">
        <v>71</v>
      </c>
      <c r="I2541" s="24" t="s">
        <v>9</v>
      </c>
      <c r="J2541" s="24" t="s">
        <v>24</v>
      </c>
      <c r="K2541" s="24"/>
      <c r="L2541" s="24" t="s">
        <v>69</v>
      </c>
    </row>
    <row r="2542">
      <c r="A2542" s="24">
        <f t="shared" si="1"/>
        <v>2540</v>
      </c>
      <c r="B2542" t="s">
        <v>1011</v>
      </c>
      <c r="C2542" s="275">
        <v>43378.0</v>
      </c>
      <c r="D2542" s="24" t="str">
        <f t="shared" ref="D2542:D2549" si="207">TEXT(C2535:C2542, "mmm") &amp; "-" &amp; TEXT(C2535:C2542, "yyyy") </f>
        <v>Oct-2018</v>
      </c>
      <c r="E2542" t="s">
        <v>20</v>
      </c>
      <c r="F2542" s="24" t="s">
        <v>1012</v>
      </c>
      <c r="G2542" s="24" t="s">
        <v>1013</v>
      </c>
      <c r="H2542" s="24" t="s">
        <v>71</v>
      </c>
      <c r="I2542" s="24" t="s">
        <v>9</v>
      </c>
      <c r="J2542" s="24" t="s">
        <v>30</v>
      </c>
      <c r="K2542" s="24" t="s">
        <v>30</v>
      </c>
      <c r="L2542" s="24" t="s">
        <v>98</v>
      </c>
    </row>
    <row r="2543">
      <c r="A2543" s="24">
        <f t="shared" si="1"/>
        <v>2541</v>
      </c>
      <c r="B2543" t="s">
        <v>1011</v>
      </c>
      <c r="C2543" s="275">
        <v>43378.0</v>
      </c>
      <c r="D2543" s="24" t="str">
        <f t="shared" si="207"/>
        <v>Oct-2018</v>
      </c>
      <c r="E2543" t="s">
        <v>25</v>
      </c>
      <c r="F2543" s="24" t="s">
        <v>1012</v>
      </c>
      <c r="G2543" s="24" t="s">
        <v>1013</v>
      </c>
      <c r="H2543" s="24" t="s">
        <v>71</v>
      </c>
      <c r="I2543" s="24" t="s">
        <v>9</v>
      </c>
      <c r="J2543" s="24" t="s">
        <v>30</v>
      </c>
      <c r="K2543" s="24"/>
      <c r="L2543" s="24" t="s">
        <v>37</v>
      </c>
    </row>
    <row r="2544">
      <c r="A2544" s="24">
        <f t="shared" si="1"/>
        <v>2542</v>
      </c>
      <c r="B2544" t="s">
        <v>1011</v>
      </c>
      <c r="C2544" s="275">
        <v>43378.0</v>
      </c>
      <c r="D2544" s="24" t="str">
        <f t="shared" si="207"/>
        <v>Oct-2018</v>
      </c>
      <c r="E2544" t="s">
        <v>20</v>
      </c>
      <c r="F2544" s="24" t="s">
        <v>1012</v>
      </c>
      <c r="G2544" s="24" t="s">
        <v>1016</v>
      </c>
      <c r="H2544" s="24" t="s">
        <v>27</v>
      </c>
      <c r="I2544" s="24" t="s">
        <v>9</v>
      </c>
      <c r="J2544" s="24" t="s">
        <v>30</v>
      </c>
      <c r="K2544" s="24" t="s">
        <v>30</v>
      </c>
      <c r="L2544" s="24" t="s">
        <v>69</v>
      </c>
    </row>
    <row r="2545">
      <c r="A2545" s="24">
        <f t="shared" si="1"/>
        <v>2543</v>
      </c>
      <c r="B2545" t="s">
        <v>1011</v>
      </c>
      <c r="C2545" s="275">
        <v>43378.0</v>
      </c>
      <c r="D2545" s="24" t="str">
        <f t="shared" si="207"/>
        <v>Oct-2018</v>
      </c>
      <c r="E2545" t="s">
        <v>25</v>
      </c>
      <c r="F2545" s="24" t="s">
        <v>1012</v>
      </c>
      <c r="G2545" s="24" t="s">
        <v>1016</v>
      </c>
      <c r="H2545" s="24" t="s">
        <v>27</v>
      </c>
      <c r="I2545" s="24" t="s">
        <v>9</v>
      </c>
      <c r="J2545" s="24" t="s">
        <v>30</v>
      </c>
      <c r="K2545" s="24"/>
      <c r="L2545" s="24" t="s">
        <v>98</v>
      </c>
    </row>
    <row r="2546">
      <c r="A2546" s="24">
        <f t="shared" si="1"/>
        <v>2544</v>
      </c>
      <c r="B2546" t="s">
        <v>1011</v>
      </c>
      <c r="C2546" s="275">
        <v>43378.0</v>
      </c>
      <c r="D2546" s="24" t="str">
        <f t="shared" si="207"/>
        <v>Oct-2018</v>
      </c>
      <c r="E2546" t="s">
        <v>20</v>
      </c>
      <c r="F2546" s="24" t="s">
        <v>1012</v>
      </c>
      <c r="G2546" s="24" t="s">
        <v>1017</v>
      </c>
      <c r="H2546" s="24" t="s">
        <v>27</v>
      </c>
      <c r="I2546" s="24" t="s">
        <v>9</v>
      </c>
      <c r="J2546" s="24" t="s">
        <v>24</v>
      </c>
      <c r="K2546" s="24" t="s">
        <v>24</v>
      </c>
      <c r="L2546" s="24" t="s">
        <v>98</v>
      </c>
    </row>
    <row r="2547">
      <c r="A2547" s="24">
        <f t="shared" si="1"/>
        <v>2545</v>
      </c>
      <c r="B2547" t="s">
        <v>1011</v>
      </c>
      <c r="C2547" s="275">
        <v>43378.0</v>
      </c>
      <c r="D2547" s="24" t="str">
        <f t="shared" si="207"/>
        <v>Oct-2018</v>
      </c>
      <c r="E2547" t="s">
        <v>25</v>
      </c>
      <c r="F2547" s="24" t="s">
        <v>1012</v>
      </c>
      <c r="G2547" s="24" t="s">
        <v>1017</v>
      </c>
      <c r="H2547" s="24" t="s">
        <v>27</v>
      </c>
      <c r="I2547" s="24" t="s">
        <v>9</v>
      </c>
      <c r="J2547" s="24" t="s">
        <v>24</v>
      </c>
      <c r="K2547" s="24"/>
      <c r="L2547" s="24" t="s">
        <v>106</v>
      </c>
    </row>
    <row r="2548">
      <c r="A2548" s="24">
        <f t="shared" si="1"/>
        <v>2546</v>
      </c>
      <c r="B2548" t="s">
        <v>1011</v>
      </c>
      <c r="C2548" s="275">
        <v>43378.0</v>
      </c>
      <c r="D2548" s="24" t="str">
        <f t="shared" si="207"/>
        <v>Oct-2018</v>
      </c>
      <c r="E2548" t="s">
        <v>20</v>
      </c>
      <c r="F2548" s="24" t="s">
        <v>1012</v>
      </c>
      <c r="G2548" s="24" t="s">
        <v>1021</v>
      </c>
      <c r="H2548" s="24" t="s">
        <v>9</v>
      </c>
      <c r="I2548" s="24" t="s">
        <v>9</v>
      </c>
      <c r="J2548" s="24" t="s">
        <v>30</v>
      </c>
      <c r="K2548" s="24" t="s">
        <v>30</v>
      </c>
      <c r="L2548" s="24" t="s">
        <v>69</v>
      </c>
    </row>
    <row r="2549">
      <c r="A2549" s="24">
        <f t="shared" si="1"/>
        <v>2547</v>
      </c>
      <c r="B2549" t="s">
        <v>1011</v>
      </c>
      <c r="C2549" s="275">
        <v>43378.0</v>
      </c>
      <c r="D2549" s="24" t="str">
        <f t="shared" si="207"/>
        <v>Oct-2018</v>
      </c>
      <c r="E2549" t="s">
        <v>25</v>
      </c>
      <c r="F2549" s="24" t="s">
        <v>1012</v>
      </c>
      <c r="G2549" s="24" t="s">
        <v>1021</v>
      </c>
      <c r="H2549" s="24" t="s">
        <v>9</v>
      </c>
      <c r="I2549" s="24" t="s">
        <v>9</v>
      </c>
      <c r="J2549" s="24" t="s">
        <v>24</v>
      </c>
      <c r="K2549" s="24"/>
      <c r="L2549" s="24" t="s">
        <v>106</v>
      </c>
    </row>
    <row r="2550">
      <c r="A2550" s="24">
        <f t="shared" si="1"/>
        <v>2548</v>
      </c>
      <c r="B2550" t="s">
        <v>1011</v>
      </c>
      <c r="C2550" s="275">
        <v>43378.0</v>
      </c>
      <c r="D2550" s="24" t="str">
        <f t="shared" ref="D2550:D2552" si="208">TEXT(C2542:C2550, "mmm") &amp; "-" &amp; TEXT(C2542:C2550, "yyyy") </f>
        <v>Oct-2018</v>
      </c>
      <c r="E2550" t="s">
        <v>32</v>
      </c>
      <c r="F2550" s="24" t="s">
        <v>1012</v>
      </c>
      <c r="G2550" s="24" t="s">
        <v>1021</v>
      </c>
      <c r="H2550" s="24" t="s">
        <v>9</v>
      </c>
      <c r="I2550" s="24" t="s">
        <v>9</v>
      </c>
      <c r="J2550" s="24" t="s">
        <v>30</v>
      </c>
      <c r="K2550" s="24"/>
      <c r="L2550" s="24" t="s">
        <v>99</v>
      </c>
    </row>
    <row r="2551">
      <c r="A2551" s="24">
        <f t="shared" si="1"/>
        <v>2549</v>
      </c>
      <c r="B2551" t="s">
        <v>1011</v>
      </c>
      <c r="C2551" s="275">
        <v>43378.0</v>
      </c>
      <c r="D2551" s="24" t="str">
        <f t="shared" si="208"/>
        <v>Oct-2018</v>
      </c>
      <c r="E2551" t="s">
        <v>20</v>
      </c>
      <c r="F2551" s="24" t="s">
        <v>1023</v>
      </c>
      <c r="G2551" s="24" t="s">
        <v>1024</v>
      </c>
      <c r="H2551" s="24" t="s">
        <v>9</v>
      </c>
      <c r="I2551" s="24" t="s">
        <v>9</v>
      </c>
      <c r="J2551" s="24" t="s">
        <v>24</v>
      </c>
      <c r="K2551" s="24" t="s">
        <v>24</v>
      </c>
      <c r="L2551" s="24" t="s">
        <v>69</v>
      </c>
    </row>
    <row r="2552">
      <c r="A2552" s="24">
        <f t="shared" si="1"/>
        <v>2550</v>
      </c>
      <c r="B2552" t="s">
        <v>1011</v>
      </c>
      <c r="C2552" s="275">
        <v>43378.0</v>
      </c>
      <c r="D2552" s="24" t="str">
        <f t="shared" si="208"/>
        <v>Oct-2018</v>
      </c>
      <c r="E2552" t="s">
        <v>25</v>
      </c>
      <c r="F2552" s="24" t="s">
        <v>1023</v>
      </c>
      <c r="G2552" s="24" t="s">
        <v>1024</v>
      </c>
      <c r="H2552" s="24" t="s">
        <v>9</v>
      </c>
      <c r="I2552" s="24" t="s">
        <v>9</v>
      </c>
      <c r="J2552" s="24" t="s">
        <v>24</v>
      </c>
      <c r="K2552" s="24"/>
      <c r="L2552" s="24" t="s">
        <v>69</v>
      </c>
    </row>
    <row r="2553">
      <c r="A2553" s="24">
        <f t="shared" si="1"/>
        <v>2551</v>
      </c>
      <c r="B2553" s="24" t="s">
        <v>1026</v>
      </c>
      <c r="C2553" s="339">
        <v>43389.0</v>
      </c>
      <c r="D2553" s="24" t="str">
        <f t="shared" ref="D2553:D2560" si="209">TEXT(C2546:C2553, "mmm") &amp; "-" &amp; TEXT(C2546:C2553, "yyyy") </f>
        <v>Oct-2018</v>
      </c>
      <c r="E2553" t="s">
        <v>20</v>
      </c>
      <c r="F2553" s="24" t="s">
        <v>35</v>
      </c>
      <c r="G2553" s="24" t="s">
        <v>726</v>
      </c>
      <c r="H2553" s="24" t="s">
        <v>216</v>
      </c>
      <c r="I2553" s="24" t="s">
        <v>9</v>
      </c>
      <c r="J2553" s="24" t="s">
        <v>30</v>
      </c>
      <c r="K2553" s="24" t="s">
        <v>30</v>
      </c>
      <c r="L2553" s="24" t="s">
        <v>37</v>
      </c>
    </row>
    <row r="2554">
      <c r="A2554" s="24">
        <f t="shared" si="1"/>
        <v>2552</v>
      </c>
      <c r="B2554" s="24" t="s">
        <v>1026</v>
      </c>
      <c r="C2554" s="339">
        <v>43389.0</v>
      </c>
      <c r="D2554" s="24" t="str">
        <f t="shared" si="209"/>
        <v>Oct-2018</v>
      </c>
      <c r="E2554" t="s">
        <v>25</v>
      </c>
      <c r="F2554" s="24" t="s">
        <v>35</v>
      </c>
      <c r="G2554" s="24" t="s">
        <v>726</v>
      </c>
      <c r="H2554" s="24" t="s">
        <v>216</v>
      </c>
      <c r="I2554" s="24" t="s">
        <v>9</v>
      </c>
      <c r="J2554" s="24" t="s">
        <v>24</v>
      </c>
      <c r="K2554" s="24"/>
      <c r="L2554" s="24" t="s">
        <v>99</v>
      </c>
    </row>
    <row r="2555">
      <c r="A2555" s="24">
        <f t="shared" si="1"/>
        <v>2553</v>
      </c>
      <c r="B2555" s="24" t="s">
        <v>1026</v>
      </c>
      <c r="C2555" s="339">
        <v>43389.0</v>
      </c>
      <c r="D2555" s="24" t="str">
        <f t="shared" si="209"/>
        <v>Oct-2018</v>
      </c>
      <c r="E2555" t="s">
        <v>32</v>
      </c>
      <c r="F2555" s="24" t="s">
        <v>35</v>
      </c>
      <c r="G2555" s="24" t="s">
        <v>726</v>
      </c>
      <c r="H2555" s="24" t="s">
        <v>216</v>
      </c>
      <c r="I2555" s="24" t="s">
        <v>9</v>
      </c>
      <c r="J2555" s="24" t="s">
        <v>30</v>
      </c>
      <c r="K2555" s="24"/>
      <c r="L2555" s="24" t="s">
        <v>69</v>
      </c>
    </row>
    <row r="2556">
      <c r="A2556" s="24">
        <f t="shared" si="1"/>
        <v>2554</v>
      </c>
      <c r="B2556" s="24" t="s">
        <v>1026</v>
      </c>
      <c r="C2556" s="339">
        <v>43389.0</v>
      </c>
      <c r="D2556" s="24" t="str">
        <f t="shared" si="209"/>
        <v>Oct-2018</v>
      </c>
      <c r="E2556" t="s">
        <v>20</v>
      </c>
      <c r="F2556" s="24" t="s">
        <v>35</v>
      </c>
      <c r="G2556" s="24" t="s">
        <v>452</v>
      </c>
      <c r="H2556" s="24" t="s">
        <v>27</v>
      </c>
      <c r="I2556" s="24" t="s">
        <v>9</v>
      </c>
      <c r="J2556" s="24" t="s">
        <v>24</v>
      </c>
      <c r="K2556" s="24" t="s">
        <v>24</v>
      </c>
      <c r="L2556" s="24" t="s">
        <v>98</v>
      </c>
    </row>
    <row r="2557">
      <c r="A2557" s="24">
        <f t="shared" si="1"/>
        <v>2555</v>
      </c>
      <c r="B2557" s="24" t="s">
        <v>1026</v>
      </c>
      <c r="C2557" s="339">
        <v>43389.0</v>
      </c>
      <c r="D2557" s="24" t="str">
        <f t="shared" si="209"/>
        <v>Oct-2018</v>
      </c>
      <c r="E2557" t="s">
        <v>25</v>
      </c>
      <c r="F2557" s="24" t="s">
        <v>35</v>
      </c>
      <c r="G2557" s="24" t="s">
        <v>452</v>
      </c>
      <c r="H2557" s="24" t="s">
        <v>27</v>
      </c>
      <c r="I2557" s="24" t="s">
        <v>9</v>
      </c>
      <c r="J2557" s="24" t="s">
        <v>24</v>
      </c>
      <c r="K2557" s="24"/>
      <c r="L2557" s="24" t="s">
        <v>106</v>
      </c>
    </row>
    <row r="2558">
      <c r="A2558" s="24">
        <f t="shared" si="1"/>
        <v>2556</v>
      </c>
      <c r="B2558" s="24" t="s">
        <v>1026</v>
      </c>
      <c r="C2558" s="339">
        <v>43389.0</v>
      </c>
      <c r="D2558" s="24" t="str">
        <f t="shared" si="209"/>
        <v>Oct-2018</v>
      </c>
      <c r="E2558" t="s">
        <v>20</v>
      </c>
      <c r="F2558" s="24" t="s">
        <v>35</v>
      </c>
      <c r="G2558" s="24" t="s">
        <v>976</v>
      </c>
      <c r="H2558" s="24" t="s">
        <v>48</v>
      </c>
      <c r="I2558" s="24" t="s">
        <v>9</v>
      </c>
      <c r="J2558" s="24" t="s">
        <v>30</v>
      </c>
      <c r="K2558" s="24" t="s">
        <v>30</v>
      </c>
      <c r="L2558" s="24" t="s">
        <v>98</v>
      </c>
    </row>
    <row r="2559">
      <c r="A2559" s="24">
        <f t="shared" si="1"/>
        <v>2557</v>
      </c>
      <c r="B2559" s="24" t="s">
        <v>1026</v>
      </c>
      <c r="C2559" s="339">
        <v>43389.0</v>
      </c>
      <c r="D2559" s="24" t="str">
        <f t="shared" si="209"/>
        <v>Oct-2018</v>
      </c>
      <c r="E2559" t="s">
        <v>25</v>
      </c>
      <c r="F2559" s="24" t="s">
        <v>35</v>
      </c>
      <c r="G2559" s="24" t="s">
        <v>976</v>
      </c>
      <c r="H2559" s="24" t="s">
        <v>48</v>
      </c>
      <c r="I2559" s="24" t="s">
        <v>9</v>
      </c>
      <c r="J2559" s="24" t="s">
        <v>30</v>
      </c>
      <c r="K2559" s="24"/>
      <c r="L2559" s="24" t="s">
        <v>99</v>
      </c>
    </row>
    <row r="2560">
      <c r="A2560" s="24">
        <f t="shared" si="1"/>
        <v>2558</v>
      </c>
      <c r="B2560" s="24" t="s">
        <v>1026</v>
      </c>
      <c r="C2560" s="339">
        <v>43389.0</v>
      </c>
      <c r="D2560" s="24" t="str">
        <f t="shared" si="209"/>
        <v>Oct-2018</v>
      </c>
      <c r="E2560" t="s">
        <v>20</v>
      </c>
      <c r="F2560" s="24" t="s">
        <v>35</v>
      </c>
      <c r="G2560" s="24" t="s">
        <v>1030</v>
      </c>
      <c r="H2560" s="24" t="s">
        <v>27</v>
      </c>
      <c r="I2560" s="24" t="s">
        <v>9</v>
      </c>
      <c r="J2560" s="24" t="s">
        <v>24</v>
      </c>
      <c r="K2560" s="24" t="s">
        <v>24</v>
      </c>
      <c r="L2560" s="24" t="s">
        <v>69</v>
      </c>
    </row>
    <row r="2561">
      <c r="A2561" s="24">
        <f t="shared" si="1"/>
        <v>2559</v>
      </c>
      <c r="B2561" s="24" t="s">
        <v>1026</v>
      </c>
      <c r="C2561" s="339">
        <v>43389.0</v>
      </c>
      <c r="D2561" s="24" t="str">
        <f>TEXT(C2553:C2561, "mmm") &amp; "-" &amp; TEXT(C2553:C2561, "yyyy") </f>
        <v>Oct-2018</v>
      </c>
      <c r="E2561" t="s">
        <v>25</v>
      </c>
      <c r="F2561" s="24" t="s">
        <v>35</v>
      </c>
      <c r="G2561" s="24" t="s">
        <v>1030</v>
      </c>
      <c r="H2561" s="24" t="s">
        <v>27</v>
      </c>
      <c r="I2561" s="24" t="s">
        <v>9</v>
      </c>
      <c r="J2561" s="24" t="s">
        <v>24</v>
      </c>
      <c r="K2561" s="24"/>
      <c r="L2561" s="24" t="s">
        <v>106</v>
      </c>
    </row>
    <row r="2562">
      <c r="A2562" s="24">
        <f t="shared" si="1"/>
        <v>2560</v>
      </c>
      <c r="B2562" s="24" t="s">
        <v>1031</v>
      </c>
      <c r="C2562" s="340">
        <v>43394.0</v>
      </c>
      <c r="D2562" s="24" t="str">
        <f t="shared" ref="D2562:D2569" si="210">TEXT(C2555:C2562, "mmm") &amp; "-" &amp; TEXT(C2555:C2562, "yyyy") </f>
        <v>Oct-2018</v>
      </c>
      <c r="E2562" t="s">
        <v>20</v>
      </c>
      <c r="F2562" s="24" t="s">
        <v>287</v>
      </c>
      <c r="G2562" s="24" t="s">
        <v>1033</v>
      </c>
      <c r="H2562" s="24" t="s">
        <v>140</v>
      </c>
      <c r="I2562" s="24" t="s">
        <v>9</v>
      </c>
      <c r="J2562" s="24" t="s">
        <v>30</v>
      </c>
      <c r="K2562" s="24" t="s">
        <v>30</v>
      </c>
      <c r="L2562" s="24" t="s">
        <v>99</v>
      </c>
    </row>
    <row r="2563">
      <c r="A2563" s="24">
        <f t="shared" si="1"/>
        <v>2561</v>
      </c>
      <c r="B2563" s="24" t="s">
        <v>1031</v>
      </c>
      <c r="C2563" s="340">
        <v>43394.0</v>
      </c>
      <c r="D2563" s="24" t="str">
        <f t="shared" si="210"/>
        <v>Oct-2018</v>
      </c>
      <c r="E2563" t="s">
        <v>25</v>
      </c>
      <c r="F2563" s="24" t="s">
        <v>287</v>
      </c>
      <c r="G2563" s="24" t="s">
        <v>1033</v>
      </c>
      <c r="H2563" s="24" t="s">
        <v>140</v>
      </c>
      <c r="I2563" s="24" t="s">
        <v>9</v>
      </c>
      <c r="J2563" s="24" t="s">
        <v>30</v>
      </c>
      <c r="K2563" s="24"/>
      <c r="L2563" s="24" t="s">
        <v>98</v>
      </c>
    </row>
    <row r="2564">
      <c r="A2564" s="24">
        <f t="shared" si="1"/>
        <v>2562</v>
      </c>
      <c r="B2564" s="24" t="s">
        <v>1031</v>
      </c>
      <c r="C2564" s="340">
        <v>43394.0</v>
      </c>
      <c r="D2564" s="24" t="str">
        <f t="shared" si="210"/>
        <v>Oct-2018</v>
      </c>
      <c r="E2564" t="s">
        <v>20</v>
      </c>
      <c r="F2564" s="24" t="s">
        <v>287</v>
      </c>
      <c r="G2564" s="24" t="s">
        <v>633</v>
      </c>
      <c r="H2564" s="24" t="s">
        <v>27</v>
      </c>
      <c r="I2564" s="24" t="s">
        <v>9</v>
      </c>
      <c r="J2564" s="24" t="s">
        <v>30</v>
      </c>
      <c r="K2564" s="24" t="s">
        <v>30</v>
      </c>
      <c r="L2564" s="24" t="s">
        <v>69</v>
      </c>
    </row>
    <row r="2565">
      <c r="A2565" s="24">
        <f t="shared" si="1"/>
        <v>2563</v>
      </c>
      <c r="B2565" s="24" t="s">
        <v>1031</v>
      </c>
      <c r="C2565" s="340">
        <v>43394.0</v>
      </c>
      <c r="D2565" s="24" t="str">
        <f t="shared" si="210"/>
        <v>Oct-2018</v>
      </c>
      <c r="E2565" t="s">
        <v>25</v>
      </c>
      <c r="F2565" s="24" t="s">
        <v>287</v>
      </c>
      <c r="G2565" s="24" t="s">
        <v>633</v>
      </c>
      <c r="H2565" s="24" t="s">
        <v>27</v>
      </c>
      <c r="I2565" s="24" t="s">
        <v>9</v>
      </c>
      <c r="J2565" s="24" t="s">
        <v>24</v>
      </c>
      <c r="K2565" s="24"/>
      <c r="L2565" s="24" t="s">
        <v>99</v>
      </c>
    </row>
    <row r="2566">
      <c r="A2566" s="24">
        <f t="shared" si="1"/>
        <v>2564</v>
      </c>
      <c r="B2566" s="24" t="s">
        <v>1031</v>
      </c>
      <c r="C2566" s="340">
        <v>43394.0</v>
      </c>
      <c r="D2566" s="24" t="str">
        <f t="shared" si="210"/>
        <v>Oct-2018</v>
      </c>
      <c r="E2566" t="s">
        <v>32</v>
      </c>
      <c r="F2566" s="24" t="s">
        <v>287</v>
      </c>
      <c r="G2566" s="24" t="s">
        <v>633</v>
      </c>
      <c r="H2566" s="24" t="s">
        <v>27</v>
      </c>
      <c r="I2566" s="24" t="s">
        <v>9</v>
      </c>
      <c r="J2566" s="24" t="s">
        <v>30</v>
      </c>
      <c r="K2566" s="24"/>
      <c r="L2566" s="24" t="s">
        <v>106</v>
      </c>
    </row>
    <row r="2567">
      <c r="A2567" s="24">
        <f t="shared" si="1"/>
        <v>2565</v>
      </c>
      <c r="B2567" s="24" t="s">
        <v>1031</v>
      </c>
      <c r="C2567" s="340">
        <v>43394.0</v>
      </c>
      <c r="D2567" s="24" t="str">
        <f t="shared" si="210"/>
        <v>Oct-2018</v>
      </c>
      <c r="E2567" t="s">
        <v>20</v>
      </c>
      <c r="F2567" s="24" t="s">
        <v>287</v>
      </c>
      <c r="G2567" s="24" t="s">
        <v>1036</v>
      </c>
      <c r="H2567" s="24" t="s">
        <v>9</v>
      </c>
      <c r="I2567" s="24" t="s">
        <v>9</v>
      </c>
      <c r="J2567" s="24" t="s">
        <v>30</v>
      </c>
      <c r="K2567" s="24" t="s">
        <v>30</v>
      </c>
      <c r="L2567" s="24" t="s">
        <v>98</v>
      </c>
    </row>
    <row r="2568">
      <c r="A2568" s="24">
        <f t="shared" si="1"/>
        <v>2566</v>
      </c>
      <c r="B2568" s="24" t="s">
        <v>1031</v>
      </c>
      <c r="C2568" s="340">
        <v>43394.0</v>
      </c>
      <c r="D2568" s="24" t="str">
        <f t="shared" si="210"/>
        <v>Oct-2018</v>
      </c>
      <c r="E2568" t="s">
        <v>25</v>
      </c>
      <c r="F2568" s="24" t="s">
        <v>287</v>
      </c>
      <c r="G2568" s="24" t="s">
        <v>1036</v>
      </c>
      <c r="H2568" s="24" t="s">
        <v>9</v>
      </c>
      <c r="I2568" s="24" t="s">
        <v>9</v>
      </c>
      <c r="J2568" s="24" t="s">
        <v>30</v>
      </c>
      <c r="K2568" s="24"/>
      <c r="L2568" s="24" t="s">
        <v>106</v>
      </c>
    </row>
    <row r="2569">
      <c r="A2569" s="24">
        <f t="shared" si="1"/>
        <v>2567</v>
      </c>
      <c r="B2569" s="24" t="s">
        <v>1031</v>
      </c>
      <c r="C2569" s="340">
        <v>43394.0</v>
      </c>
      <c r="D2569" s="24" t="str">
        <f t="shared" si="210"/>
        <v>Oct-2018</v>
      </c>
      <c r="E2569" t="s">
        <v>20</v>
      </c>
      <c r="F2569" s="24" t="s">
        <v>287</v>
      </c>
      <c r="G2569" s="24" t="s">
        <v>1038</v>
      </c>
      <c r="H2569" s="24" t="s">
        <v>27</v>
      </c>
      <c r="I2569" s="24" t="s">
        <v>9</v>
      </c>
      <c r="J2569" s="24" t="s">
        <v>30</v>
      </c>
      <c r="K2569" s="24" t="s">
        <v>30</v>
      </c>
      <c r="L2569" s="24" t="s">
        <v>98</v>
      </c>
    </row>
    <row r="2570">
      <c r="A2570" s="24">
        <f t="shared" si="1"/>
        <v>2568</v>
      </c>
      <c r="B2570" s="24" t="s">
        <v>1031</v>
      </c>
      <c r="C2570" s="340">
        <v>43394.0</v>
      </c>
      <c r="D2570" s="24" t="str">
        <f t="shared" ref="D2570:D2586" si="211">TEXT(C2562:C2570, "mmm") &amp; "-" &amp; TEXT(C2562:C2570, "yyyy") </f>
        <v>Oct-2018</v>
      </c>
      <c r="E2570" t="s">
        <v>25</v>
      </c>
      <c r="F2570" s="24" t="s">
        <v>287</v>
      </c>
      <c r="G2570" s="24" t="s">
        <v>1038</v>
      </c>
      <c r="H2570" s="24" t="s">
        <v>27</v>
      </c>
      <c r="I2570" s="24" t="s">
        <v>9</v>
      </c>
      <c r="J2570" s="24" t="s">
        <v>30</v>
      </c>
      <c r="K2570" s="24"/>
      <c r="L2570" s="24" t="s">
        <v>99</v>
      </c>
    </row>
    <row r="2571">
      <c r="A2571" s="24">
        <f t="shared" si="1"/>
        <v>2569</v>
      </c>
      <c r="B2571" s="24" t="s">
        <v>1031</v>
      </c>
      <c r="C2571" s="340">
        <v>43394.0</v>
      </c>
      <c r="D2571" s="24" t="str">
        <f t="shared" si="211"/>
        <v>Oct-2018</v>
      </c>
      <c r="E2571" t="s">
        <v>20</v>
      </c>
      <c r="F2571" s="24" t="s">
        <v>287</v>
      </c>
      <c r="G2571" s="24" t="s">
        <v>1039</v>
      </c>
      <c r="H2571" s="24" t="s">
        <v>97</v>
      </c>
      <c r="I2571" s="24" t="s">
        <v>9</v>
      </c>
      <c r="J2571" s="24" t="s">
        <v>30</v>
      </c>
      <c r="K2571" s="24" t="s">
        <v>30</v>
      </c>
      <c r="L2571" s="24" t="s">
        <v>69</v>
      </c>
    </row>
    <row r="2572">
      <c r="A2572" s="24">
        <f t="shared" si="1"/>
        <v>2570</v>
      </c>
      <c r="B2572" s="24" t="s">
        <v>1031</v>
      </c>
      <c r="C2572" s="340">
        <v>43394.0</v>
      </c>
      <c r="D2572" s="24" t="str">
        <f t="shared" si="211"/>
        <v>Oct-2018</v>
      </c>
      <c r="E2572" t="s">
        <v>25</v>
      </c>
      <c r="F2572" s="24" t="s">
        <v>287</v>
      </c>
      <c r="G2572" s="24" t="s">
        <v>1039</v>
      </c>
      <c r="H2572" s="24" t="s">
        <v>97</v>
      </c>
      <c r="I2572" s="24" t="s">
        <v>9</v>
      </c>
      <c r="J2572" s="24" t="s">
        <v>30</v>
      </c>
      <c r="K2572" s="24"/>
      <c r="L2572" s="24" t="s">
        <v>98</v>
      </c>
    </row>
    <row r="2573">
      <c r="A2573" s="24">
        <f t="shared" si="1"/>
        <v>2571</v>
      </c>
      <c r="B2573" s="24" t="s">
        <v>1031</v>
      </c>
      <c r="C2573" s="340">
        <v>43394.0</v>
      </c>
      <c r="D2573" s="24" t="str">
        <f t="shared" si="211"/>
        <v>Oct-2018</v>
      </c>
      <c r="E2573" t="s">
        <v>20</v>
      </c>
      <c r="F2573" s="24" t="s">
        <v>287</v>
      </c>
      <c r="G2573" s="24" t="s">
        <v>361</v>
      </c>
      <c r="H2573" s="24" t="s">
        <v>44</v>
      </c>
      <c r="I2573" s="24" t="s">
        <v>9</v>
      </c>
      <c r="J2573" s="24" t="s">
        <v>24</v>
      </c>
      <c r="K2573" s="24" t="s">
        <v>24</v>
      </c>
      <c r="L2573" s="24" t="s">
        <v>69</v>
      </c>
    </row>
    <row r="2574">
      <c r="A2574" s="24">
        <f t="shared" si="1"/>
        <v>2572</v>
      </c>
      <c r="B2574" s="24" t="s">
        <v>1031</v>
      </c>
      <c r="C2574" s="340">
        <v>43394.0</v>
      </c>
      <c r="D2574" s="24" t="str">
        <f t="shared" si="211"/>
        <v>Oct-2018</v>
      </c>
      <c r="E2574" t="s">
        <v>25</v>
      </c>
      <c r="F2574" s="24" t="s">
        <v>287</v>
      </c>
      <c r="G2574" s="24" t="s">
        <v>361</v>
      </c>
      <c r="H2574" s="24" t="s">
        <v>44</v>
      </c>
      <c r="I2574" s="24" t="s">
        <v>9</v>
      </c>
      <c r="J2574" s="24" t="s">
        <v>24</v>
      </c>
      <c r="K2574" s="24"/>
      <c r="L2574" s="24" t="s">
        <v>69</v>
      </c>
    </row>
    <row r="2575">
      <c r="A2575" s="24">
        <f t="shared" si="1"/>
        <v>2573</v>
      </c>
      <c r="B2575" s="24" t="s">
        <v>1031</v>
      </c>
      <c r="C2575" s="340">
        <v>43394.0</v>
      </c>
      <c r="D2575" s="24" t="str">
        <f t="shared" si="211"/>
        <v>Oct-2018</v>
      </c>
      <c r="E2575" t="s">
        <v>146</v>
      </c>
      <c r="F2575" s="24" t="s">
        <v>35</v>
      </c>
      <c r="G2575" s="24" t="s">
        <v>393</v>
      </c>
      <c r="H2575" s="24" t="s">
        <v>102</v>
      </c>
      <c r="I2575" s="24" t="s">
        <v>9</v>
      </c>
      <c r="J2575" s="24" t="s">
        <v>24</v>
      </c>
      <c r="K2575" s="24" t="s">
        <v>30</v>
      </c>
      <c r="L2575" s="24" t="s">
        <v>99</v>
      </c>
    </row>
    <row r="2576">
      <c r="A2576" s="24">
        <f t="shared" si="1"/>
        <v>2574</v>
      </c>
      <c r="B2576" s="24" t="s">
        <v>1031</v>
      </c>
      <c r="C2576" s="340">
        <v>43394.0</v>
      </c>
      <c r="D2576" s="24" t="str">
        <f t="shared" si="211"/>
        <v>Oct-2018</v>
      </c>
      <c r="E2576" t="s">
        <v>149</v>
      </c>
      <c r="F2576" s="24" t="s">
        <v>35</v>
      </c>
      <c r="G2576" s="24" t="s">
        <v>393</v>
      </c>
      <c r="H2576" s="24" t="s">
        <v>102</v>
      </c>
      <c r="I2576" s="24" t="s">
        <v>9</v>
      </c>
      <c r="J2576" s="24" t="s">
        <v>30</v>
      </c>
      <c r="K2576" s="24"/>
      <c r="L2576" s="24" t="s">
        <v>69</v>
      </c>
    </row>
    <row r="2577">
      <c r="A2577" s="24">
        <f t="shared" si="1"/>
        <v>2575</v>
      </c>
      <c r="B2577" s="24" t="s">
        <v>1031</v>
      </c>
      <c r="C2577" s="340">
        <v>43394.0</v>
      </c>
      <c r="D2577" s="24" t="str">
        <f t="shared" si="211"/>
        <v>Oct-2018</v>
      </c>
      <c r="E2577" t="s">
        <v>222</v>
      </c>
      <c r="F2577" s="24" t="s">
        <v>35</v>
      </c>
      <c r="G2577" s="24" t="s">
        <v>393</v>
      </c>
      <c r="H2577" s="24" t="s">
        <v>102</v>
      </c>
      <c r="I2577" s="24" t="s">
        <v>9</v>
      </c>
      <c r="J2577" s="24" t="s">
        <v>30</v>
      </c>
      <c r="K2577" s="24"/>
      <c r="L2577" s="24" t="s">
        <v>37</v>
      </c>
    </row>
    <row r="2578">
      <c r="A2578" s="24">
        <f t="shared" si="1"/>
        <v>2576</v>
      </c>
      <c r="B2578" s="24" t="s">
        <v>1031</v>
      </c>
      <c r="C2578" s="340">
        <v>43394.0</v>
      </c>
      <c r="D2578" s="24" t="str">
        <f t="shared" si="211"/>
        <v>Oct-2018</v>
      </c>
      <c r="E2578" t="s">
        <v>467</v>
      </c>
      <c r="F2578" s="24" t="s">
        <v>35</v>
      </c>
      <c r="G2578" s="24" t="s">
        <v>393</v>
      </c>
      <c r="H2578" s="24" t="s">
        <v>102</v>
      </c>
      <c r="I2578" s="24" t="s">
        <v>9</v>
      </c>
      <c r="J2578" s="24" t="s">
        <v>30</v>
      </c>
      <c r="K2578" s="24"/>
      <c r="L2578" s="24" t="s">
        <v>29</v>
      </c>
    </row>
    <row r="2579">
      <c r="A2579" s="24">
        <f t="shared" si="1"/>
        <v>2577</v>
      </c>
      <c r="B2579" s="24" t="s">
        <v>1031</v>
      </c>
      <c r="C2579" s="340">
        <v>43394.0</v>
      </c>
      <c r="D2579" s="24" t="str">
        <f t="shared" si="211"/>
        <v>Oct-2018</v>
      </c>
      <c r="E2579" t="s">
        <v>146</v>
      </c>
      <c r="F2579" s="24" t="s">
        <v>35</v>
      </c>
      <c r="G2579" s="24" t="s">
        <v>93</v>
      </c>
      <c r="H2579" s="24" t="s">
        <v>23</v>
      </c>
      <c r="I2579" s="24" t="s">
        <v>9</v>
      </c>
      <c r="J2579" s="24" t="s">
        <v>30</v>
      </c>
      <c r="K2579" s="24" t="s">
        <v>30</v>
      </c>
      <c r="L2579" s="24" t="s">
        <v>37</v>
      </c>
    </row>
    <row r="2580">
      <c r="A2580" s="24">
        <f t="shared" si="1"/>
        <v>2578</v>
      </c>
      <c r="B2580" s="24" t="s">
        <v>1031</v>
      </c>
      <c r="C2580" s="340">
        <v>43394.0</v>
      </c>
      <c r="D2580" s="24" t="str">
        <f t="shared" si="211"/>
        <v>Oct-2018</v>
      </c>
      <c r="E2580" t="s">
        <v>149</v>
      </c>
      <c r="F2580" s="24" t="s">
        <v>35</v>
      </c>
      <c r="G2580" s="24" t="s">
        <v>93</v>
      </c>
      <c r="H2580" s="24" t="s">
        <v>23</v>
      </c>
      <c r="I2580" s="24" t="s">
        <v>9</v>
      </c>
      <c r="J2580" s="24" t="s">
        <v>24</v>
      </c>
      <c r="K2580" s="24"/>
      <c r="L2580" s="24" t="s">
        <v>98</v>
      </c>
    </row>
    <row r="2581">
      <c r="A2581" s="24">
        <f t="shared" si="1"/>
        <v>2579</v>
      </c>
      <c r="B2581" s="24" t="s">
        <v>1031</v>
      </c>
      <c r="C2581" s="340">
        <v>43394.0</v>
      </c>
      <c r="D2581" s="24" t="str">
        <f t="shared" si="211"/>
        <v>Oct-2018</v>
      </c>
      <c r="E2581" t="s">
        <v>222</v>
      </c>
      <c r="F2581" s="24" t="s">
        <v>35</v>
      </c>
      <c r="G2581" s="24" t="s">
        <v>93</v>
      </c>
      <c r="H2581" s="24" t="s">
        <v>23</v>
      </c>
      <c r="I2581" s="24" t="s">
        <v>9</v>
      </c>
      <c r="J2581" s="24" t="s">
        <v>30</v>
      </c>
      <c r="K2581" s="24"/>
      <c r="L2581" s="24" t="s">
        <v>106</v>
      </c>
    </row>
    <row r="2582">
      <c r="A2582" s="24">
        <f t="shared" si="1"/>
        <v>2580</v>
      </c>
      <c r="B2582" s="24" t="s">
        <v>1031</v>
      </c>
      <c r="C2582" s="340">
        <v>43394.0</v>
      </c>
      <c r="D2582" s="24" t="str">
        <f t="shared" si="211"/>
        <v>Oct-2018</v>
      </c>
      <c r="E2582" t="s">
        <v>467</v>
      </c>
      <c r="F2582" s="24" t="s">
        <v>35</v>
      </c>
      <c r="G2582" s="24" t="s">
        <v>93</v>
      </c>
      <c r="H2582" s="24" t="s">
        <v>23</v>
      </c>
      <c r="I2582" s="24" t="s">
        <v>9</v>
      </c>
      <c r="J2582" s="24" t="s">
        <v>30</v>
      </c>
      <c r="K2582" s="24"/>
      <c r="L2582" s="24" t="s">
        <v>99</v>
      </c>
    </row>
    <row r="2583">
      <c r="A2583" s="24">
        <f t="shared" si="1"/>
        <v>2581</v>
      </c>
      <c r="B2583" s="24" t="s">
        <v>1031</v>
      </c>
      <c r="C2583" s="340">
        <v>43394.0</v>
      </c>
      <c r="D2583" s="24" t="str">
        <f t="shared" si="211"/>
        <v>Oct-2018</v>
      </c>
      <c r="E2583" t="s">
        <v>146</v>
      </c>
      <c r="F2583" s="24" t="s">
        <v>35</v>
      </c>
      <c r="G2583" s="24" t="s">
        <v>361</v>
      </c>
      <c r="H2583" s="24" t="s">
        <v>44</v>
      </c>
      <c r="I2583" s="24" t="s">
        <v>9</v>
      </c>
      <c r="J2583" s="24" t="s">
        <v>24</v>
      </c>
      <c r="K2583" s="24" t="s">
        <v>24</v>
      </c>
      <c r="L2583" s="24" t="s">
        <v>69</v>
      </c>
    </row>
    <row r="2584">
      <c r="A2584" s="24">
        <f t="shared" si="1"/>
        <v>2582</v>
      </c>
      <c r="B2584" s="24" t="s">
        <v>1031</v>
      </c>
      <c r="C2584" s="340">
        <v>43394.0</v>
      </c>
      <c r="D2584" s="24" t="str">
        <f t="shared" si="211"/>
        <v>Oct-2018</v>
      </c>
      <c r="E2584" t="s">
        <v>149</v>
      </c>
      <c r="F2584" s="24" t="s">
        <v>35</v>
      </c>
      <c r="G2584" s="24" t="s">
        <v>361</v>
      </c>
      <c r="H2584" s="24" t="s">
        <v>44</v>
      </c>
      <c r="I2584" s="24" t="s">
        <v>9</v>
      </c>
      <c r="J2584" s="24" t="s">
        <v>24</v>
      </c>
      <c r="K2584" s="24"/>
      <c r="L2584" s="24" t="s">
        <v>37</v>
      </c>
    </row>
    <row r="2585">
      <c r="A2585" s="24">
        <f t="shared" si="1"/>
        <v>2583</v>
      </c>
      <c r="B2585" s="24" t="s">
        <v>1031</v>
      </c>
      <c r="C2585" s="340">
        <v>43394.0</v>
      </c>
      <c r="D2585" s="24" t="str">
        <f t="shared" si="211"/>
        <v>Oct-2018</v>
      </c>
      <c r="E2585" t="s">
        <v>222</v>
      </c>
      <c r="F2585" s="24" t="s">
        <v>35</v>
      </c>
      <c r="G2585" s="24" t="s">
        <v>361</v>
      </c>
      <c r="H2585" s="24" t="s">
        <v>44</v>
      </c>
      <c r="I2585" s="24" t="s">
        <v>9</v>
      </c>
      <c r="J2585" s="24" t="s">
        <v>30</v>
      </c>
      <c r="K2585" s="24"/>
      <c r="L2585" s="24" t="s">
        <v>37</v>
      </c>
    </row>
    <row r="2586">
      <c r="A2586" s="24">
        <f t="shared" si="1"/>
        <v>2584</v>
      </c>
      <c r="B2586" s="24" t="s">
        <v>1031</v>
      </c>
      <c r="C2586" s="340">
        <v>43394.0</v>
      </c>
      <c r="D2586" s="24" t="str">
        <f t="shared" si="211"/>
        <v>Oct-2018</v>
      </c>
      <c r="E2586" t="s">
        <v>467</v>
      </c>
      <c r="F2586" s="24" t="s">
        <v>35</v>
      </c>
      <c r="G2586" s="24" t="s">
        <v>361</v>
      </c>
      <c r="H2586" s="24" t="s">
        <v>44</v>
      </c>
      <c r="I2586" s="24" t="s">
        <v>9</v>
      </c>
      <c r="J2586" s="24" t="s">
        <v>24</v>
      </c>
      <c r="K2586" s="24"/>
      <c r="L2586" s="24" t="s">
        <v>29</v>
      </c>
    </row>
    <row r="2587">
      <c r="A2587" s="24">
        <f t="shared" si="1"/>
        <v>2585</v>
      </c>
      <c r="B2587" s="24" t="s">
        <v>1041</v>
      </c>
      <c r="C2587" s="275">
        <v>43405.0</v>
      </c>
      <c r="D2587" s="24" t="str">
        <f t="shared" ref="D2587:D2594" si="212">TEXT(C2580:C2587, "mmm") &amp; "-" &amp; TEXT(C2580:C2587, "yyyy") </f>
        <v>Nov-2018</v>
      </c>
      <c r="E2587" t="s">
        <v>20</v>
      </c>
      <c r="F2587" s="24" t="s">
        <v>35</v>
      </c>
      <c r="G2587" s="24" t="s">
        <v>813</v>
      </c>
      <c r="H2587" s="24" t="s">
        <v>102</v>
      </c>
      <c r="I2587" s="24" t="s">
        <v>9</v>
      </c>
      <c r="J2587" s="24" t="s">
        <v>30</v>
      </c>
      <c r="K2587" s="24" t="s">
        <v>30</v>
      </c>
      <c r="L2587" s="24" t="s">
        <v>99</v>
      </c>
    </row>
    <row r="2588">
      <c r="A2588" s="24">
        <f t="shared" si="1"/>
        <v>2586</v>
      </c>
      <c r="B2588" s="24" t="s">
        <v>1041</v>
      </c>
      <c r="C2588" s="275">
        <v>43405.0</v>
      </c>
      <c r="D2588" s="24" t="str">
        <f t="shared" si="212"/>
        <v>Nov-2018</v>
      </c>
      <c r="E2588" t="s">
        <v>25</v>
      </c>
      <c r="F2588" s="24" t="s">
        <v>35</v>
      </c>
      <c r="G2588" s="24" t="s">
        <v>813</v>
      </c>
      <c r="H2588" s="24" t="s">
        <v>102</v>
      </c>
      <c r="I2588" s="24" t="s">
        <v>9</v>
      </c>
      <c r="J2588" s="24" t="s">
        <v>30</v>
      </c>
      <c r="K2588" s="24"/>
      <c r="L2588" s="24" t="s">
        <v>37</v>
      </c>
    </row>
    <row r="2589">
      <c r="A2589" s="24">
        <f t="shared" si="1"/>
        <v>2587</v>
      </c>
      <c r="B2589" s="24" t="s">
        <v>1041</v>
      </c>
      <c r="C2589" s="275">
        <v>43405.0</v>
      </c>
      <c r="D2589" s="24" t="str">
        <f t="shared" si="212"/>
        <v>Nov-2018</v>
      </c>
      <c r="E2589" t="s">
        <v>20</v>
      </c>
      <c r="F2589" s="24" t="s">
        <v>35</v>
      </c>
      <c r="G2589" s="24" t="s">
        <v>633</v>
      </c>
      <c r="H2589" s="24" t="s">
        <v>27</v>
      </c>
      <c r="I2589" s="24" t="s">
        <v>9</v>
      </c>
      <c r="J2589" s="24" t="s">
        <v>30</v>
      </c>
      <c r="K2589" s="24" t="s">
        <v>30</v>
      </c>
      <c r="L2589" s="24" t="s">
        <v>69</v>
      </c>
    </row>
    <row r="2590">
      <c r="A2590" s="24">
        <f t="shared" si="1"/>
        <v>2588</v>
      </c>
      <c r="B2590" s="24" t="s">
        <v>1041</v>
      </c>
      <c r="C2590" s="275">
        <v>43405.0</v>
      </c>
      <c r="D2590" s="24" t="str">
        <f t="shared" si="212"/>
        <v>Nov-2018</v>
      </c>
      <c r="E2590" t="s">
        <v>25</v>
      </c>
      <c r="F2590" s="24" t="s">
        <v>35</v>
      </c>
      <c r="G2590" s="24" t="s">
        <v>633</v>
      </c>
      <c r="H2590" s="24" t="s">
        <v>27</v>
      </c>
      <c r="I2590" s="24" t="s">
        <v>9</v>
      </c>
      <c r="J2590" s="24" t="s">
        <v>30</v>
      </c>
      <c r="K2590" s="24"/>
      <c r="L2590" s="24" t="s">
        <v>69</v>
      </c>
    </row>
    <row r="2591">
      <c r="A2591" s="24">
        <f t="shared" si="1"/>
        <v>2589</v>
      </c>
      <c r="B2591" s="24" t="s">
        <v>1041</v>
      </c>
      <c r="C2591" s="275">
        <v>43405.0</v>
      </c>
      <c r="D2591" s="24" t="str">
        <f t="shared" si="212"/>
        <v>Nov-2018</v>
      </c>
      <c r="E2591" t="s">
        <v>20</v>
      </c>
      <c r="F2591" s="24" t="s">
        <v>35</v>
      </c>
      <c r="G2591" s="24" t="s">
        <v>239</v>
      </c>
      <c r="H2591" s="24" t="s">
        <v>27</v>
      </c>
      <c r="I2591" s="24" t="s">
        <v>9</v>
      </c>
      <c r="J2591" s="24" t="s">
        <v>24</v>
      </c>
      <c r="K2591" s="24" t="s">
        <v>24</v>
      </c>
      <c r="L2591" s="24" t="s">
        <v>69</v>
      </c>
    </row>
    <row r="2592">
      <c r="A2592" s="24">
        <f t="shared" si="1"/>
        <v>2590</v>
      </c>
      <c r="B2592" s="24" t="s">
        <v>1041</v>
      </c>
      <c r="C2592" s="275">
        <v>43405.0</v>
      </c>
      <c r="D2592" s="24" t="str">
        <f t="shared" si="212"/>
        <v>Nov-2018</v>
      </c>
      <c r="E2592" t="s">
        <v>25</v>
      </c>
      <c r="F2592" s="24" t="s">
        <v>35</v>
      </c>
      <c r="G2592" s="24" t="s">
        <v>239</v>
      </c>
      <c r="H2592" s="24" t="s">
        <v>27</v>
      </c>
      <c r="I2592" s="24" t="s">
        <v>9</v>
      </c>
      <c r="J2592" s="24" t="s">
        <v>24</v>
      </c>
      <c r="K2592" s="24"/>
      <c r="L2592" s="24" t="s">
        <v>106</v>
      </c>
    </row>
    <row r="2593">
      <c r="A2593" s="24">
        <f t="shared" si="1"/>
        <v>2591</v>
      </c>
      <c r="B2593" s="24" t="s">
        <v>1041</v>
      </c>
      <c r="C2593" s="275">
        <v>43405.0</v>
      </c>
      <c r="D2593" s="24" t="str">
        <f t="shared" si="212"/>
        <v>Nov-2018</v>
      </c>
      <c r="E2593" t="s">
        <v>20</v>
      </c>
      <c r="F2593" s="24" t="s">
        <v>35</v>
      </c>
      <c r="G2593" s="24" t="s">
        <v>93</v>
      </c>
      <c r="H2593" s="24" t="s">
        <v>23</v>
      </c>
      <c r="I2593" s="24" t="s">
        <v>9</v>
      </c>
      <c r="J2593" s="24" t="s">
        <v>24</v>
      </c>
      <c r="K2593" s="24" t="s">
        <v>24</v>
      </c>
      <c r="L2593" s="24" t="s">
        <v>37</v>
      </c>
    </row>
    <row r="2594">
      <c r="A2594" s="24">
        <f t="shared" si="1"/>
        <v>2592</v>
      </c>
      <c r="B2594" s="24" t="s">
        <v>1041</v>
      </c>
      <c r="C2594" s="275">
        <v>43405.0</v>
      </c>
      <c r="D2594" s="24" t="str">
        <f t="shared" si="212"/>
        <v>Nov-2018</v>
      </c>
      <c r="E2594" t="s">
        <v>25</v>
      </c>
      <c r="F2594" s="24" t="s">
        <v>35</v>
      </c>
      <c r="G2594" s="24" t="s">
        <v>93</v>
      </c>
      <c r="H2594" s="24" t="s">
        <v>23</v>
      </c>
      <c r="I2594" s="24" t="s">
        <v>9</v>
      </c>
      <c r="J2594" s="24" t="s">
        <v>24</v>
      </c>
      <c r="K2594" s="24"/>
      <c r="L2594" s="24" t="s">
        <v>106</v>
      </c>
    </row>
    <row r="2595">
      <c r="A2595" s="24">
        <f t="shared" si="1"/>
        <v>2593</v>
      </c>
      <c r="B2595" s="24" t="s">
        <v>1041</v>
      </c>
      <c r="C2595" s="275">
        <v>43405.0</v>
      </c>
      <c r="D2595" s="24" t="str">
        <f t="shared" ref="D2595:D2603" si="213">TEXT(C2587:C2595, "mmm") &amp; "-" &amp; TEXT(C2587:C2595, "yyyy") </f>
        <v>Nov-2018</v>
      </c>
      <c r="E2595" t="s">
        <v>20</v>
      </c>
      <c r="F2595" s="24" t="s">
        <v>278</v>
      </c>
      <c r="G2595" s="24" t="s">
        <v>291</v>
      </c>
      <c r="H2595" s="24" t="s">
        <v>44</v>
      </c>
      <c r="I2595" s="24" t="s">
        <v>64</v>
      </c>
      <c r="J2595" s="24" t="s">
        <v>30</v>
      </c>
      <c r="K2595" s="24" t="s">
        <v>30</v>
      </c>
      <c r="L2595" s="24" t="s">
        <v>99</v>
      </c>
    </row>
    <row r="2596">
      <c r="A2596" s="24">
        <f t="shared" si="1"/>
        <v>2594</v>
      </c>
      <c r="B2596" s="24" t="s">
        <v>1041</v>
      </c>
      <c r="C2596" s="275">
        <v>43405.0</v>
      </c>
      <c r="D2596" s="24" t="str">
        <f t="shared" si="213"/>
        <v>Nov-2018</v>
      </c>
      <c r="E2596" t="s">
        <v>25</v>
      </c>
      <c r="F2596" s="24" t="s">
        <v>278</v>
      </c>
      <c r="G2596" s="24" t="s">
        <v>291</v>
      </c>
      <c r="H2596" s="24" t="s">
        <v>44</v>
      </c>
      <c r="I2596" s="24" t="s">
        <v>64</v>
      </c>
      <c r="J2596" s="24" t="s">
        <v>30</v>
      </c>
      <c r="K2596" s="24"/>
      <c r="L2596" s="24" t="s">
        <v>98</v>
      </c>
    </row>
    <row r="2597">
      <c r="A2597" s="24">
        <f t="shared" si="1"/>
        <v>2595</v>
      </c>
      <c r="B2597" s="24" t="s">
        <v>1041</v>
      </c>
      <c r="C2597" s="275">
        <v>43405.0</v>
      </c>
      <c r="D2597" s="24" t="str">
        <f t="shared" si="213"/>
        <v>Nov-2018</v>
      </c>
      <c r="E2597" t="s">
        <v>20</v>
      </c>
      <c r="F2597" s="24" t="s">
        <v>278</v>
      </c>
      <c r="G2597" s="24" t="s">
        <v>842</v>
      </c>
      <c r="H2597" s="24" t="s">
        <v>71</v>
      </c>
      <c r="I2597" s="24" t="s">
        <v>64</v>
      </c>
      <c r="J2597" s="24" t="s">
        <v>30</v>
      </c>
      <c r="K2597" s="24" t="s">
        <v>30</v>
      </c>
      <c r="L2597" s="24" t="s">
        <v>99</v>
      </c>
    </row>
    <row r="2598">
      <c r="A2598" s="24">
        <f t="shared" si="1"/>
        <v>2596</v>
      </c>
      <c r="B2598" s="24" t="s">
        <v>1041</v>
      </c>
      <c r="C2598" s="275">
        <v>43405.0</v>
      </c>
      <c r="D2598" s="24" t="str">
        <f t="shared" si="213"/>
        <v>Nov-2018</v>
      </c>
      <c r="E2598" t="s">
        <v>25</v>
      </c>
      <c r="F2598" s="24" t="s">
        <v>278</v>
      </c>
      <c r="G2598" s="24" t="s">
        <v>842</v>
      </c>
      <c r="H2598" s="24" t="s">
        <v>71</v>
      </c>
      <c r="I2598" s="24" t="s">
        <v>64</v>
      </c>
      <c r="J2598" s="24" t="s">
        <v>24</v>
      </c>
      <c r="K2598" s="24"/>
      <c r="L2598" s="24" t="s">
        <v>37</v>
      </c>
    </row>
    <row r="2599">
      <c r="A2599" s="24">
        <f t="shared" si="1"/>
        <v>2597</v>
      </c>
      <c r="B2599" s="24" t="s">
        <v>1041</v>
      </c>
      <c r="C2599" s="275">
        <v>43405.0</v>
      </c>
      <c r="D2599" s="24" t="str">
        <f t="shared" si="213"/>
        <v>Nov-2018</v>
      </c>
      <c r="E2599" t="s">
        <v>32</v>
      </c>
      <c r="F2599" s="24" t="s">
        <v>278</v>
      </c>
      <c r="G2599" s="24" t="s">
        <v>842</v>
      </c>
      <c r="H2599" s="24" t="s">
        <v>71</v>
      </c>
      <c r="I2599" s="24" t="s">
        <v>64</v>
      </c>
      <c r="J2599" s="24" t="s">
        <v>30</v>
      </c>
      <c r="K2599" s="24"/>
      <c r="L2599" s="24" t="s">
        <v>98</v>
      </c>
    </row>
    <row r="2600">
      <c r="A2600" s="24">
        <f t="shared" si="1"/>
        <v>2598</v>
      </c>
      <c r="B2600" s="24" t="s">
        <v>1041</v>
      </c>
      <c r="C2600" s="275">
        <v>43405.0</v>
      </c>
      <c r="D2600" s="24" t="str">
        <f t="shared" si="213"/>
        <v>Nov-2018</v>
      </c>
      <c r="E2600" t="s">
        <v>20</v>
      </c>
      <c r="F2600" s="24" t="s">
        <v>278</v>
      </c>
      <c r="G2600" s="24" t="s">
        <v>493</v>
      </c>
      <c r="H2600" s="24" t="s">
        <v>44</v>
      </c>
      <c r="I2600" s="24" t="s">
        <v>64</v>
      </c>
      <c r="J2600" s="24" t="s">
        <v>24</v>
      </c>
      <c r="K2600" s="24" t="s">
        <v>24</v>
      </c>
      <c r="L2600" s="24" t="s">
        <v>99</v>
      </c>
    </row>
    <row r="2601">
      <c r="A2601" s="24">
        <f t="shared" si="1"/>
        <v>2599</v>
      </c>
      <c r="B2601" s="24" t="s">
        <v>1041</v>
      </c>
      <c r="C2601" s="275">
        <v>43405.0</v>
      </c>
      <c r="D2601" s="24" t="str">
        <f t="shared" si="213"/>
        <v>Nov-2018</v>
      </c>
      <c r="E2601" t="s">
        <v>25</v>
      </c>
      <c r="F2601" s="24" t="s">
        <v>278</v>
      </c>
      <c r="G2601" s="24" t="s">
        <v>493</v>
      </c>
      <c r="H2601" s="24" t="s">
        <v>44</v>
      </c>
      <c r="I2601" s="24" t="s">
        <v>64</v>
      </c>
      <c r="J2601" s="24" t="s">
        <v>24</v>
      </c>
      <c r="K2601" s="24"/>
      <c r="L2601" s="24" t="s">
        <v>98</v>
      </c>
    </row>
    <row r="2602">
      <c r="A2602" s="24">
        <f t="shared" si="1"/>
        <v>2600</v>
      </c>
      <c r="B2602" s="24" t="s">
        <v>1041</v>
      </c>
      <c r="C2602" s="275">
        <v>43405.0</v>
      </c>
      <c r="D2602" s="24" t="str">
        <f t="shared" si="213"/>
        <v>Nov-2018</v>
      </c>
      <c r="E2602" t="s">
        <v>20</v>
      </c>
      <c r="F2602" s="24" t="s">
        <v>278</v>
      </c>
      <c r="G2602" s="24" t="s">
        <v>989</v>
      </c>
      <c r="H2602" s="24" t="s">
        <v>27</v>
      </c>
      <c r="I2602" s="24" t="s">
        <v>64</v>
      </c>
      <c r="J2602" s="24" t="s">
        <v>24</v>
      </c>
      <c r="K2602" s="24" t="s">
        <v>24</v>
      </c>
      <c r="L2602" s="24" t="s">
        <v>98</v>
      </c>
    </row>
    <row r="2603">
      <c r="A2603" s="24">
        <f t="shared" si="1"/>
        <v>2601</v>
      </c>
      <c r="B2603" s="24" t="s">
        <v>1041</v>
      </c>
      <c r="C2603" s="275">
        <v>43405.0</v>
      </c>
      <c r="D2603" s="24" t="str">
        <f t="shared" si="213"/>
        <v>Nov-2018</v>
      </c>
      <c r="E2603" t="s">
        <v>25</v>
      </c>
      <c r="F2603" s="24" t="s">
        <v>278</v>
      </c>
      <c r="G2603" s="24" t="s">
        <v>989</v>
      </c>
      <c r="H2603" s="24" t="s">
        <v>27</v>
      </c>
      <c r="I2603" s="24" t="s">
        <v>64</v>
      </c>
      <c r="J2603" s="24" t="s">
        <v>24</v>
      </c>
      <c r="K2603" s="24"/>
      <c r="L2603" s="24" t="s">
        <v>98</v>
      </c>
    </row>
    <row r="2604">
      <c r="A2604" s="24">
        <f t="shared" si="1"/>
        <v>2602</v>
      </c>
      <c r="B2604" s="24" t="s">
        <v>1045</v>
      </c>
      <c r="C2604" s="275">
        <v>43407.0</v>
      </c>
      <c r="D2604" s="24" t="str">
        <f t="shared" ref="D2604:D2611" si="214">TEXT(C2597:C2604, "mmm") &amp; "-" &amp; TEXT(C2597:C2604, "yyyy") </f>
        <v>Nov-2018</v>
      </c>
      <c r="E2604" t="s">
        <v>20</v>
      </c>
      <c r="F2604" s="24" t="s">
        <v>35</v>
      </c>
      <c r="G2604" s="24" t="s">
        <v>1046</v>
      </c>
      <c r="H2604" s="24" t="s">
        <v>86</v>
      </c>
      <c r="I2604" s="24" t="s">
        <v>9</v>
      </c>
      <c r="J2604" s="24" t="s">
        <v>30</v>
      </c>
      <c r="K2604" s="24" t="s">
        <v>30</v>
      </c>
      <c r="L2604" s="24" t="s">
        <v>29</v>
      </c>
    </row>
    <row r="2605">
      <c r="A2605" s="24">
        <f t="shared" si="1"/>
        <v>2603</v>
      </c>
      <c r="B2605" s="24" t="s">
        <v>1045</v>
      </c>
      <c r="C2605" s="275">
        <v>43407.0</v>
      </c>
      <c r="D2605" s="24" t="str">
        <f t="shared" si="214"/>
        <v>Nov-2018</v>
      </c>
      <c r="E2605" t="s">
        <v>25</v>
      </c>
      <c r="F2605" s="24" t="s">
        <v>35</v>
      </c>
      <c r="G2605" s="24" t="s">
        <v>1046</v>
      </c>
      <c r="H2605" s="24" t="s">
        <v>86</v>
      </c>
      <c r="I2605" s="24" t="s">
        <v>9</v>
      </c>
      <c r="J2605" s="24" t="s">
        <v>30</v>
      </c>
      <c r="K2605" s="24"/>
      <c r="L2605" s="24" t="s">
        <v>69</v>
      </c>
    </row>
    <row r="2606">
      <c r="A2606" s="24">
        <f t="shared" si="1"/>
        <v>2604</v>
      </c>
      <c r="B2606" s="24" t="s">
        <v>1045</v>
      </c>
      <c r="C2606" s="275">
        <v>43407.0</v>
      </c>
      <c r="D2606" s="24" t="str">
        <f t="shared" si="214"/>
        <v>Nov-2018</v>
      </c>
      <c r="E2606" t="s">
        <v>20</v>
      </c>
      <c r="F2606" s="24" t="s">
        <v>35</v>
      </c>
      <c r="G2606" s="24" t="s">
        <v>1047</v>
      </c>
      <c r="H2606" s="24" t="s">
        <v>71</v>
      </c>
      <c r="I2606" s="24" t="s">
        <v>9</v>
      </c>
      <c r="J2606" s="24" t="s">
        <v>30</v>
      </c>
      <c r="K2606" s="24" t="s">
        <v>30</v>
      </c>
      <c r="L2606" s="24" t="s">
        <v>98</v>
      </c>
    </row>
    <row r="2607">
      <c r="A2607" s="24">
        <f t="shared" si="1"/>
        <v>2605</v>
      </c>
      <c r="B2607" s="24" t="s">
        <v>1045</v>
      </c>
      <c r="C2607" s="275">
        <v>43407.0</v>
      </c>
      <c r="D2607" s="24" t="str">
        <f t="shared" si="214"/>
        <v>Nov-2018</v>
      </c>
      <c r="E2607" t="s">
        <v>25</v>
      </c>
      <c r="F2607" s="24" t="s">
        <v>35</v>
      </c>
      <c r="G2607" s="24" t="s">
        <v>1047</v>
      </c>
      <c r="H2607" s="24" t="s">
        <v>182</v>
      </c>
      <c r="I2607" s="24" t="s">
        <v>9</v>
      </c>
      <c r="J2607" s="24" t="s">
        <v>30</v>
      </c>
      <c r="K2607" s="24"/>
      <c r="L2607" s="24" t="s">
        <v>98</v>
      </c>
    </row>
    <row r="2608">
      <c r="A2608" s="24">
        <f t="shared" si="1"/>
        <v>2606</v>
      </c>
      <c r="B2608" s="24" t="s">
        <v>1045</v>
      </c>
      <c r="C2608" s="275">
        <v>43407.0</v>
      </c>
      <c r="D2608" s="24" t="str">
        <f t="shared" si="214"/>
        <v>Nov-2018</v>
      </c>
      <c r="E2608" t="s">
        <v>20</v>
      </c>
      <c r="F2608" s="24" t="s">
        <v>35</v>
      </c>
      <c r="G2608" s="24" t="s">
        <v>1048</v>
      </c>
      <c r="H2608" s="24" t="s">
        <v>97</v>
      </c>
      <c r="I2608" s="24" t="s">
        <v>9</v>
      </c>
      <c r="J2608" s="24" t="s">
        <v>30</v>
      </c>
      <c r="K2608" s="24" t="s">
        <v>30</v>
      </c>
      <c r="L2608" s="24" t="s">
        <v>69</v>
      </c>
    </row>
    <row r="2609">
      <c r="A2609" s="24">
        <f t="shared" si="1"/>
        <v>2607</v>
      </c>
      <c r="B2609" s="24" t="s">
        <v>1045</v>
      </c>
      <c r="C2609" s="275">
        <v>43407.0</v>
      </c>
      <c r="D2609" s="24" t="str">
        <f t="shared" si="214"/>
        <v>Nov-2018</v>
      </c>
      <c r="E2609" t="s">
        <v>25</v>
      </c>
      <c r="F2609" s="24" t="s">
        <v>35</v>
      </c>
      <c r="G2609" s="24" t="s">
        <v>1048</v>
      </c>
      <c r="H2609" s="24" t="s">
        <v>97</v>
      </c>
      <c r="I2609" s="24" t="s">
        <v>9</v>
      </c>
      <c r="J2609" s="24" t="s">
        <v>30</v>
      </c>
      <c r="K2609" s="24"/>
      <c r="L2609" s="24" t="s">
        <v>106</v>
      </c>
    </row>
    <row r="2610">
      <c r="A2610" s="24">
        <f t="shared" si="1"/>
        <v>2608</v>
      </c>
      <c r="B2610" s="24" t="s">
        <v>1045</v>
      </c>
      <c r="C2610" s="275">
        <v>43407.0</v>
      </c>
      <c r="D2610" s="24" t="str">
        <f t="shared" si="214"/>
        <v>Nov-2018</v>
      </c>
      <c r="E2610" t="s">
        <v>20</v>
      </c>
      <c r="F2610" s="24" t="s">
        <v>35</v>
      </c>
      <c r="G2610" s="24" t="s">
        <v>936</v>
      </c>
      <c r="H2610" s="24" t="s">
        <v>86</v>
      </c>
      <c r="I2610" s="24" t="s">
        <v>9</v>
      </c>
      <c r="J2610" s="24" t="s">
        <v>30</v>
      </c>
      <c r="K2610" s="24" t="s">
        <v>24</v>
      </c>
      <c r="L2610" s="24" t="s">
        <v>69</v>
      </c>
    </row>
    <row r="2611">
      <c r="A2611" s="24">
        <f t="shared" si="1"/>
        <v>2609</v>
      </c>
      <c r="B2611" s="24" t="s">
        <v>1045</v>
      </c>
      <c r="C2611" s="275">
        <v>43407.0</v>
      </c>
      <c r="D2611" s="24" t="str">
        <f t="shared" si="214"/>
        <v>Nov-2018</v>
      </c>
      <c r="E2611" t="s">
        <v>25</v>
      </c>
      <c r="F2611" s="24" t="s">
        <v>35</v>
      </c>
      <c r="G2611" s="24" t="s">
        <v>936</v>
      </c>
      <c r="H2611" s="24" t="s">
        <v>86</v>
      </c>
      <c r="I2611" s="24" t="s">
        <v>9</v>
      </c>
      <c r="J2611" s="24" t="s">
        <v>24</v>
      </c>
      <c r="K2611" s="24"/>
      <c r="L2611" s="24" t="s">
        <v>98</v>
      </c>
    </row>
    <row r="2612">
      <c r="A2612" s="24">
        <f t="shared" si="1"/>
        <v>2610</v>
      </c>
      <c r="B2612" s="24" t="s">
        <v>1045</v>
      </c>
      <c r="C2612" s="275">
        <v>43407.0</v>
      </c>
      <c r="D2612" s="24" t="str">
        <f t="shared" ref="D2612:D2614" si="215">TEXT(C2604:C2612, "mmm") &amp; "-" &amp; TEXT(C2604:C2612, "yyyy") </f>
        <v>Nov-2018</v>
      </c>
      <c r="E2612" t="s">
        <v>32</v>
      </c>
      <c r="F2612" s="24" t="s">
        <v>35</v>
      </c>
      <c r="G2612" s="24" t="s">
        <v>936</v>
      </c>
      <c r="H2612" s="24" t="s">
        <v>86</v>
      </c>
      <c r="I2612" s="24" t="s">
        <v>9</v>
      </c>
      <c r="J2612" s="24" t="s">
        <v>24</v>
      </c>
      <c r="K2612" s="24"/>
      <c r="L2612" s="24" t="s">
        <v>29</v>
      </c>
    </row>
    <row r="2613">
      <c r="A2613" s="24">
        <f t="shared" si="1"/>
        <v>2611</v>
      </c>
      <c r="B2613" s="24" t="s">
        <v>1045</v>
      </c>
      <c r="C2613" s="275">
        <v>43407.0</v>
      </c>
      <c r="D2613" s="24" t="str">
        <f t="shared" si="215"/>
        <v>Nov-2018</v>
      </c>
      <c r="E2613" t="s">
        <v>20</v>
      </c>
      <c r="F2613" s="24" t="s">
        <v>35</v>
      </c>
      <c r="G2613" s="24" t="s">
        <v>452</v>
      </c>
      <c r="H2613" s="24" t="s">
        <v>27</v>
      </c>
      <c r="I2613" s="24" t="s">
        <v>9</v>
      </c>
      <c r="J2613" s="24" t="s">
        <v>24</v>
      </c>
      <c r="K2613" s="24" t="s">
        <v>24</v>
      </c>
      <c r="L2613" s="24" t="s">
        <v>98</v>
      </c>
    </row>
    <row r="2614">
      <c r="A2614" s="24">
        <f t="shared" si="1"/>
        <v>2612</v>
      </c>
      <c r="B2614" s="24" t="s">
        <v>1045</v>
      </c>
      <c r="C2614" s="275">
        <v>43407.0</v>
      </c>
      <c r="D2614" s="24" t="str">
        <f t="shared" si="215"/>
        <v>Nov-2018</v>
      </c>
      <c r="E2614" t="s">
        <v>25</v>
      </c>
      <c r="F2614" s="24" t="s">
        <v>35</v>
      </c>
      <c r="G2614" s="24" t="s">
        <v>452</v>
      </c>
      <c r="H2614" s="24" t="s">
        <v>27</v>
      </c>
      <c r="I2614" s="24" t="s">
        <v>9</v>
      </c>
      <c r="J2614" s="24" t="s">
        <v>24</v>
      </c>
      <c r="K2614" s="24"/>
      <c r="L2614" s="24" t="s">
        <v>106</v>
      </c>
    </row>
    <row r="2615">
      <c r="A2615" s="24">
        <f t="shared" si="1"/>
        <v>2613</v>
      </c>
      <c r="B2615" s="24" t="s">
        <v>1050</v>
      </c>
      <c r="C2615" s="339">
        <v>43409.0</v>
      </c>
      <c r="D2615" s="24" t="str">
        <f t="shared" ref="D2615:D2622" si="216">TEXT(C2608:C2615, "mmm") &amp; "-" &amp; TEXT(C2608:C2615, "yyyy") </f>
        <v>Nov-2018</v>
      </c>
      <c r="E2615" t="s">
        <v>20</v>
      </c>
      <c r="F2615" s="24" t="s">
        <v>35</v>
      </c>
      <c r="G2615" s="24" t="s">
        <v>302</v>
      </c>
      <c r="H2615" s="24" t="s">
        <v>27</v>
      </c>
      <c r="I2615" s="24" t="s">
        <v>9</v>
      </c>
      <c r="J2615" s="24" t="s">
        <v>30</v>
      </c>
      <c r="K2615" s="24" t="s">
        <v>30</v>
      </c>
      <c r="L2615" s="24" t="s">
        <v>98</v>
      </c>
    </row>
    <row r="2616">
      <c r="A2616" s="24">
        <f t="shared" si="1"/>
        <v>2614</v>
      </c>
      <c r="B2616" s="24" t="s">
        <v>1050</v>
      </c>
      <c r="C2616" s="339">
        <v>43409.0</v>
      </c>
      <c r="D2616" s="24" t="str">
        <f t="shared" si="216"/>
        <v>Nov-2018</v>
      </c>
      <c r="E2616" t="s">
        <v>25</v>
      </c>
      <c r="F2616" s="24" t="s">
        <v>35</v>
      </c>
      <c r="G2616" s="24" t="s">
        <v>302</v>
      </c>
      <c r="H2616" s="24" t="s">
        <v>27</v>
      </c>
      <c r="I2616" s="24" t="s">
        <v>9</v>
      </c>
      <c r="J2616" s="24" t="s">
        <v>30</v>
      </c>
      <c r="K2616" s="24"/>
      <c r="L2616" s="24" t="s">
        <v>29</v>
      </c>
    </row>
    <row r="2617">
      <c r="A2617" s="24">
        <f t="shared" si="1"/>
        <v>2615</v>
      </c>
      <c r="B2617" s="24" t="s">
        <v>1050</v>
      </c>
      <c r="C2617" s="339">
        <v>43409.0</v>
      </c>
      <c r="D2617" s="24" t="str">
        <f t="shared" si="216"/>
        <v>Nov-2018</v>
      </c>
      <c r="E2617" t="s">
        <v>146</v>
      </c>
      <c r="F2617" s="24" t="s">
        <v>35</v>
      </c>
      <c r="G2617" s="24" t="s">
        <v>394</v>
      </c>
      <c r="H2617" s="24" t="s">
        <v>139</v>
      </c>
      <c r="I2617" s="24" t="s">
        <v>9</v>
      </c>
      <c r="J2617" s="24" t="s">
        <v>30</v>
      </c>
      <c r="K2617" s="24" t="s">
        <v>30</v>
      </c>
      <c r="L2617" s="24" t="s">
        <v>37</v>
      </c>
    </row>
    <row r="2618">
      <c r="A2618" s="24">
        <f t="shared" si="1"/>
        <v>2616</v>
      </c>
      <c r="B2618" s="24" t="s">
        <v>1050</v>
      </c>
      <c r="C2618" s="339">
        <v>43409.0</v>
      </c>
      <c r="D2618" s="24" t="str">
        <f t="shared" si="216"/>
        <v>Nov-2018</v>
      </c>
      <c r="E2618" t="s">
        <v>149</v>
      </c>
      <c r="F2618" s="24" t="s">
        <v>35</v>
      </c>
      <c r="G2618" s="24" t="s">
        <v>394</v>
      </c>
      <c r="H2618" s="24" t="s">
        <v>139</v>
      </c>
      <c r="I2618" s="24" t="s">
        <v>64</v>
      </c>
      <c r="J2618" s="24" t="s">
        <v>30</v>
      </c>
      <c r="K2618" s="24"/>
      <c r="L2618" s="24" t="s">
        <v>29</v>
      </c>
    </row>
    <row r="2619">
      <c r="A2619" s="24">
        <f t="shared" si="1"/>
        <v>2617</v>
      </c>
      <c r="B2619" s="24" t="s">
        <v>1050</v>
      </c>
      <c r="C2619" s="339">
        <v>43409.0</v>
      </c>
      <c r="D2619" s="24" t="str">
        <f t="shared" si="216"/>
        <v>Nov-2018</v>
      </c>
      <c r="E2619" t="s">
        <v>222</v>
      </c>
      <c r="F2619" s="24" t="s">
        <v>35</v>
      </c>
      <c r="G2619" s="24" t="s">
        <v>394</v>
      </c>
      <c r="H2619" s="24" t="s">
        <v>40</v>
      </c>
      <c r="I2619" s="24" t="s">
        <v>9</v>
      </c>
      <c r="J2619" s="24" t="s">
        <v>30</v>
      </c>
      <c r="K2619" s="24"/>
      <c r="L2619" s="24" t="s">
        <v>69</v>
      </c>
    </row>
    <row r="2620">
      <c r="A2620" s="24">
        <f t="shared" si="1"/>
        <v>2618</v>
      </c>
      <c r="B2620" s="24" t="s">
        <v>1050</v>
      </c>
      <c r="C2620" s="339">
        <v>43409.0</v>
      </c>
      <c r="D2620" s="24" t="str">
        <f t="shared" si="216"/>
        <v>Nov-2018</v>
      </c>
      <c r="E2620" t="s">
        <v>146</v>
      </c>
      <c r="F2620" s="24" t="s">
        <v>35</v>
      </c>
      <c r="G2620" s="24" t="s">
        <v>93</v>
      </c>
      <c r="H2620" s="24" t="s">
        <v>23</v>
      </c>
      <c r="I2620" s="24" t="s">
        <v>9</v>
      </c>
      <c r="J2620" s="24" t="s">
        <v>24</v>
      </c>
      <c r="K2620" s="24" t="s">
        <v>24</v>
      </c>
      <c r="L2620" s="24" t="s">
        <v>69</v>
      </c>
    </row>
    <row r="2621">
      <c r="A2621" s="24">
        <f t="shared" si="1"/>
        <v>2619</v>
      </c>
      <c r="B2621" s="24" t="s">
        <v>1050</v>
      </c>
      <c r="C2621" s="339">
        <v>43409.0</v>
      </c>
      <c r="D2621" s="24" t="str">
        <f t="shared" si="216"/>
        <v>Nov-2018</v>
      </c>
      <c r="E2621" t="s">
        <v>149</v>
      </c>
      <c r="F2621" s="24" t="s">
        <v>35</v>
      </c>
      <c r="G2621" s="24" t="s">
        <v>93</v>
      </c>
      <c r="H2621" s="24" t="s">
        <v>23</v>
      </c>
      <c r="I2621" s="24" t="s">
        <v>9</v>
      </c>
      <c r="J2621" s="24" t="s">
        <v>24</v>
      </c>
      <c r="K2621" s="24"/>
      <c r="L2621" s="24" t="s">
        <v>106</v>
      </c>
    </row>
    <row r="2622">
      <c r="A2622" s="24">
        <f t="shared" si="1"/>
        <v>2620</v>
      </c>
      <c r="B2622" s="24" t="s">
        <v>1050</v>
      </c>
      <c r="C2622" s="339">
        <v>43409.0</v>
      </c>
      <c r="D2622" s="24" t="str">
        <f t="shared" si="216"/>
        <v>Nov-2018</v>
      </c>
      <c r="E2622" t="s">
        <v>222</v>
      </c>
      <c r="F2622" s="24" t="s">
        <v>35</v>
      </c>
      <c r="G2622" s="24" t="s">
        <v>93</v>
      </c>
      <c r="H2622" s="24" t="s">
        <v>23</v>
      </c>
      <c r="I2622" s="24" t="s">
        <v>9</v>
      </c>
      <c r="J2622" s="24" t="s">
        <v>30</v>
      </c>
      <c r="K2622" s="24"/>
      <c r="L2622" s="24" t="s">
        <v>29</v>
      </c>
    </row>
    <row r="2623">
      <c r="A2623" s="24">
        <f t="shared" si="1"/>
        <v>2621</v>
      </c>
      <c r="B2623" s="24" t="s">
        <v>1050</v>
      </c>
      <c r="C2623" s="339">
        <v>43409.0</v>
      </c>
      <c r="D2623" s="24" t="str">
        <f t="shared" ref="D2623:D2634" si="217">TEXT(C2615:C2623, "mmm") &amp; "-" &amp; TEXT(C2615:C2623, "yyyy") </f>
        <v>Nov-2018</v>
      </c>
      <c r="E2623" t="s">
        <v>467</v>
      </c>
      <c r="F2623" s="24" t="s">
        <v>35</v>
      </c>
      <c r="G2623" s="24" t="s">
        <v>93</v>
      </c>
      <c r="H2623" s="24" t="s">
        <v>23</v>
      </c>
      <c r="I2623" s="24" t="s">
        <v>9</v>
      </c>
      <c r="J2623" s="24" t="s">
        <v>30</v>
      </c>
      <c r="K2623" s="24"/>
      <c r="L2623" s="24" t="s">
        <v>98</v>
      </c>
    </row>
    <row r="2624">
      <c r="A2624" s="24">
        <f t="shared" si="1"/>
        <v>2622</v>
      </c>
      <c r="B2624" s="24" t="s">
        <v>1050</v>
      </c>
      <c r="C2624" s="339">
        <v>43409.0</v>
      </c>
      <c r="D2624" s="24" t="str">
        <f t="shared" si="217"/>
        <v>Nov-2018</v>
      </c>
      <c r="E2624" s="24" t="s">
        <v>480</v>
      </c>
      <c r="F2624" s="24" t="s">
        <v>35</v>
      </c>
      <c r="G2624" s="24" t="s">
        <v>93</v>
      </c>
      <c r="H2624" s="24" t="s">
        <v>23</v>
      </c>
      <c r="I2624" s="24" t="s">
        <v>9</v>
      </c>
      <c r="J2624" s="24" t="s">
        <v>24</v>
      </c>
      <c r="K2624" s="24"/>
      <c r="L2624" s="24" t="s">
        <v>99</v>
      </c>
    </row>
    <row r="2625">
      <c r="A2625" s="24">
        <f t="shared" si="1"/>
        <v>2623</v>
      </c>
      <c r="B2625" s="24" t="s">
        <v>1050</v>
      </c>
      <c r="C2625" s="339">
        <v>43409.0</v>
      </c>
      <c r="D2625" s="24" t="str">
        <f t="shared" si="217"/>
        <v>Nov-2018</v>
      </c>
      <c r="E2625" t="s">
        <v>146</v>
      </c>
      <c r="F2625" s="24" t="s">
        <v>35</v>
      </c>
      <c r="G2625" s="24" t="s">
        <v>394</v>
      </c>
      <c r="H2625" s="24" t="s">
        <v>139</v>
      </c>
      <c r="I2625" s="24" t="s">
        <v>9</v>
      </c>
      <c r="J2625" s="24" t="s">
        <v>30</v>
      </c>
      <c r="K2625" s="24" t="s">
        <v>30</v>
      </c>
      <c r="L2625" s="24" t="s">
        <v>98</v>
      </c>
    </row>
    <row r="2626">
      <c r="A2626" s="24">
        <f t="shared" si="1"/>
        <v>2624</v>
      </c>
      <c r="B2626" s="24" t="s">
        <v>1050</v>
      </c>
      <c r="C2626" s="339">
        <v>43409.0</v>
      </c>
      <c r="D2626" s="24" t="str">
        <f t="shared" si="217"/>
        <v>Nov-2018</v>
      </c>
      <c r="E2626" t="s">
        <v>149</v>
      </c>
      <c r="F2626" s="24" t="s">
        <v>35</v>
      </c>
      <c r="G2626" s="24" t="s">
        <v>394</v>
      </c>
      <c r="H2626" s="24" t="s">
        <v>139</v>
      </c>
      <c r="I2626" s="24" t="s">
        <v>9</v>
      </c>
      <c r="J2626" s="24" t="s">
        <v>30</v>
      </c>
      <c r="K2626" s="24"/>
      <c r="L2626" s="24" t="s">
        <v>29</v>
      </c>
    </row>
    <row r="2627">
      <c r="A2627" s="24">
        <f t="shared" si="1"/>
        <v>2625</v>
      </c>
      <c r="B2627" s="24" t="s">
        <v>1050</v>
      </c>
      <c r="C2627" s="339">
        <v>43409.0</v>
      </c>
      <c r="D2627" s="24" t="str">
        <f t="shared" si="217"/>
        <v>Nov-2018</v>
      </c>
      <c r="E2627" t="s">
        <v>222</v>
      </c>
      <c r="F2627" s="24" t="s">
        <v>35</v>
      </c>
      <c r="G2627" s="24" t="s">
        <v>394</v>
      </c>
      <c r="H2627" s="24" t="s">
        <v>40</v>
      </c>
      <c r="I2627" s="24" t="s">
        <v>9</v>
      </c>
      <c r="J2627" s="24" t="s">
        <v>30</v>
      </c>
      <c r="K2627" s="24"/>
      <c r="L2627" s="24" t="s">
        <v>69</v>
      </c>
    </row>
    <row r="2628">
      <c r="A2628" s="24">
        <f t="shared" si="1"/>
        <v>2626</v>
      </c>
      <c r="B2628" s="24" t="s">
        <v>1050</v>
      </c>
      <c r="C2628" s="339">
        <v>43409.0</v>
      </c>
      <c r="D2628" s="24" t="str">
        <f t="shared" si="217"/>
        <v>Nov-2018</v>
      </c>
      <c r="E2628" t="s">
        <v>146</v>
      </c>
      <c r="F2628" s="24" t="s">
        <v>35</v>
      </c>
      <c r="G2628" s="24" t="s">
        <v>93</v>
      </c>
      <c r="H2628" s="24" t="s">
        <v>23</v>
      </c>
      <c r="I2628" s="24" t="s">
        <v>9</v>
      </c>
      <c r="J2628" s="24" t="s">
        <v>30</v>
      </c>
      <c r="K2628" s="24" t="s">
        <v>30</v>
      </c>
      <c r="L2628" s="24" t="s">
        <v>69</v>
      </c>
    </row>
    <row r="2629">
      <c r="A2629" s="24">
        <f t="shared" si="1"/>
        <v>2627</v>
      </c>
      <c r="B2629" s="24" t="s">
        <v>1050</v>
      </c>
      <c r="C2629" s="339">
        <v>43409.0</v>
      </c>
      <c r="D2629" s="24" t="str">
        <f t="shared" si="217"/>
        <v>Nov-2018</v>
      </c>
      <c r="E2629" t="s">
        <v>149</v>
      </c>
      <c r="F2629" s="24" t="s">
        <v>35</v>
      </c>
      <c r="G2629" s="24" t="s">
        <v>93</v>
      </c>
      <c r="H2629" s="24" t="s">
        <v>23</v>
      </c>
      <c r="I2629" s="24" t="s">
        <v>9</v>
      </c>
      <c r="J2629" s="24" t="s">
        <v>30</v>
      </c>
      <c r="K2629" s="24"/>
      <c r="L2629" s="24" t="s">
        <v>98</v>
      </c>
    </row>
    <row r="2630">
      <c r="A2630" s="24">
        <f t="shared" si="1"/>
        <v>2628</v>
      </c>
      <c r="B2630" s="24" t="s">
        <v>1050</v>
      </c>
      <c r="C2630" s="339">
        <v>43409.0</v>
      </c>
      <c r="D2630" s="24" t="str">
        <f t="shared" si="217"/>
        <v>Nov-2018</v>
      </c>
      <c r="E2630" t="s">
        <v>222</v>
      </c>
      <c r="F2630" s="24" t="s">
        <v>35</v>
      </c>
      <c r="G2630" s="24" t="s">
        <v>93</v>
      </c>
      <c r="H2630" s="24" t="s">
        <v>23</v>
      </c>
      <c r="I2630" s="24" t="s">
        <v>9</v>
      </c>
      <c r="J2630" s="24" t="s">
        <v>30</v>
      </c>
      <c r="K2630" s="24"/>
      <c r="L2630" s="24" t="s">
        <v>99</v>
      </c>
    </row>
    <row r="2631">
      <c r="A2631" s="24">
        <f t="shared" si="1"/>
        <v>2629</v>
      </c>
      <c r="B2631" s="24" t="s">
        <v>1050</v>
      </c>
      <c r="C2631" s="339">
        <v>43409.0</v>
      </c>
      <c r="D2631" s="24" t="str">
        <f t="shared" si="217"/>
        <v>Nov-2018</v>
      </c>
      <c r="E2631" t="s">
        <v>146</v>
      </c>
      <c r="F2631" s="24" t="s">
        <v>35</v>
      </c>
      <c r="G2631" s="24" t="s">
        <v>93</v>
      </c>
      <c r="H2631" s="24" t="s">
        <v>23</v>
      </c>
      <c r="I2631" s="24" t="s">
        <v>9</v>
      </c>
      <c r="J2631" s="24" t="s">
        <v>24</v>
      </c>
      <c r="K2631" s="24" t="s">
        <v>30</v>
      </c>
      <c r="L2631" s="24" t="s">
        <v>69</v>
      </c>
    </row>
    <row r="2632">
      <c r="A2632" s="24">
        <f t="shared" si="1"/>
        <v>2630</v>
      </c>
      <c r="B2632" s="24" t="s">
        <v>1050</v>
      </c>
      <c r="C2632" s="339">
        <v>43409.0</v>
      </c>
      <c r="D2632" s="24" t="str">
        <f t="shared" si="217"/>
        <v>Nov-2018</v>
      </c>
      <c r="E2632" t="s">
        <v>149</v>
      </c>
      <c r="F2632" s="24" t="s">
        <v>35</v>
      </c>
      <c r="G2632" s="24" t="s">
        <v>93</v>
      </c>
      <c r="H2632" s="24" t="s">
        <v>23</v>
      </c>
      <c r="I2632" s="24" t="s">
        <v>9</v>
      </c>
      <c r="J2632" s="24" t="s">
        <v>30</v>
      </c>
      <c r="K2632" s="24"/>
      <c r="L2632" s="24" t="s">
        <v>106</v>
      </c>
    </row>
    <row r="2633">
      <c r="A2633" s="24">
        <f t="shared" si="1"/>
        <v>2631</v>
      </c>
      <c r="B2633" s="24" t="s">
        <v>1050</v>
      </c>
      <c r="C2633" s="339">
        <v>43409.0</v>
      </c>
      <c r="D2633" s="24" t="str">
        <f t="shared" si="217"/>
        <v>Nov-2018</v>
      </c>
      <c r="E2633" t="s">
        <v>222</v>
      </c>
      <c r="F2633" s="24" t="s">
        <v>35</v>
      </c>
      <c r="G2633" s="24" t="s">
        <v>93</v>
      </c>
      <c r="H2633" s="24" t="s">
        <v>23</v>
      </c>
      <c r="I2633" s="24" t="s">
        <v>9</v>
      </c>
      <c r="J2633" s="24" t="s">
        <v>30</v>
      </c>
      <c r="K2633" s="24"/>
      <c r="L2633" s="24" t="s">
        <v>99</v>
      </c>
    </row>
    <row r="2634">
      <c r="A2634" s="24">
        <f t="shared" si="1"/>
        <v>2632</v>
      </c>
      <c r="B2634" s="24" t="s">
        <v>1050</v>
      </c>
      <c r="C2634" s="339">
        <v>43409.0</v>
      </c>
      <c r="D2634" s="24" t="str">
        <f t="shared" si="217"/>
        <v>Nov-2018</v>
      </c>
      <c r="E2634" t="s">
        <v>467</v>
      </c>
      <c r="F2634" s="24" t="s">
        <v>35</v>
      </c>
      <c r="G2634" s="24" t="s">
        <v>93</v>
      </c>
      <c r="H2634" s="24" t="s">
        <v>23</v>
      </c>
      <c r="I2634" s="24" t="s">
        <v>9</v>
      </c>
      <c r="J2634" s="24" t="s">
        <v>30</v>
      </c>
      <c r="K2634" s="24"/>
      <c r="L2634" s="24" t="s">
        <v>99</v>
      </c>
    </row>
    <row r="2635">
      <c r="A2635" s="24">
        <f t="shared" si="1"/>
        <v>2633</v>
      </c>
      <c r="B2635" s="24" t="s">
        <v>1053</v>
      </c>
      <c r="C2635" s="275">
        <v>43421.0</v>
      </c>
      <c r="D2635" s="24" t="str">
        <f t="shared" ref="D2635:D2642" si="218">TEXT(C2628:C2635, "mmm") &amp; "-" &amp; TEXT(C2628:C2635, "yyyy") </f>
        <v>Nov-2018</v>
      </c>
      <c r="E2635" t="s">
        <v>20</v>
      </c>
      <c r="F2635" s="24" t="s">
        <v>21</v>
      </c>
      <c r="G2635" s="24" t="s">
        <v>941</v>
      </c>
      <c r="H2635" s="24" t="s">
        <v>23</v>
      </c>
      <c r="I2635" s="24" t="s">
        <v>9</v>
      </c>
      <c r="J2635" s="24" t="s">
        <v>30</v>
      </c>
      <c r="K2635" s="24" t="s">
        <v>30</v>
      </c>
      <c r="L2635" s="24" t="s">
        <v>69</v>
      </c>
    </row>
    <row r="2636">
      <c r="A2636" s="24">
        <f t="shared" si="1"/>
        <v>2634</v>
      </c>
      <c r="B2636" s="24" t="s">
        <v>1053</v>
      </c>
      <c r="C2636" s="275">
        <v>43421.0</v>
      </c>
      <c r="D2636" s="24" t="str">
        <f t="shared" si="218"/>
        <v>Nov-2018</v>
      </c>
      <c r="E2636" t="s">
        <v>25</v>
      </c>
      <c r="F2636" s="24" t="s">
        <v>21</v>
      </c>
      <c r="G2636" s="24" t="s">
        <v>941</v>
      </c>
      <c r="H2636" s="24" t="s">
        <v>23</v>
      </c>
      <c r="I2636" s="24" t="s">
        <v>9</v>
      </c>
      <c r="J2636" s="24" t="s">
        <v>30</v>
      </c>
      <c r="K2636" s="24"/>
      <c r="L2636" s="24" t="s">
        <v>99</v>
      </c>
    </row>
    <row r="2637">
      <c r="A2637" s="24">
        <f t="shared" si="1"/>
        <v>2635</v>
      </c>
      <c r="B2637" s="24" t="s">
        <v>1053</v>
      </c>
      <c r="C2637" s="275">
        <v>43421.0</v>
      </c>
      <c r="D2637" s="24" t="str">
        <f t="shared" si="218"/>
        <v>Nov-2018</v>
      </c>
      <c r="E2637" t="s">
        <v>20</v>
      </c>
      <c r="F2637" s="24" t="s">
        <v>21</v>
      </c>
      <c r="G2637" s="24" t="s">
        <v>1054</v>
      </c>
      <c r="H2637" s="24" t="s">
        <v>48</v>
      </c>
      <c r="I2637" s="24" t="s">
        <v>9</v>
      </c>
      <c r="J2637" s="24" t="s">
        <v>24</v>
      </c>
      <c r="K2637" s="24" t="s">
        <v>24</v>
      </c>
      <c r="L2637" s="24" t="s">
        <v>98</v>
      </c>
    </row>
    <row r="2638">
      <c r="A2638" s="24">
        <f t="shared" si="1"/>
        <v>2636</v>
      </c>
      <c r="B2638" s="24" t="s">
        <v>1053</v>
      </c>
      <c r="C2638" s="275">
        <v>43421.0</v>
      </c>
      <c r="D2638" s="24" t="str">
        <f t="shared" si="218"/>
        <v>Nov-2018</v>
      </c>
      <c r="E2638" t="s">
        <v>25</v>
      </c>
      <c r="F2638" s="24" t="s">
        <v>21</v>
      </c>
      <c r="G2638" s="24" t="s">
        <v>1054</v>
      </c>
      <c r="H2638" s="24" t="s">
        <v>48</v>
      </c>
      <c r="I2638" s="24" t="s">
        <v>9</v>
      </c>
      <c r="J2638" s="24" t="s">
        <v>30</v>
      </c>
      <c r="K2638" s="24"/>
      <c r="L2638" s="24" t="s">
        <v>106</v>
      </c>
    </row>
    <row r="2639">
      <c r="A2639" s="24">
        <f t="shared" si="1"/>
        <v>2637</v>
      </c>
      <c r="B2639" s="24" t="s">
        <v>1053</v>
      </c>
      <c r="C2639" s="275">
        <v>43421.0</v>
      </c>
      <c r="D2639" s="24" t="str">
        <f t="shared" si="218"/>
        <v>Nov-2018</v>
      </c>
      <c r="E2639" t="s">
        <v>32</v>
      </c>
      <c r="F2639" s="24" t="s">
        <v>21</v>
      </c>
      <c r="G2639" s="24" t="s">
        <v>1054</v>
      </c>
      <c r="H2639" s="24" t="s">
        <v>48</v>
      </c>
      <c r="I2639" s="24" t="s">
        <v>9</v>
      </c>
      <c r="J2639" s="24" t="s">
        <v>24</v>
      </c>
      <c r="K2639" s="24"/>
      <c r="L2639" s="24" t="s">
        <v>99</v>
      </c>
    </row>
    <row r="2640">
      <c r="A2640" s="24">
        <f t="shared" si="1"/>
        <v>2638</v>
      </c>
      <c r="B2640" s="24" t="s">
        <v>1053</v>
      </c>
      <c r="C2640" s="275">
        <v>43421.0</v>
      </c>
      <c r="D2640" s="24" t="str">
        <f t="shared" si="218"/>
        <v>Nov-2018</v>
      </c>
      <c r="E2640" t="s">
        <v>20</v>
      </c>
      <c r="F2640" s="24" t="s">
        <v>21</v>
      </c>
      <c r="G2640" s="24" t="s">
        <v>1057</v>
      </c>
      <c r="H2640" s="24" t="s">
        <v>9</v>
      </c>
      <c r="I2640" s="24" t="s">
        <v>9</v>
      </c>
      <c r="J2640" s="24" t="s">
        <v>30</v>
      </c>
      <c r="K2640" s="24" t="s">
        <v>30</v>
      </c>
      <c r="L2640" s="24" t="s">
        <v>37</v>
      </c>
    </row>
    <row r="2641">
      <c r="A2641" s="24">
        <f t="shared" si="1"/>
        <v>2639</v>
      </c>
      <c r="B2641" s="24" t="s">
        <v>1053</v>
      </c>
      <c r="C2641" s="275">
        <v>43421.0</v>
      </c>
      <c r="D2641" s="24" t="str">
        <f t="shared" si="218"/>
        <v>Nov-2018</v>
      </c>
      <c r="E2641" t="s">
        <v>25</v>
      </c>
      <c r="F2641" s="24" t="s">
        <v>21</v>
      </c>
      <c r="G2641" s="24" t="s">
        <v>1057</v>
      </c>
      <c r="H2641" s="24" t="s">
        <v>9</v>
      </c>
      <c r="I2641" s="24" t="s">
        <v>9</v>
      </c>
      <c r="J2641" s="24" t="s">
        <v>30</v>
      </c>
      <c r="K2641" s="24"/>
      <c r="L2641" s="24" t="s">
        <v>106</v>
      </c>
    </row>
    <row r="2642">
      <c r="A2642" s="24">
        <f t="shared" si="1"/>
        <v>2640</v>
      </c>
      <c r="B2642" s="24" t="s">
        <v>1053</v>
      </c>
      <c r="C2642" s="275">
        <v>43421.0</v>
      </c>
      <c r="D2642" s="24" t="str">
        <f t="shared" si="218"/>
        <v>Nov-2018</v>
      </c>
      <c r="E2642" t="s">
        <v>20</v>
      </c>
      <c r="F2642" s="24" t="s">
        <v>21</v>
      </c>
      <c r="G2642" s="24" t="s">
        <v>633</v>
      </c>
      <c r="H2642" s="24" t="s">
        <v>27</v>
      </c>
      <c r="I2642" s="24" t="s">
        <v>9</v>
      </c>
      <c r="J2642" s="24" t="s">
        <v>30</v>
      </c>
      <c r="K2642" s="24" t="s">
        <v>30</v>
      </c>
      <c r="L2642" s="24" t="s">
        <v>37</v>
      </c>
    </row>
    <row r="2643">
      <c r="A2643" s="24">
        <f t="shared" si="1"/>
        <v>2641</v>
      </c>
      <c r="B2643" s="24" t="s">
        <v>1053</v>
      </c>
      <c r="C2643" s="275">
        <v>43421.0</v>
      </c>
      <c r="D2643" s="24" t="str">
        <f t="shared" ref="D2643:D2657" si="219">TEXT(C2635:C2643, "mmm") &amp; "-" &amp; TEXT(C2635:C2643, "yyyy") </f>
        <v>Nov-2018</v>
      </c>
      <c r="E2643" t="s">
        <v>25</v>
      </c>
      <c r="F2643" s="24" t="s">
        <v>21</v>
      </c>
      <c r="G2643" s="24" t="s">
        <v>633</v>
      </c>
      <c r="H2643" s="24" t="s">
        <v>27</v>
      </c>
      <c r="I2643" s="24" t="s">
        <v>9</v>
      </c>
      <c r="J2643" s="24" t="s">
        <v>30</v>
      </c>
      <c r="K2643" s="24"/>
      <c r="L2643" s="24" t="s">
        <v>69</v>
      </c>
    </row>
    <row r="2644">
      <c r="A2644" s="24">
        <f t="shared" si="1"/>
        <v>2642</v>
      </c>
      <c r="B2644" s="24" t="s">
        <v>1053</v>
      </c>
      <c r="C2644" s="275">
        <v>43421.0</v>
      </c>
      <c r="D2644" s="24" t="str">
        <f t="shared" si="219"/>
        <v>Nov-2018</v>
      </c>
      <c r="E2644" t="s">
        <v>20</v>
      </c>
      <c r="F2644" s="24" t="s">
        <v>21</v>
      </c>
      <c r="G2644" s="24" t="s">
        <v>497</v>
      </c>
      <c r="H2644" s="24" t="s">
        <v>9</v>
      </c>
      <c r="I2644" s="24" t="s">
        <v>9</v>
      </c>
      <c r="J2644" s="24" t="s">
        <v>24</v>
      </c>
      <c r="K2644" s="24" t="s">
        <v>24</v>
      </c>
      <c r="L2644" s="24" t="s">
        <v>69</v>
      </c>
    </row>
    <row r="2645">
      <c r="A2645" s="24">
        <f t="shared" si="1"/>
        <v>2643</v>
      </c>
      <c r="B2645" s="24" t="s">
        <v>1053</v>
      </c>
      <c r="C2645" s="275">
        <v>43421.0</v>
      </c>
      <c r="D2645" s="24" t="str">
        <f t="shared" si="219"/>
        <v>Nov-2018</v>
      </c>
      <c r="E2645" t="s">
        <v>25</v>
      </c>
      <c r="F2645" s="24" t="s">
        <v>21</v>
      </c>
      <c r="G2645" s="24" t="s">
        <v>497</v>
      </c>
      <c r="H2645" s="24" t="s">
        <v>9</v>
      </c>
      <c r="I2645" s="24" t="s">
        <v>9</v>
      </c>
      <c r="J2645" s="24" t="s">
        <v>24</v>
      </c>
      <c r="K2645" s="24"/>
      <c r="L2645" s="24" t="s">
        <v>106</v>
      </c>
    </row>
    <row r="2646">
      <c r="A2646" s="24">
        <f t="shared" si="1"/>
        <v>2644</v>
      </c>
      <c r="B2646" s="24" t="s">
        <v>1053</v>
      </c>
      <c r="C2646" s="275">
        <v>43421.0</v>
      </c>
      <c r="D2646" s="24" t="str">
        <f t="shared" si="219"/>
        <v>Nov-2018</v>
      </c>
      <c r="E2646" t="s">
        <v>20</v>
      </c>
      <c r="F2646" s="24" t="s">
        <v>35</v>
      </c>
      <c r="G2646" s="24" t="s">
        <v>1060</v>
      </c>
      <c r="H2646" s="24" t="s">
        <v>27</v>
      </c>
      <c r="I2646" s="24" t="s">
        <v>9</v>
      </c>
      <c r="J2646" s="24" t="s">
        <v>30</v>
      </c>
      <c r="K2646" s="24" t="s">
        <v>30</v>
      </c>
      <c r="L2646" s="24" t="s">
        <v>37</v>
      </c>
    </row>
    <row r="2647">
      <c r="A2647" s="24">
        <f t="shared" si="1"/>
        <v>2645</v>
      </c>
      <c r="B2647" s="24" t="s">
        <v>1053</v>
      </c>
      <c r="C2647" s="275">
        <v>43421.0</v>
      </c>
      <c r="D2647" s="24" t="str">
        <f t="shared" si="219"/>
        <v>Nov-2018</v>
      </c>
      <c r="E2647" t="s">
        <v>25</v>
      </c>
      <c r="F2647" s="24" t="s">
        <v>35</v>
      </c>
      <c r="G2647" s="24" t="s">
        <v>1060</v>
      </c>
      <c r="H2647" s="24" t="s">
        <v>27</v>
      </c>
      <c r="I2647" s="24" t="s">
        <v>9</v>
      </c>
      <c r="J2647" s="24" t="s">
        <v>30</v>
      </c>
      <c r="K2647" s="24"/>
      <c r="L2647" s="24" t="s">
        <v>69</v>
      </c>
    </row>
    <row r="2648">
      <c r="A2648" s="24">
        <f t="shared" si="1"/>
        <v>2646</v>
      </c>
      <c r="B2648" s="24" t="s">
        <v>1053</v>
      </c>
      <c r="C2648" s="275">
        <v>43421.0</v>
      </c>
      <c r="D2648" s="24" t="str">
        <f t="shared" si="219"/>
        <v>Nov-2018</v>
      </c>
      <c r="E2648" t="s">
        <v>20</v>
      </c>
      <c r="F2648" s="24" t="s">
        <v>35</v>
      </c>
      <c r="G2648" s="24" t="s">
        <v>989</v>
      </c>
      <c r="H2648" s="24" t="s">
        <v>86</v>
      </c>
      <c r="I2648" s="24" t="s">
        <v>9</v>
      </c>
      <c r="J2648" s="24" t="s">
        <v>30</v>
      </c>
      <c r="K2648" s="24" t="s">
        <v>30</v>
      </c>
      <c r="L2648" s="24" t="s">
        <v>69</v>
      </c>
    </row>
    <row r="2649">
      <c r="A2649" s="24">
        <f t="shared" si="1"/>
        <v>2647</v>
      </c>
      <c r="B2649" s="24" t="s">
        <v>1053</v>
      </c>
      <c r="C2649" s="275">
        <v>43421.0</v>
      </c>
      <c r="D2649" s="24" t="str">
        <f t="shared" si="219"/>
        <v>Nov-2018</v>
      </c>
      <c r="E2649" t="s">
        <v>25</v>
      </c>
      <c r="F2649" s="24" t="s">
        <v>35</v>
      </c>
      <c r="G2649" s="24" t="s">
        <v>989</v>
      </c>
      <c r="H2649" s="24" t="s">
        <v>27</v>
      </c>
      <c r="I2649" s="24" t="s">
        <v>9</v>
      </c>
      <c r="J2649" s="24" t="s">
        <v>30</v>
      </c>
      <c r="K2649" s="24"/>
      <c r="L2649" s="24" t="s">
        <v>106</v>
      </c>
    </row>
    <row r="2650">
      <c r="A2650" s="24">
        <f t="shared" si="1"/>
        <v>2648</v>
      </c>
      <c r="B2650" s="24" t="s">
        <v>1053</v>
      </c>
      <c r="C2650" s="275">
        <v>43421.0</v>
      </c>
      <c r="D2650" s="24" t="str">
        <f t="shared" si="219"/>
        <v>Nov-2018</v>
      </c>
      <c r="E2650" t="s">
        <v>20</v>
      </c>
      <c r="F2650" s="24" t="s">
        <v>35</v>
      </c>
      <c r="G2650" s="24" t="s">
        <v>346</v>
      </c>
      <c r="H2650" s="24" t="s">
        <v>44</v>
      </c>
      <c r="I2650" s="24" t="s">
        <v>9</v>
      </c>
      <c r="J2650" s="24" t="s">
        <v>24</v>
      </c>
      <c r="K2650" s="24" t="s">
        <v>30</v>
      </c>
      <c r="L2650" s="24" t="s">
        <v>69</v>
      </c>
    </row>
    <row r="2651">
      <c r="A2651" s="24">
        <f t="shared" si="1"/>
        <v>2649</v>
      </c>
      <c r="B2651" s="24" t="s">
        <v>1053</v>
      </c>
      <c r="C2651" s="275">
        <v>43421.0</v>
      </c>
      <c r="D2651" s="24" t="str">
        <f t="shared" si="219"/>
        <v>Nov-2018</v>
      </c>
      <c r="E2651" t="s">
        <v>25</v>
      </c>
      <c r="F2651" s="24" t="s">
        <v>35</v>
      </c>
      <c r="G2651" s="24" t="s">
        <v>346</v>
      </c>
      <c r="H2651" s="24" t="s">
        <v>44</v>
      </c>
      <c r="I2651" s="24" t="s">
        <v>9</v>
      </c>
      <c r="J2651" s="24" t="s">
        <v>30</v>
      </c>
      <c r="K2651" s="24"/>
      <c r="L2651" s="24" t="s">
        <v>106</v>
      </c>
    </row>
    <row r="2652">
      <c r="A2652" s="24">
        <f t="shared" si="1"/>
        <v>2650</v>
      </c>
      <c r="B2652" s="24" t="s">
        <v>1053</v>
      </c>
      <c r="C2652" s="275">
        <v>43421.0</v>
      </c>
      <c r="D2652" s="24" t="str">
        <f t="shared" si="219"/>
        <v>Nov-2018</v>
      </c>
      <c r="E2652" t="s">
        <v>32</v>
      </c>
      <c r="F2652" s="24" t="s">
        <v>35</v>
      </c>
      <c r="G2652" s="24" t="s">
        <v>346</v>
      </c>
      <c r="H2652" s="24" t="s">
        <v>44</v>
      </c>
      <c r="I2652" s="24" t="s">
        <v>9</v>
      </c>
      <c r="J2652" s="24" t="s">
        <v>30</v>
      </c>
      <c r="K2652" s="24"/>
      <c r="L2652" s="24" t="s">
        <v>69</v>
      </c>
    </row>
    <row r="2653">
      <c r="A2653" s="24">
        <f t="shared" si="1"/>
        <v>2651</v>
      </c>
      <c r="B2653" s="24" t="s">
        <v>1053</v>
      </c>
      <c r="C2653" s="275">
        <v>43421.0</v>
      </c>
      <c r="D2653" s="24" t="str">
        <f t="shared" si="219"/>
        <v>Nov-2018</v>
      </c>
      <c r="E2653" t="s">
        <v>20</v>
      </c>
      <c r="F2653" s="24" t="s">
        <v>35</v>
      </c>
      <c r="G2653" s="24" t="s">
        <v>94</v>
      </c>
      <c r="H2653" s="24" t="s">
        <v>44</v>
      </c>
      <c r="I2653" s="24" t="s">
        <v>9</v>
      </c>
      <c r="J2653" s="24" t="s">
        <v>24</v>
      </c>
      <c r="K2653" s="24" t="s">
        <v>24</v>
      </c>
      <c r="L2653" s="24" t="s">
        <v>69</v>
      </c>
    </row>
    <row r="2654">
      <c r="A2654" s="24">
        <f t="shared" si="1"/>
        <v>2652</v>
      </c>
      <c r="B2654" s="24" t="s">
        <v>1053</v>
      </c>
      <c r="C2654" s="275">
        <v>43421.0</v>
      </c>
      <c r="D2654" s="24" t="str">
        <f t="shared" si="219"/>
        <v>Nov-2018</v>
      </c>
      <c r="E2654" t="s">
        <v>25</v>
      </c>
      <c r="F2654" s="24" t="s">
        <v>35</v>
      </c>
      <c r="G2654" s="24" t="s">
        <v>94</v>
      </c>
      <c r="H2654" s="24" t="s">
        <v>44</v>
      </c>
      <c r="I2654" s="24" t="s">
        <v>9</v>
      </c>
      <c r="J2654" s="24" t="s">
        <v>24</v>
      </c>
      <c r="K2654" s="24"/>
      <c r="L2654" s="24" t="s">
        <v>106</v>
      </c>
    </row>
    <row r="2655">
      <c r="A2655" s="24">
        <f t="shared" si="1"/>
        <v>2653</v>
      </c>
      <c r="B2655" s="24" t="s">
        <v>1053</v>
      </c>
      <c r="C2655" s="275">
        <v>43421.0</v>
      </c>
      <c r="D2655" s="24" t="str">
        <f t="shared" si="219"/>
        <v>Nov-2018</v>
      </c>
      <c r="E2655" t="s">
        <v>20</v>
      </c>
      <c r="F2655" s="24" t="s">
        <v>35</v>
      </c>
      <c r="G2655" s="24" t="s">
        <v>1061</v>
      </c>
      <c r="H2655" s="24" t="s">
        <v>86</v>
      </c>
      <c r="I2655" s="24" t="s">
        <v>9</v>
      </c>
      <c r="J2655" s="24" t="s">
        <v>30</v>
      </c>
      <c r="K2655" s="24" t="s">
        <v>24</v>
      </c>
      <c r="L2655" s="24" t="s">
        <v>29</v>
      </c>
    </row>
    <row r="2656">
      <c r="A2656" s="24">
        <f t="shared" si="1"/>
        <v>2654</v>
      </c>
      <c r="B2656" s="24" t="s">
        <v>1053</v>
      </c>
      <c r="C2656" s="275">
        <v>43421.0</v>
      </c>
      <c r="D2656" s="24" t="str">
        <f t="shared" si="219"/>
        <v>Nov-2018</v>
      </c>
      <c r="E2656" t="s">
        <v>25</v>
      </c>
      <c r="F2656" s="24" t="s">
        <v>35</v>
      </c>
      <c r="G2656" s="24" t="s">
        <v>1061</v>
      </c>
      <c r="H2656" s="24" t="s">
        <v>86</v>
      </c>
      <c r="I2656" s="24" t="s">
        <v>9</v>
      </c>
      <c r="J2656" s="24" t="s">
        <v>24</v>
      </c>
      <c r="K2656" s="24"/>
      <c r="L2656" s="24" t="s">
        <v>98</v>
      </c>
    </row>
    <row r="2657">
      <c r="A2657" s="24">
        <f t="shared" si="1"/>
        <v>2655</v>
      </c>
      <c r="B2657" s="24" t="s">
        <v>1053</v>
      </c>
      <c r="C2657" s="275">
        <v>43421.0</v>
      </c>
      <c r="D2657" s="24" t="str">
        <f t="shared" si="219"/>
        <v>Nov-2018</v>
      </c>
      <c r="E2657" t="s">
        <v>32</v>
      </c>
      <c r="F2657" s="24" t="s">
        <v>35</v>
      </c>
      <c r="G2657" s="24" t="s">
        <v>1061</v>
      </c>
      <c r="H2657" s="24" t="s">
        <v>86</v>
      </c>
      <c r="I2657" s="24" t="s">
        <v>9</v>
      </c>
      <c r="J2657" s="24" t="s">
        <v>24</v>
      </c>
      <c r="K2657" s="24"/>
      <c r="L2657" s="24" t="s">
        <v>69</v>
      </c>
    </row>
    <row r="2658">
      <c r="A2658" s="24">
        <f t="shared" si="1"/>
        <v>2656</v>
      </c>
      <c r="B2658" s="24" t="s">
        <v>1062</v>
      </c>
      <c r="C2658" s="275">
        <v>43442.0</v>
      </c>
      <c r="D2658" s="24" t="str">
        <f t="shared" ref="D2658:D2665" si="220">TEXT(C2651:C2658, "mmm") &amp; "-" &amp; TEXT(C2651:C2658, "yyyy") </f>
        <v>Dec-2018</v>
      </c>
      <c r="E2658" t="s">
        <v>20</v>
      </c>
      <c r="F2658" s="24" t="s">
        <v>21</v>
      </c>
      <c r="G2658" s="24" t="s">
        <v>1064</v>
      </c>
      <c r="H2658" s="24" t="s">
        <v>140</v>
      </c>
      <c r="I2658" s="24" t="s">
        <v>9</v>
      </c>
      <c r="J2658" s="24" t="s">
        <v>30</v>
      </c>
      <c r="K2658" s="24" t="s">
        <v>30</v>
      </c>
      <c r="L2658" s="24" t="s">
        <v>98</v>
      </c>
    </row>
    <row r="2659">
      <c r="A2659" s="24">
        <f t="shared" si="1"/>
        <v>2657</v>
      </c>
      <c r="B2659" s="24" t="s">
        <v>1062</v>
      </c>
      <c r="C2659" s="275">
        <v>43442.0</v>
      </c>
      <c r="D2659" s="24" t="str">
        <f t="shared" si="220"/>
        <v>Dec-2018</v>
      </c>
      <c r="E2659" t="s">
        <v>25</v>
      </c>
      <c r="F2659" s="24" t="s">
        <v>21</v>
      </c>
      <c r="G2659" s="24" t="s">
        <v>1064</v>
      </c>
      <c r="H2659" s="24" t="s">
        <v>140</v>
      </c>
      <c r="I2659" s="24" t="s">
        <v>9</v>
      </c>
      <c r="J2659" s="24" t="s">
        <v>30</v>
      </c>
      <c r="K2659" s="24"/>
      <c r="L2659" s="24" t="s">
        <v>99</v>
      </c>
    </row>
    <row r="2660">
      <c r="A2660" s="24">
        <f t="shared" si="1"/>
        <v>2658</v>
      </c>
      <c r="B2660" s="24" t="s">
        <v>1062</v>
      </c>
      <c r="C2660" s="275">
        <v>43442.0</v>
      </c>
      <c r="D2660" s="24" t="str">
        <f t="shared" si="220"/>
        <v>Dec-2018</v>
      </c>
      <c r="E2660" t="s">
        <v>20</v>
      </c>
      <c r="F2660" s="24" t="s">
        <v>21</v>
      </c>
      <c r="G2660" s="24" t="s">
        <v>1066</v>
      </c>
      <c r="H2660" s="24" t="s">
        <v>86</v>
      </c>
      <c r="I2660" s="24" t="s">
        <v>9</v>
      </c>
      <c r="J2660" s="24" t="s">
        <v>30</v>
      </c>
      <c r="K2660" s="24" t="s">
        <v>30</v>
      </c>
      <c r="L2660" s="24" t="s">
        <v>69</v>
      </c>
    </row>
    <row r="2661">
      <c r="A2661" s="24">
        <f t="shared" si="1"/>
        <v>2659</v>
      </c>
      <c r="B2661" s="24" t="s">
        <v>1062</v>
      </c>
      <c r="C2661" s="275">
        <v>43442.0</v>
      </c>
      <c r="D2661" s="24" t="str">
        <f t="shared" si="220"/>
        <v>Dec-2018</v>
      </c>
      <c r="E2661" t="s">
        <v>25</v>
      </c>
      <c r="F2661" s="24" t="s">
        <v>21</v>
      </c>
      <c r="G2661" s="24" t="s">
        <v>1066</v>
      </c>
      <c r="H2661" s="24" t="s">
        <v>86</v>
      </c>
      <c r="I2661" s="24" t="s">
        <v>9</v>
      </c>
      <c r="J2661" s="24" t="s">
        <v>30</v>
      </c>
      <c r="K2661" s="24"/>
      <c r="L2661" s="24" t="s">
        <v>98</v>
      </c>
    </row>
    <row r="2662">
      <c r="A2662" s="24">
        <f t="shared" si="1"/>
        <v>2660</v>
      </c>
      <c r="B2662" s="24" t="s">
        <v>1062</v>
      </c>
      <c r="C2662" s="275">
        <v>43442.0</v>
      </c>
      <c r="D2662" s="24" t="str">
        <f t="shared" si="220"/>
        <v>Dec-2018</v>
      </c>
      <c r="E2662" t="s">
        <v>20</v>
      </c>
      <c r="F2662" s="24" t="s">
        <v>21</v>
      </c>
      <c r="G2662" s="24" t="s">
        <v>1067</v>
      </c>
      <c r="H2662" s="24" t="s">
        <v>102</v>
      </c>
      <c r="I2662" s="24" t="s">
        <v>9</v>
      </c>
      <c r="J2662" s="24" t="s">
        <v>30</v>
      </c>
      <c r="K2662" s="24" t="s">
        <v>30</v>
      </c>
      <c r="L2662" s="24" t="s">
        <v>98</v>
      </c>
    </row>
    <row r="2663">
      <c r="A2663" s="24">
        <f t="shared" si="1"/>
        <v>2661</v>
      </c>
      <c r="B2663" s="24" t="s">
        <v>1062</v>
      </c>
      <c r="C2663" s="275">
        <v>43442.0</v>
      </c>
      <c r="D2663" s="24" t="str">
        <f t="shared" si="220"/>
        <v>Dec-2018</v>
      </c>
      <c r="E2663" t="s">
        <v>25</v>
      </c>
      <c r="F2663" s="24" t="s">
        <v>21</v>
      </c>
      <c r="G2663" s="24" t="s">
        <v>1067</v>
      </c>
      <c r="H2663" s="24" t="s">
        <v>102</v>
      </c>
      <c r="I2663" s="24" t="s">
        <v>9</v>
      </c>
      <c r="J2663" s="24" t="s">
        <v>30</v>
      </c>
      <c r="K2663" s="24"/>
      <c r="L2663" s="24" t="s">
        <v>99</v>
      </c>
    </row>
    <row r="2664">
      <c r="A2664" s="24">
        <f t="shared" si="1"/>
        <v>2662</v>
      </c>
      <c r="B2664" s="24" t="s">
        <v>1062</v>
      </c>
      <c r="C2664" s="275">
        <v>43442.0</v>
      </c>
      <c r="D2664" s="24" t="str">
        <f t="shared" si="220"/>
        <v>Dec-2018</v>
      </c>
      <c r="E2664" t="s">
        <v>146</v>
      </c>
      <c r="F2664" s="24" t="s">
        <v>35</v>
      </c>
      <c r="G2664" s="24" t="s">
        <v>407</v>
      </c>
      <c r="H2664" s="24" t="s">
        <v>44</v>
      </c>
      <c r="I2664" s="24" t="s">
        <v>9</v>
      </c>
      <c r="J2664" s="24" t="s">
        <v>30</v>
      </c>
      <c r="K2664" s="24" t="s">
        <v>24</v>
      </c>
      <c r="L2664" s="24" t="s">
        <v>69</v>
      </c>
    </row>
    <row r="2665">
      <c r="A2665" s="24">
        <f t="shared" si="1"/>
        <v>2663</v>
      </c>
      <c r="B2665" s="24" t="s">
        <v>1062</v>
      </c>
      <c r="C2665" s="275">
        <v>43442.0</v>
      </c>
      <c r="D2665" s="24" t="str">
        <f t="shared" si="220"/>
        <v>Dec-2018</v>
      </c>
      <c r="E2665" t="s">
        <v>149</v>
      </c>
      <c r="F2665" s="24" t="s">
        <v>35</v>
      </c>
      <c r="G2665" s="24" t="s">
        <v>407</v>
      </c>
      <c r="H2665" s="24" t="s">
        <v>44</v>
      </c>
      <c r="I2665" s="24" t="s">
        <v>9</v>
      </c>
      <c r="J2665" s="24" t="s">
        <v>30</v>
      </c>
      <c r="K2665" s="24"/>
      <c r="L2665" s="24" t="s">
        <v>29</v>
      </c>
    </row>
    <row r="2666">
      <c r="A2666" s="24">
        <f t="shared" si="1"/>
        <v>2664</v>
      </c>
      <c r="B2666" s="24" t="s">
        <v>1062</v>
      </c>
      <c r="C2666" s="275">
        <v>43442.0</v>
      </c>
      <c r="D2666" s="24" t="str">
        <f t="shared" ref="D2666:D2681" si="221">TEXT(C2658:C2666, "mmm") &amp; "-" &amp; TEXT(C2658:C2666, "yyyy") </f>
        <v>Dec-2018</v>
      </c>
      <c r="E2666" t="s">
        <v>222</v>
      </c>
      <c r="F2666" s="24" t="s">
        <v>35</v>
      </c>
      <c r="G2666" s="24" t="s">
        <v>407</v>
      </c>
      <c r="H2666" s="24" t="s">
        <v>44</v>
      </c>
      <c r="I2666" s="24" t="s">
        <v>9</v>
      </c>
      <c r="J2666" s="24" t="s">
        <v>24</v>
      </c>
      <c r="K2666" s="24"/>
      <c r="L2666" s="24" t="s">
        <v>29</v>
      </c>
    </row>
    <row r="2667">
      <c r="A2667" s="24">
        <f t="shared" si="1"/>
        <v>2665</v>
      </c>
      <c r="B2667" s="24" t="s">
        <v>1062</v>
      </c>
      <c r="C2667" s="275">
        <v>43442.0</v>
      </c>
      <c r="D2667" s="24" t="str">
        <f t="shared" si="221"/>
        <v>Dec-2018</v>
      </c>
      <c r="E2667" t="s">
        <v>467</v>
      </c>
      <c r="F2667" s="24" t="s">
        <v>35</v>
      </c>
      <c r="G2667" s="24" t="s">
        <v>407</v>
      </c>
      <c r="H2667" s="24" t="s">
        <v>44</v>
      </c>
      <c r="I2667" s="24" t="s">
        <v>9</v>
      </c>
      <c r="J2667" s="24" t="s">
        <v>24</v>
      </c>
      <c r="K2667" s="24"/>
      <c r="L2667" s="24" t="s">
        <v>37</v>
      </c>
    </row>
    <row r="2668">
      <c r="A2668" s="24">
        <f t="shared" si="1"/>
        <v>2666</v>
      </c>
      <c r="B2668" s="24" t="s">
        <v>1062</v>
      </c>
      <c r="C2668" s="275">
        <v>43442.0</v>
      </c>
      <c r="D2668" s="24" t="str">
        <f t="shared" si="221"/>
        <v>Dec-2018</v>
      </c>
      <c r="E2668" s="24" t="s">
        <v>480</v>
      </c>
      <c r="F2668" s="24" t="s">
        <v>35</v>
      </c>
      <c r="G2668" s="24" t="s">
        <v>407</v>
      </c>
      <c r="H2668" s="24" t="s">
        <v>44</v>
      </c>
      <c r="I2668" s="24" t="s">
        <v>9</v>
      </c>
      <c r="J2668" s="24" t="s">
        <v>24</v>
      </c>
      <c r="K2668" s="24"/>
      <c r="L2668" s="24" t="s">
        <v>37</v>
      </c>
    </row>
    <row r="2669">
      <c r="A2669" s="24">
        <f t="shared" si="1"/>
        <v>2667</v>
      </c>
      <c r="B2669" s="24" t="s">
        <v>1062</v>
      </c>
      <c r="C2669" s="275">
        <v>43442.0</v>
      </c>
      <c r="D2669" s="24" t="str">
        <f t="shared" si="221"/>
        <v>Dec-2018</v>
      </c>
      <c r="E2669" t="s">
        <v>146</v>
      </c>
      <c r="F2669" s="24" t="s">
        <v>35</v>
      </c>
      <c r="G2669" s="24" t="s">
        <v>1066</v>
      </c>
      <c r="H2669" s="24" t="s">
        <v>86</v>
      </c>
      <c r="I2669" s="24" t="s">
        <v>9</v>
      </c>
      <c r="J2669" s="24" t="s">
        <v>30</v>
      </c>
      <c r="K2669" s="24" t="s">
        <v>30</v>
      </c>
      <c r="L2669" s="24" t="s">
        <v>29</v>
      </c>
    </row>
    <row r="2670">
      <c r="A2670" s="24">
        <f t="shared" si="1"/>
        <v>2668</v>
      </c>
      <c r="B2670" s="24" t="s">
        <v>1062</v>
      </c>
      <c r="C2670" s="275">
        <v>43442.0</v>
      </c>
      <c r="D2670" s="24" t="str">
        <f t="shared" si="221"/>
        <v>Dec-2018</v>
      </c>
      <c r="E2670" t="s">
        <v>149</v>
      </c>
      <c r="F2670" s="24" t="s">
        <v>35</v>
      </c>
      <c r="G2670" s="24" t="s">
        <v>1066</v>
      </c>
      <c r="H2670" s="24" t="s">
        <v>86</v>
      </c>
      <c r="I2670" s="24" t="s">
        <v>9</v>
      </c>
      <c r="J2670" s="24" t="s">
        <v>30</v>
      </c>
      <c r="K2670" s="24"/>
      <c r="L2670" s="24" t="s">
        <v>98</v>
      </c>
    </row>
    <row r="2671">
      <c r="A2671" s="24">
        <f t="shared" si="1"/>
        <v>2669</v>
      </c>
      <c r="B2671" s="24" t="s">
        <v>1062</v>
      </c>
      <c r="C2671" s="275">
        <v>43442.0</v>
      </c>
      <c r="D2671" s="24" t="str">
        <f t="shared" si="221"/>
        <v>Dec-2018</v>
      </c>
      <c r="E2671" t="s">
        <v>222</v>
      </c>
      <c r="F2671" s="24" t="s">
        <v>35</v>
      </c>
      <c r="G2671" s="24" t="s">
        <v>1066</v>
      </c>
      <c r="H2671" s="24" t="s">
        <v>86</v>
      </c>
      <c r="I2671" s="24" t="s">
        <v>9</v>
      </c>
      <c r="J2671" s="24" t="s">
        <v>30</v>
      </c>
      <c r="K2671" s="24"/>
      <c r="L2671" s="24" t="s">
        <v>98</v>
      </c>
    </row>
    <row r="2672">
      <c r="A2672" s="24">
        <f t="shared" si="1"/>
        <v>2670</v>
      </c>
      <c r="B2672" s="24" t="s">
        <v>1062</v>
      </c>
      <c r="C2672" s="275">
        <v>43442.0</v>
      </c>
      <c r="D2672" s="24" t="str">
        <f t="shared" si="221"/>
        <v>Dec-2018</v>
      </c>
      <c r="E2672" t="s">
        <v>146</v>
      </c>
      <c r="F2672" s="24" t="s">
        <v>35</v>
      </c>
      <c r="G2672" s="24" t="s">
        <v>933</v>
      </c>
      <c r="H2672" s="24" t="s">
        <v>71</v>
      </c>
      <c r="I2672" s="24" t="s">
        <v>9</v>
      </c>
      <c r="J2672" s="24" t="s">
        <v>30</v>
      </c>
      <c r="K2672" s="24" t="s">
        <v>30</v>
      </c>
      <c r="L2672" s="24" t="s">
        <v>98</v>
      </c>
    </row>
    <row r="2673">
      <c r="A2673" s="24">
        <f t="shared" si="1"/>
        <v>2671</v>
      </c>
      <c r="B2673" s="24" t="s">
        <v>1062</v>
      </c>
      <c r="C2673" s="275">
        <v>43442.0</v>
      </c>
      <c r="D2673" s="24" t="str">
        <f t="shared" si="221"/>
        <v>Dec-2018</v>
      </c>
      <c r="E2673" t="s">
        <v>149</v>
      </c>
      <c r="F2673" s="24" t="s">
        <v>35</v>
      </c>
      <c r="G2673" s="24" t="s">
        <v>933</v>
      </c>
      <c r="H2673" s="24" t="s">
        <v>71</v>
      </c>
      <c r="I2673" s="24" t="s">
        <v>9</v>
      </c>
      <c r="J2673" s="24" t="s">
        <v>30</v>
      </c>
      <c r="K2673" s="24"/>
      <c r="L2673" s="24" t="s">
        <v>99</v>
      </c>
    </row>
    <row r="2674">
      <c r="A2674" s="24">
        <f t="shared" si="1"/>
        <v>2672</v>
      </c>
      <c r="B2674" s="24" t="s">
        <v>1062</v>
      </c>
      <c r="C2674" s="275">
        <v>43442.0</v>
      </c>
      <c r="D2674" s="24" t="str">
        <f t="shared" si="221"/>
        <v>Dec-2018</v>
      </c>
      <c r="E2674" t="s">
        <v>222</v>
      </c>
      <c r="F2674" s="24" t="s">
        <v>35</v>
      </c>
      <c r="G2674" s="24" t="s">
        <v>933</v>
      </c>
      <c r="H2674" s="24" t="s">
        <v>23</v>
      </c>
      <c r="I2674" s="24" t="s">
        <v>9</v>
      </c>
      <c r="J2674" s="24" t="s">
        <v>30</v>
      </c>
      <c r="K2674" s="24"/>
      <c r="L2674" s="24" t="s">
        <v>98</v>
      </c>
    </row>
    <row r="2675">
      <c r="A2675" s="24">
        <f t="shared" si="1"/>
        <v>2673</v>
      </c>
      <c r="B2675" s="24" t="s">
        <v>1062</v>
      </c>
      <c r="C2675" s="275">
        <v>43442.0</v>
      </c>
      <c r="D2675" s="24" t="str">
        <f t="shared" si="221"/>
        <v>Dec-2018</v>
      </c>
      <c r="E2675" t="s">
        <v>146</v>
      </c>
      <c r="F2675" s="24" t="s">
        <v>35</v>
      </c>
      <c r="G2675" s="24" t="s">
        <v>407</v>
      </c>
      <c r="H2675" s="24" t="s">
        <v>44</v>
      </c>
      <c r="I2675" s="24" t="s">
        <v>9</v>
      </c>
      <c r="J2675" s="24" t="s">
        <v>30</v>
      </c>
      <c r="K2675" s="24" t="s">
        <v>30</v>
      </c>
      <c r="L2675" s="24" t="s">
        <v>98</v>
      </c>
    </row>
    <row r="2676">
      <c r="A2676" s="24">
        <f t="shared" si="1"/>
        <v>2674</v>
      </c>
      <c r="B2676" s="24" t="s">
        <v>1062</v>
      </c>
      <c r="C2676" s="275">
        <v>43442.0</v>
      </c>
      <c r="D2676" s="24" t="str">
        <f t="shared" si="221"/>
        <v>Dec-2018</v>
      </c>
      <c r="E2676" t="s">
        <v>149</v>
      </c>
      <c r="F2676" s="24" t="s">
        <v>35</v>
      </c>
      <c r="G2676" s="24" t="s">
        <v>407</v>
      </c>
      <c r="H2676" s="24" t="s">
        <v>44</v>
      </c>
      <c r="I2676" s="24" t="s">
        <v>9</v>
      </c>
      <c r="J2676" s="24" t="s">
        <v>24</v>
      </c>
      <c r="K2676" s="24"/>
      <c r="L2676" s="24" t="s">
        <v>69</v>
      </c>
    </row>
    <row r="2677">
      <c r="A2677" s="24">
        <f t="shared" si="1"/>
        <v>2675</v>
      </c>
      <c r="B2677" s="24" t="s">
        <v>1062</v>
      </c>
      <c r="C2677" s="275">
        <v>43442.0</v>
      </c>
      <c r="D2677" s="24" t="str">
        <f t="shared" si="221"/>
        <v>Dec-2018</v>
      </c>
      <c r="E2677" t="s">
        <v>222</v>
      </c>
      <c r="F2677" s="24" t="s">
        <v>35</v>
      </c>
      <c r="G2677" s="24" t="s">
        <v>407</v>
      </c>
      <c r="H2677" s="24" t="s">
        <v>44</v>
      </c>
      <c r="I2677" s="24" t="s">
        <v>9</v>
      </c>
      <c r="J2677" s="24" t="s">
        <v>30</v>
      </c>
      <c r="K2677" s="24"/>
      <c r="L2677" s="24" t="s">
        <v>106</v>
      </c>
    </row>
    <row r="2678">
      <c r="A2678" s="24">
        <f t="shared" si="1"/>
        <v>2676</v>
      </c>
      <c r="B2678" s="24" t="s">
        <v>1062</v>
      </c>
      <c r="C2678" s="275">
        <v>43442.0</v>
      </c>
      <c r="D2678" s="24" t="str">
        <f t="shared" si="221"/>
        <v>Dec-2018</v>
      </c>
      <c r="E2678" t="s">
        <v>467</v>
      </c>
      <c r="F2678" s="24" t="s">
        <v>35</v>
      </c>
      <c r="G2678" s="24" t="s">
        <v>407</v>
      </c>
      <c r="H2678" s="24" t="s">
        <v>44</v>
      </c>
      <c r="I2678" s="24" t="s">
        <v>9</v>
      </c>
      <c r="J2678" s="24" t="s">
        <v>30</v>
      </c>
      <c r="K2678" s="24"/>
      <c r="L2678" s="24" t="s">
        <v>29</v>
      </c>
    </row>
    <row r="2679">
      <c r="A2679" s="24">
        <f t="shared" si="1"/>
        <v>2677</v>
      </c>
      <c r="B2679" s="24" t="s">
        <v>1062</v>
      </c>
      <c r="C2679" s="275">
        <v>43442.0</v>
      </c>
      <c r="D2679" s="24" t="str">
        <f t="shared" si="221"/>
        <v>Dec-2018</v>
      </c>
      <c r="E2679" s="24" t="s">
        <v>146</v>
      </c>
      <c r="F2679" s="24" t="s">
        <v>35</v>
      </c>
      <c r="G2679" s="24" t="s">
        <v>407</v>
      </c>
      <c r="H2679" s="24" t="s">
        <v>44</v>
      </c>
      <c r="I2679" s="24" t="s">
        <v>9</v>
      </c>
      <c r="J2679" s="24" t="s">
        <v>24</v>
      </c>
      <c r="K2679" s="24" t="s">
        <v>24</v>
      </c>
      <c r="L2679" s="24" t="s">
        <v>69</v>
      </c>
    </row>
    <row r="2680">
      <c r="A2680" s="24">
        <f t="shared" si="1"/>
        <v>2678</v>
      </c>
      <c r="B2680" s="24" t="s">
        <v>1062</v>
      </c>
      <c r="C2680" s="275">
        <v>43442.0</v>
      </c>
      <c r="D2680" s="24" t="str">
        <f t="shared" si="221"/>
        <v>Dec-2018</v>
      </c>
      <c r="E2680" t="s">
        <v>149</v>
      </c>
      <c r="F2680" s="24" t="s">
        <v>35</v>
      </c>
      <c r="G2680" s="24" t="s">
        <v>407</v>
      </c>
      <c r="H2680" s="24" t="s">
        <v>44</v>
      </c>
      <c r="I2680" s="24" t="s">
        <v>9</v>
      </c>
      <c r="J2680" s="24" t="s">
        <v>24</v>
      </c>
      <c r="K2680" s="24"/>
      <c r="L2680" s="24" t="s">
        <v>106</v>
      </c>
    </row>
    <row r="2681">
      <c r="A2681" s="24">
        <f t="shared" si="1"/>
        <v>2679</v>
      </c>
      <c r="B2681" s="24" t="s">
        <v>1062</v>
      </c>
      <c r="C2681" s="275">
        <v>43442.0</v>
      </c>
      <c r="D2681" s="24" t="str">
        <f t="shared" si="221"/>
        <v>Dec-2018</v>
      </c>
      <c r="E2681" s="24" t="s">
        <v>222</v>
      </c>
      <c r="F2681" s="24" t="s">
        <v>35</v>
      </c>
      <c r="G2681" s="24" t="s">
        <v>407</v>
      </c>
      <c r="H2681" s="24" t="s">
        <v>44</v>
      </c>
      <c r="I2681" s="24" t="s">
        <v>9</v>
      </c>
      <c r="J2681" s="24" t="s">
        <v>24</v>
      </c>
      <c r="K2681" s="24"/>
      <c r="L2681" s="24" t="s">
        <v>37</v>
      </c>
    </row>
    <row r="2682">
      <c r="A2682" s="24">
        <f t="shared" si="1"/>
        <v>2680</v>
      </c>
      <c r="B2682" s="24" t="s">
        <v>1069</v>
      </c>
      <c r="C2682" s="275">
        <v>43463.0</v>
      </c>
      <c r="D2682" s="24" t="str">
        <f t="shared" ref="D2682:D2689" si="222">TEXT(C2675:C2682, "mmm") &amp; "-" &amp; TEXT(C2675:C2682, "yyyy") </f>
        <v>Dec-2018</v>
      </c>
      <c r="E2682" t="s">
        <v>20</v>
      </c>
      <c r="F2682" s="24" t="s">
        <v>35</v>
      </c>
      <c r="G2682" s="24" t="s">
        <v>100</v>
      </c>
      <c r="H2682" s="24" t="s">
        <v>9</v>
      </c>
      <c r="I2682" s="24" t="s">
        <v>9</v>
      </c>
      <c r="J2682" s="24" t="s">
        <v>30</v>
      </c>
      <c r="K2682" s="24" t="s">
        <v>30</v>
      </c>
      <c r="L2682" s="24" t="s">
        <v>69</v>
      </c>
    </row>
    <row r="2683">
      <c r="A2683" s="24">
        <f t="shared" si="1"/>
        <v>2681</v>
      </c>
      <c r="B2683" s="24" t="s">
        <v>1069</v>
      </c>
      <c r="C2683" s="275">
        <v>43463.0</v>
      </c>
      <c r="D2683" s="24" t="str">
        <f t="shared" si="222"/>
        <v>Dec-2018</v>
      </c>
      <c r="E2683" t="s">
        <v>25</v>
      </c>
      <c r="F2683" s="24" t="s">
        <v>35</v>
      </c>
      <c r="G2683" s="24" t="s">
        <v>100</v>
      </c>
      <c r="H2683" s="24" t="s">
        <v>9</v>
      </c>
      <c r="I2683" s="24" t="s">
        <v>9</v>
      </c>
      <c r="J2683" s="24" t="s">
        <v>30</v>
      </c>
      <c r="K2683" s="24"/>
      <c r="L2683" s="24" t="s">
        <v>106</v>
      </c>
    </row>
    <row r="2684">
      <c r="A2684" s="24">
        <f t="shared" si="1"/>
        <v>2682</v>
      </c>
      <c r="B2684" s="24" t="s">
        <v>1069</v>
      </c>
      <c r="C2684" s="275">
        <v>43463.0</v>
      </c>
      <c r="D2684" s="24" t="str">
        <f t="shared" si="222"/>
        <v>Dec-2018</v>
      </c>
      <c r="E2684" t="s">
        <v>20</v>
      </c>
      <c r="F2684" s="24" t="s">
        <v>35</v>
      </c>
      <c r="G2684" s="24" t="s">
        <v>239</v>
      </c>
      <c r="H2684" s="24" t="s">
        <v>27</v>
      </c>
      <c r="I2684" s="24" t="s">
        <v>9</v>
      </c>
      <c r="J2684" s="24" t="s">
        <v>24</v>
      </c>
      <c r="K2684" s="24" t="s">
        <v>24</v>
      </c>
      <c r="L2684" s="24" t="s">
        <v>69</v>
      </c>
    </row>
    <row r="2685">
      <c r="A2685" s="24">
        <f t="shared" si="1"/>
        <v>2683</v>
      </c>
      <c r="B2685" s="24" t="s">
        <v>1069</v>
      </c>
      <c r="C2685" s="275">
        <v>43463.0</v>
      </c>
      <c r="D2685" s="24" t="str">
        <f t="shared" si="222"/>
        <v>Dec-2018</v>
      </c>
      <c r="E2685" t="s">
        <v>25</v>
      </c>
      <c r="F2685" s="24" t="s">
        <v>35</v>
      </c>
      <c r="G2685" s="24" t="s">
        <v>239</v>
      </c>
      <c r="H2685" s="24" t="s">
        <v>27</v>
      </c>
      <c r="I2685" s="24" t="s">
        <v>9</v>
      </c>
      <c r="J2685" s="24" t="s">
        <v>24</v>
      </c>
      <c r="K2685" s="24"/>
      <c r="L2685" s="24" t="s">
        <v>106</v>
      </c>
    </row>
    <row r="2686">
      <c r="A2686" s="24">
        <f t="shared" si="1"/>
        <v>2684</v>
      </c>
      <c r="B2686" s="24" t="s">
        <v>1069</v>
      </c>
      <c r="C2686" s="275">
        <v>43463.0</v>
      </c>
      <c r="D2686" s="24" t="str">
        <f t="shared" si="222"/>
        <v>Dec-2018</v>
      </c>
      <c r="E2686" t="s">
        <v>20</v>
      </c>
      <c r="F2686" s="24" t="s">
        <v>35</v>
      </c>
      <c r="G2686" s="24" t="s">
        <v>1070</v>
      </c>
      <c r="H2686" s="24" t="s">
        <v>86</v>
      </c>
      <c r="I2686" s="24" t="s">
        <v>9</v>
      </c>
      <c r="J2686" s="24" t="s">
        <v>30</v>
      </c>
      <c r="K2686" s="24" t="s">
        <v>30</v>
      </c>
      <c r="L2686" s="24" t="s">
        <v>69</v>
      </c>
    </row>
    <row r="2687">
      <c r="A2687" s="24">
        <f t="shared" si="1"/>
        <v>2685</v>
      </c>
      <c r="B2687" s="24" t="s">
        <v>1069</v>
      </c>
      <c r="C2687" s="275">
        <v>43463.0</v>
      </c>
      <c r="D2687" s="24" t="str">
        <f t="shared" si="222"/>
        <v>Dec-2018</v>
      </c>
      <c r="E2687" t="s">
        <v>25</v>
      </c>
      <c r="F2687" s="24" t="s">
        <v>35</v>
      </c>
      <c r="G2687" s="24" t="s">
        <v>1070</v>
      </c>
      <c r="H2687" s="24" t="s">
        <v>86</v>
      </c>
      <c r="I2687" s="24" t="s">
        <v>9</v>
      </c>
      <c r="J2687" s="24" t="s">
        <v>30</v>
      </c>
      <c r="K2687" s="24"/>
      <c r="L2687" s="24" t="s">
        <v>37</v>
      </c>
    </row>
    <row r="2688">
      <c r="A2688" s="24">
        <f t="shared" si="1"/>
        <v>2686</v>
      </c>
      <c r="B2688" s="24" t="s">
        <v>1069</v>
      </c>
      <c r="C2688" s="275">
        <v>43463.0</v>
      </c>
      <c r="D2688" s="24" t="str">
        <f t="shared" si="222"/>
        <v>Dec-2018</v>
      </c>
      <c r="E2688" t="s">
        <v>20</v>
      </c>
      <c r="F2688" s="24" t="s">
        <v>35</v>
      </c>
      <c r="G2688" s="24" t="s">
        <v>1072</v>
      </c>
      <c r="H2688" s="24" t="s">
        <v>27</v>
      </c>
      <c r="I2688" s="24" t="s">
        <v>9</v>
      </c>
      <c r="J2688" s="24" t="s">
        <v>30</v>
      </c>
      <c r="K2688" s="24" t="s">
        <v>30</v>
      </c>
      <c r="L2688" s="24" t="s">
        <v>98</v>
      </c>
    </row>
    <row r="2689">
      <c r="A2689" s="24">
        <f t="shared" si="1"/>
        <v>2687</v>
      </c>
      <c r="B2689" s="24" t="s">
        <v>1069</v>
      </c>
      <c r="C2689" s="275">
        <v>43463.0</v>
      </c>
      <c r="D2689" s="24" t="str">
        <f t="shared" si="222"/>
        <v>Dec-2018</v>
      </c>
      <c r="E2689" t="s">
        <v>25</v>
      </c>
      <c r="F2689" s="24" t="s">
        <v>35</v>
      </c>
      <c r="G2689" s="24" t="s">
        <v>1072</v>
      </c>
      <c r="H2689" s="24" t="s">
        <v>27</v>
      </c>
      <c r="I2689" s="24" t="s">
        <v>9</v>
      </c>
      <c r="J2689" s="24" t="s">
        <v>30</v>
      </c>
      <c r="K2689" s="24"/>
      <c r="L2689" s="24" t="s">
        <v>29</v>
      </c>
    </row>
    <row r="2690">
      <c r="A2690" s="24">
        <f t="shared" si="1"/>
        <v>2688</v>
      </c>
      <c r="B2690" s="24" t="s">
        <v>1069</v>
      </c>
      <c r="C2690" s="275">
        <v>43463.0</v>
      </c>
      <c r="D2690" s="24" t="str">
        <f t="shared" ref="D2690:D2694" si="223">TEXT(C2682:C2690, "mmm") &amp; "-" &amp; TEXT(C2682:C2690, "yyyy") </f>
        <v>Dec-2018</v>
      </c>
      <c r="E2690" t="s">
        <v>20</v>
      </c>
      <c r="F2690" s="24" t="s">
        <v>35</v>
      </c>
      <c r="G2690" s="24" t="s">
        <v>111</v>
      </c>
      <c r="H2690" s="24" t="s">
        <v>9</v>
      </c>
      <c r="I2690" s="24" t="s">
        <v>9</v>
      </c>
      <c r="J2690" s="24" t="s">
        <v>30</v>
      </c>
      <c r="K2690" s="24" t="s">
        <v>30</v>
      </c>
      <c r="L2690" s="24" t="s">
        <v>69</v>
      </c>
    </row>
    <row r="2691">
      <c r="A2691" s="24">
        <f t="shared" si="1"/>
        <v>2689</v>
      </c>
      <c r="B2691" s="24" t="s">
        <v>1069</v>
      </c>
      <c r="C2691" s="275">
        <v>43463.0</v>
      </c>
      <c r="D2691" s="24" t="str">
        <f t="shared" si="223"/>
        <v>Dec-2018</v>
      </c>
      <c r="E2691" t="s">
        <v>25</v>
      </c>
      <c r="F2691" s="24" t="s">
        <v>35</v>
      </c>
      <c r="G2691" s="24" t="s">
        <v>111</v>
      </c>
      <c r="H2691" s="24" t="s">
        <v>9</v>
      </c>
      <c r="I2691" s="24" t="s">
        <v>9</v>
      </c>
      <c r="J2691" s="24" t="s">
        <v>30</v>
      </c>
      <c r="K2691" s="24"/>
      <c r="L2691" s="24" t="s">
        <v>106</v>
      </c>
    </row>
    <row r="2692">
      <c r="A2692" s="24">
        <f t="shared" si="1"/>
        <v>2690</v>
      </c>
      <c r="B2692" s="24" t="s">
        <v>1069</v>
      </c>
      <c r="C2692" s="275">
        <v>43463.0</v>
      </c>
      <c r="D2692" s="24" t="str">
        <f t="shared" si="223"/>
        <v>Dec-2018</v>
      </c>
      <c r="E2692" t="s">
        <v>20</v>
      </c>
      <c r="F2692" s="24" t="s">
        <v>35</v>
      </c>
      <c r="G2692" s="24" t="s">
        <v>184</v>
      </c>
      <c r="H2692" s="24" t="s">
        <v>9</v>
      </c>
      <c r="I2692" s="24" t="s">
        <v>9</v>
      </c>
      <c r="J2692" s="24" t="s">
        <v>24</v>
      </c>
      <c r="K2692" s="24" t="s">
        <v>24</v>
      </c>
      <c r="L2692" s="24" t="s">
        <v>69</v>
      </c>
    </row>
    <row r="2693">
      <c r="A2693" s="24">
        <f t="shared" si="1"/>
        <v>2691</v>
      </c>
      <c r="B2693" s="24" t="s">
        <v>1069</v>
      </c>
      <c r="C2693" s="275">
        <v>43463.0</v>
      </c>
      <c r="D2693" s="24" t="str">
        <f t="shared" si="223"/>
        <v>Dec-2018</v>
      </c>
      <c r="E2693" t="s">
        <v>25</v>
      </c>
      <c r="F2693" s="24" t="s">
        <v>35</v>
      </c>
      <c r="G2693" s="24" t="s">
        <v>184</v>
      </c>
      <c r="H2693" s="24" t="s">
        <v>9</v>
      </c>
      <c r="I2693" s="24" t="s">
        <v>9</v>
      </c>
      <c r="J2693" s="24" t="s">
        <v>30</v>
      </c>
      <c r="K2693" s="24"/>
      <c r="L2693" s="24" t="s">
        <v>69</v>
      </c>
    </row>
    <row r="2694">
      <c r="A2694" s="24">
        <f t="shared" si="1"/>
        <v>2692</v>
      </c>
      <c r="B2694" s="24" t="s">
        <v>1069</v>
      </c>
      <c r="C2694" s="275">
        <v>43463.0</v>
      </c>
      <c r="D2694" s="24" t="str">
        <f t="shared" si="223"/>
        <v>Dec-2018</v>
      </c>
      <c r="E2694" t="s">
        <v>32</v>
      </c>
      <c r="F2694" s="24" t="s">
        <v>35</v>
      </c>
      <c r="G2694" s="24" t="s">
        <v>184</v>
      </c>
      <c r="H2694" s="24" t="s">
        <v>9</v>
      </c>
      <c r="I2694" s="24" t="s">
        <v>9</v>
      </c>
      <c r="J2694" s="24" t="s">
        <v>24</v>
      </c>
      <c r="K2694" s="24"/>
      <c r="L2694" s="24" t="s">
        <v>69</v>
      </c>
    </row>
    <row r="2695">
      <c r="A2695" s="24">
        <f t="shared" si="1"/>
        <v>2693</v>
      </c>
      <c r="B2695" s="24" t="s">
        <v>1073</v>
      </c>
      <c r="C2695" s="339">
        <v>43475.0</v>
      </c>
      <c r="D2695" s="24" t="str">
        <f t="shared" ref="D2695:D2702" si="224">TEXT(C2688:C2695, "mmm") &amp; "-" &amp; TEXT(C2688:C2695, "yyyy") </f>
        <v>Jan-2019</v>
      </c>
      <c r="E2695" t="s">
        <v>20</v>
      </c>
      <c r="F2695" s="24" t="s">
        <v>35</v>
      </c>
      <c r="G2695" s="24" t="s">
        <v>655</v>
      </c>
      <c r="H2695" s="24" t="s">
        <v>86</v>
      </c>
      <c r="I2695" s="24" t="s">
        <v>9</v>
      </c>
      <c r="J2695" s="24" t="s">
        <v>30</v>
      </c>
      <c r="K2695" s="24" t="s">
        <v>30</v>
      </c>
      <c r="L2695" s="24" t="s">
        <v>99</v>
      </c>
    </row>
    <row r="2696">
      <c r="A2696" s="24">
        <f t="shared" si="1"/>
        <v>2694</v>
      </c>
      <c r="B2696" s="24" t="s">
        <v>1073</v>
      </c>
      <c r="C2696" s="339">
        <v>43475.0</v>
      </c>
      <c r="D2696" s="24" t="str">
        <f t="shared" si="224"/>
        <v>Jan-2019</v>
      </c>
      <c r="E2696" t="s">
        <v>25</v>
      </c>
      <c r="F2696" s="24" t="s">
        <v>35</v>
      </c>
      <c r="G2696" s="24" t="s">
        <v>655</v>
      </c>
      <c r="H2696" s="24" t="s">
        <v>86</v>
      </c>
      <c r="I2696" s="24" t="s">
        <v>9</v>
      </c>
      <c r="J2696" s="24" t="s">
        <v>24</v>
      </c>
      <c r="K2696" s="24"/>
      <c r="L2696" s="24" t="s">
        <v>37</v>
      </c>
    </row>
    <row r="2697">
      <c r="A2697" s="24">
        <f t="shared" si="1"/>
        <v>2695</v>
      </c>
      <c r="B2697" s="24" t="s">
        <v>1073</v>
      </c>
      <c r="C2697" s="339">
        <v>43475.0</v>
      </c>
      <c r="D2697" s="24" t="str">
        <f t="shared" si="224"/>
        <v>Jan-2019</v>
      </c>
      <c r="E2697" t="s">
        <v>32</v>
      </c>
      <c r="F2697" s="24" t="s">
        <v>35</v>
      </c>
      <c r="G2697" s="24" t="s">
        <v>655</v>
      </c>
      <c r="H2697" s="24" t="s">
        <v>86</v>
      </c>
      <c r="I2697" s="24" t="s">
        <v>9</v>
      </c>
      <c r="J2697" s="24" t="s">
        <v>30</v>
      </c>
      <c r="K2697" s="24"/>
      <c r="L2697" s="24" t="s">
        <v>69</v>
      </c>
    </row>
    <row r="2698">
      <c r="A2698" s="24">
        <f t="shared" si="1"/>
        <v>2696</v>
      </c>
      <c r="B2698" s="24" t="s">
        <v>1073</v>
      </c>
      <c r="C2698" s="339">
        <v>43475.0</v>
      </c>
      <c r="D2698" s="24" t="str">
        <f t="shared" si="224"/>
        <v>Jan-2019</v>
      </c>
      <c r="E2698" t="s">
        <v>20</v>
      </c>
      <c r="F2698" s="24" t="s">
        <v>35</v>
      </c>
      <c r="G2698" s="24" t="s">
        <v>394</v>
      </c>
      <c r="H2698" s="24" t="s">
        <v>27</v>
      </c>
      <c r="I2698" s="24" t="s">
        <v>9</v>
      </c>
      <c r="J2698" s="24" t="s">
        <v>24</v>
      </c>
      <c r="K2698" s="24" t="s">
        <v>24</v>
      </c>
      <c r="L2698" s="24" t="s">
        <v>37</v>
      </c>
    </row>
    <row r="2699">
      <c r="A2699" s="24">
        <f t="shared" si="1"/>
        <v>2697</v>
      </c>
      <c r="B2699" s="24" t="s">
        <v>1073</v>
      </c>
      <c r="C2699" s="339">
        <v>43475.0</v>
      </c>
      <c r="D2699" s="24" t="str">
        <f t="shared" si="224"/>
        <v>Jan-2019</v>
      </c>
      <c r="E2699" t="s">
        <v>25</v>
      </c>
      <c r="F2699" s="24" t="s">
        <v>35</v>
      </c>
      <c r="G2699" s="24" t="s">
        <v>394</v>
      </c>
      <c r="H2699" s="24" t="s">
        <v>27</v>
      </c>
      <c r="I2699" s="24" t="s">
        <v>9</v>
      </c>
      <c r="J2699" s="24" t="s">
        <v>24</v>
      </c>
      <c r="K2699" s="24"/>
      <c r="L2699" s="24" t="s">
        <v>106</v>
      </c>
    </row>
    <row r="2700">
      <c r="A2700" s="24">
        <f t="shared" si="1"/>
        <v>2698</v>
      </c>
      <c r="B2700" s="24" t="s">
        <v>1073</v>
      </c>
      <c r="C2700" s="339">
        <v>43475.0</v>
      </c>
      <c r="D2700" s="24" t="str">
        <f t="shared" si="224"/>
        <v>Jan-2019</v>
      </c>
      <c r="E2700" t="s">
        <v>20</v>
      </c>
      <c r="F2700" s="24" t="s">
        <v>35</v>
      </c>
      <c r="G2700" s="24" t="s">
        <v>726</v>
      </c>
      <c r="H2700" s="24" t="s">
        <v>216</v>
      </c>
      <c r="I2700" s="24" t="s">
        <v>9</v>
      </c>
      <c r="J2700" s="24" t="s">
        <v>30</v>
      </c>
      <c r="K2700" s="24" t="s">
        <v>30</v>
      </c>
      <c r="L2700" s="24" t="s">
        <v>37</v>
      </c>
    </row>
    <row r="2701">
      <c r="A2701" s="24">
        <f t="shared" si="1"/>
        <v>2699</v>
      </c>
      <c r="B2701" s="24" t="s">
        <v>1073</v>
      </c>
      <c r="C2701" s="339">
        <v>43475.0</v>
      </c>
      <c r="D2701" s="24" t="str">
        <f t="shared" si="224"/>
        <v>Jan-2019</v>
      </c>
      <c r="E2701" t="s">
        <v>25</v>
      </c>
      <c r="F2701" s="24" t="s">
        <v>35</v>
      </c>
      <c r="G2701" s="24" t="s">
        <v>726</v>
      </c>
      <c r="H2701" s="24" t="s">
        <v>216</v>
      </c>
      <c r="I2701" s="24" t="s">
        <v>9</v>
      </c>
      <c r="J2701" s="24" t="s">
        <v>30</v>
      </c>
      <c r="K2701" s="24"/>
      <c r="L2701" s="24" t="s">
        <v>106</v>
      </c>
    </row>
    <row r="2702">
      <c r="A2702" s="24">
        <f t="shared" si="1"/>
        <v>2700</v>
      </c>
      <c r="B2702" s="24" t="s">
        <v>1073</v>
      </c>
      <c r="C2702" s="339">
        <v>43475.0</v>
      </c>
      <c r="D2702" s="24" t="str">
        <f t="shared" si="224"/>
        <v>Jan-2019</v>
      </c>
      <c r="E2702" t="s">
        <v>146</v>
      </c>
      <c r="F2702" s="24" t="s">
        <v>35</v>
      </c>
      <c r="G2702" s="24" t="s">
        <v>493</v>
      </c>
      <c r="H2702" s="24" t="s">
        <v>44</v>
      </c>
      <c r="I2702" s="24" t="s">
        <v>9</v>
      </c>
      <c r="J2702" s="24" t="s">
        <v>30</v>
      </c>
      <c r="K2702" s="24" t="s">
        <v>24</v>
      </c>
      <c r="L2702" s="24" t="s">
        <v>98</v>
      </c>
    </row>
    <row r="2703">
      <c r="A2703" s="24">
        <f t="shared" si="1"/>
        <v>2701</v>
      </c>
      <c r="B2703" s="24" t="s">
        <v>1073</v>
      </c>
      <c r="C2703" s="339">
        <v>43475.0</v>
      </c>
      <c r="D2703" s="24" t="str">
        <f t="shared" ref="D2703:D2706" si="225">TEXT(C2695:C2703, "mmm") &amp; "-" &amp; TEXT(C2695:C2703, "yyyy") </f>
        <v>Jan-2019</v>
      </c>
      <c r="E2703" t="s">
        <v>149</v>
      </c>
      <c r="F2703" s="24" t="s">
        <v>35</v>
      </c>
      <c r="G2703" s="24" t="s">
        <v>493</v>
      </c>
      <c r="H2703" s="24" t="s">
        <v>44</v>
      </c>
      <c r="I2703" s="24" t="s">
        <v>9</v>
      </c>
      <c r="J2703" s="24" t="s">
        <v>30</v>
      </c>
      <c r="K2703" s="24"/>
      <c r="L2703" s="24" t="s">
        <v>29</v>
      </c>
    </row>
    <row r="2704">
      <c r="A2704" s="24">
        <f t="shared" si="1"/>
        <v>2702</v>
      </c>
      <c r="B2704" s="24" t="s">
        <v>1073</v>
      </c>
      <c r="C2704" s="339">
        <v>43475.0</v>
      </c>
      <c r="D2704" s="24" t="str">
        <f t="shared" si="225"/>
        <v>Jan-2019</v>
      </c>
      <c r="E2704" t="s">
        <v>222</v>
      </c>
      <c r="F2704" s="24" t="s">
        <v>35</v>
      </c>
      <c r="G2704" s="24" t="s">
        <v>493</v>
      </c>
      <c r="H2704" s="24" t="s">
        <v>44</v>
      </c>
      <c r="I2704" s="24" t="s">
        <v>9</v>
      </c>
      <c r="J2704" s="24" t="s">
        <v>24</v>
      </c>
      <c r="K2704" s="24"/>
      <c r="L2704" s="24" t="s">
        <v>29</v>
      </c>
    </row>
    <row r="2705">
      <c r="A2705" s="24">
        <f t="shared" si="1"/>
        <v>2703</v>
      </c>
      <c r="B2705" s="24" t="s">
        <v>1073</v>
      </c>
      <c r="C2705" s="339">
        <v>43475.0</v>
      </c>
      <c r="D2705" s="24" t="str">
        <f t="shared" si="225"/>
        <v>Jan-2019</v>
      </c>
      <c r="E2705" t="s">
        <v>467</v>
      </c>
      <c r="F2705" s="24" t="s">
        <v>35</v>
      </c>
      <c r="G2705" s="24" t="s">
        <v>493</v>
      </c>
      <c r="H2705" s="24" t="s">
        <v>44</v>
      </c>
      <c r="I2705" s="24" t="s">
        <v>9</v>
      </c>
      <c r="J2705" s="24" t="s">
        <v>24</v>
      </c>
      <c r="K2705" s="24"/>
      <c r="L2705" s="24" t="s">
        <v>37</v>
      </c>
    </row>
    <row r="2706">
      <c r="A2706" s="24">
        <f t="shared" si="1"/>
        <v>2704</v>
      </c>
      <c r="B2706" s="24" t="s">
        <v>1073</v>
      </c>
      <c r="C2706" s="339">
        <v>43475.0</v>
      </c>
      <c r="D2706" s="24" t="str">
        <f t="shared" si="225"/>
        <v>Jan-2019</v>
      </c>
      <c r="E2706" t="s">
        <v>480</v>
      </c>
      <c r="F2706" s="24" t="s">
        <v>35</v>
      </c>
      <c r="G2706" s="24" t="s">
        <v>493</v>
      </c>
      <c r="H2706" s="24" t="s">
        <v>44</v>
      </c>
      <c r="I2706" s="24" t="s">
        <v>9</v>
      </c>
      <c r="J2706" s="24" t="s">
        <v>24</v>
      </c>
      <c r="K2706" s="24"/>
      <c r="L2706" s="24" t="s">
        <v>69</v>
      </c>
    </row>
    <row r="2707">
      <c r="A2707" s="24">
        <f t="shared" si="1"/>
        <v>2705</v>
      </c>
      <c r="B2707" s="24" t="s">
        <v>1078</v>
      </c>
      <c r="C2707" s="339">
        <v>43478.0</v>
      </c>
      <c r="D2707" s="24" t="str">
        <f t="shared" ref="D2707:D2714" si="226">TEXT(C2700:C2707, "mmm") &amp; "-" &amp; TEXT(C2700:C2707, "yyyy") </f>
        <v>Jan-2019</v>
      </c>
      <c r="E2707" t="s">
        <v>20</v>
      </c>
      <c r="F2707" s="24" t="s">
        <v>287</v>
      </c>
      <c r="G2707" s="24" t="s">
        <v>219</v>
      </c>
      <c r="H2707" s="24" t="s">
        <v>97</v>
      </c>
      <c r="I2707" s="24" t="s">
        <v>9</v>
      </c>
      <c r="J2707" s="24" t="s">
        <v>30</v>
      </c>
      <c r="K2707" s="24" t="s">
        <v>30</v>
      </c>
      <c r="L2707" s="24" t="s">
        <v>98</v>
      </c>
    </row>
    <row r="2708">
      <c r="A2708" s="24">
        <f t="shared" si="1"/>
        <v>2706</v>
      </c>
      <c r="B2708" s="24" t="s">
        <v>1078</v>
      </c>
      <c r="C2708" s="339">
        <v>43478.0</v>
      </c>
      <c r="D2708" s="24" t="str">
        <f t="shared" si="226"/>
        <v>Jan-2019</v>
      </c>
      <c r="E2708" t="s">
        <v>25</v>
      </c>
      <c r="F2708" s="24" t="s">
        <v>287</v>
      </c>
      <c r="G2708" s="24" t="s">
        <v>219</v>
      </c>
      <c r="H2708" s="24" t="s">
        <v>97</v>
      </c>
      <c r="I2708" s="24" t="s">
        <v>9</v>
      </c>
      <c r="J2708" s="24" t="s">
        <v>30</v>
      </c>
      <c r="K2708" s="24"/>
      <c r="L2708" s="24" t="s">
        <v>37</v>
      </c>
    </row>
    <row r="2709">
      <c r="A2709" s="24">
        <f t="shared" si="1"/>
        <v>2707</v>
      </c>
      <c r="B2709" s="24" t="s">
        <v>1078</v>
      </c>
      <c r="C2709" s="339">
        <v>43478.0</v>
      </c>
      <c r="D2709" s="24" t="str">
        <f t="shared" si="226"/>
        <v>Jan-2019</v>
      </c>
      <c r="E2709" t="s">
        <v>20</v>
      </c>
      <c r="F2709" s="24" t="s">
        <v>287</v>
      </c>
      <c r="G2709" s="24" t="s">
        <v>1079</v>
      </c>
      <c r="H2709" s="24" t="s">
        <v>44</v>
      </c>
      <c r="I2709" s="24" t="s">
        <v>9</v>
      </c>
      <c r="J2709" s="24" t="s">
        <v>30</v>
      </c>
      <c r="K2709" s="24" t="s">
        <v>30</v>
      </c>
      <c r="L2709" s="24" t="s">
        <v>98</v>
      </c>
    </row>
    <row r="2710">
      <c r="A2710" s="24">
        <f t="shared" si="1"/>
        <v>2708</v>
      </c>
      <c r="B2710" s="24" t="s">
        <v>1078</v>
      </c>
      <c r="C2710" s="339">
        <v>43478.0</v>
      </c>
      <c r="D2710" s="24" t="str">
        <f t="shared" si="226"/>
        <v>Jan-2019</v>
      </c>
      <c r="E2710" t="s">
        <v>25</v>
      </c>
      <c r="F2710" s="24" t="s">
        <v>287</v>
      </c>
      <c r="G2710" s="24" t="s">
        <v>1079</v>
      </c>
      <c r="H2710" s="24" t="s">
        <v>44</v>
      </c>
      <c r="I2710" s="24" t="s">
        <v>9</v>
      </c>
      <c r="J2710" s="24" t="s">
        <v>30</v>
      </c>
      <c r="K2710" s="24"/>
      <c r="L2710" s="24" t="s">
        <v>106</v>
      </c>
    </row>
    <row r="2711">
      <c r="A2711" s="24">
        <f t="shared" si="1"/>
        <v>2709</v>
      </c>
      <c r="B2711" s="24" t="s">
        <v>1078</v>
      </c>
      <c r="C2711" s="339">
        <v>43478.0</v>
      </c>
      <c r="D2711" s="24" t="str">
        <f t="shared" si="226"/>
        <v>Jan-2019</v>
      </c>
      <c r="E2711" t="s">
        <v>20</v>
      </c>
      <c r="F2711" s="24" t="s">
        <v>287</v>
      </c>
      <c r="G2711" s="24" t="s">
        <v>1081</v>
      </c>
      <c r="H2711" s="24" t="s">
        <v>23</v>
      </c>
      <c r="I2711" s="24" t="s">
        <v>9</v>
      </c>
      <c r="J2711" s="24" t="s">
        <v>30</v>
      </c>
      <c r="K2711" s="24" t="s">
        <v>30</v>
      </c>
      <c r="L2711" s="24" t="s">
        <v>37</v>
      </c>
    </row>
    <row r="2712">
      <c r="A2712" s="24">
        <f t="shared" si="1"/>
        <v>2710</v>
      </c>
      <c r="B2712" s="24" t="s">
        <v>1078</v>
      </c>
      <c r="C2712" s="339">
        <v>43478.0</v>
      </c>
      <c r="D2712" s="24" t="str">
        <f t="shared" si="226"/>
        <v>Jan-2019</v>
      </c>
      <c r="E2712" t="s">
        <v>25</v>
      </c>
      <c r="F2712" s="24" t="s">
        <v>287</v>
      </c>
      <c r="G2712" s="24" t="s">
        <v>1081</v>
      </c>
      <c r="H2712" s="24" t="s">
        <v>44</v>
      </c>
      <c r="I2712" s="24" t="s">
        <v>9</v>
      </c>
      <c r="J2712" s="24" t="s">
        <v>30</v>
      </c>
      <c r="K2712" s="24"/>
      <c r="L2712" s="24" t="s">
        <v>106</v>
      </c>
    </row>
    <row r="2713">
      <c r="A2713" s="24">
        <f t="shared" si="1"/>
        <v>2711</v>
      </c>
      <c r="B2713" s="24" t="s">
        <v>1078</v>
      </c>
      <c r="C2713" s="339">
        <v>43478.0</v>
      </c>
      <c r="D2713" s="24" t="str">
        <f t="shared" si="226"/>
        <v>Jan-2019</v>
      </c>
      <c r="E2713" t="s">
        <v>146</v>
      </c>
      <c r="F2713" s="24" t="s">
        <v>35</v>
      </c>
      <c r="G2713" s="24" t="s">
        <v>1082</v>
      </c>
      <c r="H2713" s="24" t="s">
        <v>48</v>
      </c>
      <c r="I2713" s="24" t="s">
        <v>9</v>
      </c>
      <c r="J2713" s="24" t="s">
        <v>30</v>
      </c>
      <c r="K2713" s="24" t="s">
        <v>30</v>
      </c>
      <c r="L2713" s="24" t="s">
        <v>98</v>
      </c>
    </row>
    <row r="2714">
      <c r="A2714" s="24">
        <f t="shared" si="1"/>
        <v>2712</v>
      </c>
      <c r="B2714" s="24" t="s">
        <v>1078</v>
      </c>
      <c r="C2714" s="339">
        <v>43478.0</v>
      </c>
      <c r="D2714" s="24" t="str">
        <f t="shared" si="226"/>
        <v>Jan-2019</v>
      </c>
      <c r="E2714" t="s">
        <v>149</v>
      </c>
      <c r="F2714" s="24" t="s">
        <v>35</v>
      </c>
      <c r="G2714" s="24" t="s">
        <v>1082</v>
      </c>
      <c r="H2714" s="24" t="s">
        <v>48</v>
      </c>
      <c r="I2714" s="24" t="s">
        <v>9</v>
      </c>
      <c r="J2714" s="24" t="s">
        <v>30</v>
      </c>
      <c r="K2714" s="24"/>
      <c r="L2714" s="24" t="s">
        <v>29</v>
      </c>
    </row>
    <row r="2715">
      <c r="A2715" s="24">
        <f t="shared" si="1"/>
        <v>2713</v>
      </c>
      <c r="B2715" s="24" t="s">
        <v>1078</v>
      </c>
      <c r="C2715" s="339">
        <v>43478.0</v>
      </c>
      <c r="D2715" s="24" t="str">
        <f t="shared" ref="D2715:D2726" si="227">TEXT(C2707:C2715, "mmm") &amp; "-" &amp; TEXT(C2707:C2715, "yyyy") </f>
        <v>Jan-2019</v>
      </c>
      <c r="E2715" t="s">
        <v>222</v>
      </c>
      <c r="F2715" s="24" t="s">
        <v>35</v>
      </c>
      <c r="G2715" s="24" t="s">
        <v>1082</v>
      </c>
      <c r="H2715" s="24" t="s">
        <v>48</v>
      </c>
      <c r="I2715" s="24" t="s">
        <v>9</v>
      </c>
      <c r="J2715" s="24" t="s">
        <v>30</v>
      </c>
      <c r="K2715" s="24"/>
      <c r="L2715" s="24" t="s">
        <v>37</v>
      </c>
    </row>
    <row r="2716">
      <c r="A2716" s="24">
        <f t="shared" si="1"/>
        <v>2714</v>
      </c>
      <c r="B2716" s="24" t="s">
        <v>1078</v>
      </c>
      <c r="C2716" s="339">
        <v>43478.0</v>
      </c>
      <c r="D2716" s="24" t="str">
        <f t="shared" si="227"/>
        <v>Jan-2019</v>
      </c>
      <c r="E2716" t="s">
        <v>146</v>
      </c>
      <c r="F2716" s="24" t="s">
        <v>35</v>
      </c>
      <c r="G2716" s="24" t="s">
        <v>190</v>
      </c>
      <c r="H2716" s="24" t="s">
        <v>9</v>
      </c>
      <c r="I2716" s="24" t="s">
        <v>9</v>
      </c>
      <c r="J2716" s="24" t="s">
        <v>24</v>
      </c>
      <c r="K2716" s="24" t="s">
        <v>24</v>
      </c>
      <c r="L2716" s="24" t="s">
        <v>98</v>
      </c>
    </row>
    <row r="2717">
      <c r="A2717" s="24">
        <f t="shared" si="1"/>
        <v>2715</v>
      </c>
      <c r="B2717" s="24" t="s">
        <v>1078</v>
      </c>
      <c r="C2717" s="339">
        <v>43478.0</v>
      </c>
      <c r="D2717" s="24" t="str">
        <f t="shared" si="227"/>
        <v>Jan-2019</v>
      </c>
      <c r="E2717" t="s">
        <v>149</v>
      </c>
      <c r="F2717" s="24" t="s">
        <v>35</v>
      </c>
      <c r="G2717" s="24" t="s">
        <v>190</v>
      </c>
      <c r="H2717" s="24" t="s">
        <v>9</v>
      </c>
      <c r="I2717" s="24" t="s">
        <v>9</v>
      </c>
      <c r="J2717" s="24" t="s">
        <v>24</v>
      </c>
      <c r="K2717" s="24"/>
      <c r="L2717" s="24" t="s">
        <v>69</v>
      </c>
    </row>
    <row r="2718">
      <c r="A2718" s="24">
        <f t="shared" si="1"/>
        <v>2716</v>
      </c>
      <c r="B2718" s="24" t="s">
        <v>1078</v>
      </c>
      <c r="C2718" s="339">
        <v>43478.0</v>
      </c>
      <c r="D2718" s="24" t="str">
        <f t="shared" si="227"/>
        <v>Jan-2019</v>
      </c>
      <c r="E2718" t="s">
        <v>222</v>
      </c>
      <c r="F2718" s="24" t="s">
        <v>35</v>
      </c>
      <c r="G2718" s="24" t="s">
        <v>190</v>
      </c>
      <c r="H2718" s="24" t="s">
        <v>9</v>
      </c>
      <c r="I2718" s="24" t="s">
        <v>9</v>
      </c>
      <c r="J2718" s="24" t="s">
        <v>24</v>
      </c>
      <c r="K2718" s="24"/>
      <c r="L2718" s="24" t="s">
        <v>69</v>
      </c>
    </row>
    <row r="2719">
      <c r="A2719" s="24">
        <f t="shared" si="1"/>
        <v>2717</v>
      </c>
      <c r="B2719" s="24" t="s">
        <v>1078</v>
      </c>
      <c r="C2719" s="339">
        <v>43478.0</v>
      </c>
      <c r="D2719" s="24" t="str">
        <f t="shared" si="227"/>
        <v>Jan-2019</v>
      </c>
      <c r="E2719" t="s">
        <v>146</v>
      </c>
      <c r="F2719" s="24" t="s">
        <v>35</v>
      </c>
      <c r="G2719" s="24" t="s">
        <v>1081</v>
      </c>
      <c r="H2719" s="24" t="s">
        <v>23</v>
      </c>
      <c r="I2719" s="24" t="s">
        <v>9</v>
      </c>
      <c r="J2719" s="24" t="s">
        <v>30</v>
      </c>
      <c r="K2719" s="24" t="s">
        <v>30</v>
      </c>
      <c r="L2719" s="24" t="s">
        <v>37</v>
      </c>
    </row>
    <row r="2720">
      <c r="A2720" s="24">
        <f t="shared" si="1"/>
        <v>2718</v>
      </c>
      <c r="B2720" s="24" t="s">
        <v>1078</v>
      </c>
      <c r="C2720" s="339">
        <v>43478.0</v>
      </c>
      <c r="D2720" s="24" t="str">
        <f t="shared" si="227"/>
        <v>Jan-2019</v>
      </c>
      <c r="E2720" t="s">
        <v>149</v>
      </c>
      <c r="F2720" s="24" t="s">
        <v>35</v>
      </c>
      <c r="G2720" s="24" t="s">
        <v>1081</v>
      </c>
      <c r="H2720" s="24" t="s">
        <v>23</v>
      </c>
      <c r="I2720" s="24" t="s">
        <v>9</v>
      </c>
      <c r="J2720" s="24" t="s">
        <v>24</v>
      </c>
      <c r="K2720" s="24"/>
      <c r="L2720" s="24" t="s">
        <v>98</v>
      </c>
    </row>
    <row r="2721">
      <c r="A2721" s="24">
        <f t="shared" si="1"/>
        <v>2719</v>
      </c>
      <c r="B2721" s="24" t="s">
        <v>1078</v>
      </c>
      <c r="C2721" s="339">
        <v>43478.0</v>
      </c>
      <c r="D2721" s="24" t="str">
        <f t="shared" si="227"/>
        <v>Jan-2019</v>
      </c>
      <c r="E2721" t="s">
        <v>222</v>
      </c>
      <c r="F2721" s="24" t="s">
        <v>35</v>
      </c>
      <c r="G2721" s="24" t="s">
        <v>1081</v>
      </c>
      <c r="H2721" s="24" t="s">
        <v>23</v>
      </c>
      <c r="I2721" s="24" t="s">
        <v>9</v>
      </c>
      <c r="J2721" s="24" t="s">
        <v>30</v>
      </c>
      <c r="K2721" s="24"/>
      <c r="L2721" s="24" t="s">
        <v>106</v>
      </c>
    </row>
    <row r="2722">
      <c r="A2722" s="24">
        <f t="shared" si="1"/>
        <v>2720</v>
      </c>
      <c r="B2722" s="24" t="s">
        <v>1078</v>
      </c>
      <c r="C2722" s="339">
        <v>43478.0</v>
      </c>
      <c r="D2722" s="24" t="str">
        <f t="shared" si="227"/>
        <v>Jan-2019</v>
      </c>
      <c r="E2722" t="s">
        <v>467</v>
      </c>
      <c r="F2722" s="24" t="s">
        <v>35</v>
      </c>
      <c r="G2722" s="24" t="s">
        <v>1081</v>
      </c>
      <c r="H2722" s="24" t="s">
        <v>23</v>
      </c>
      <c r="I2722" s="24" t="s">
        <v>9</v>
      </c>
      <c r="J2722" s="24" t="s">
        <v>24</v>
      </c>
      <c r="K2722" s="24"/>
      <c r="L2722" s="24" t="s">
        <v>99</v>
      </c>
    </row>
    <row r="2723">
      <c r="A2723" s="24">
        <f t="shared" si="1"/>
        <v>2721</v>
      </c>
      <c r="B2723" s="24" t="s">
        <v>1078</v>
      </c>
      <c r="C2723" s="339">
        <v>43478.0</v>
      </c>
      <c r="D2723" s="24" t="str">
        <f t="shared" si="227"/>
        <v>Jan-2019</v>
      </c>
      <c r="E2723" t="s">
        <v>480</v>
      </c>
      <c r="F2723" s="24" t="s">
        <v>35</v>
      </c>
      <c r="G2723" s="24" t="s">
        <v>1081</v>
      </c>
      <c r="H2723" s="24" t="s">
        <v>338</v>
      </c>
      <c r="I2723" s="24" t="s">
        <v>9</v>
      </c>
      <c r="J2723" s="24" t="s">
        <v>30</v>
      </c>
      <c r="K2723" s="24"/>
      <c r="L2723" s="24" t="s">
        <v>29</v>
      </c>
    </row>
    <row r="2724">
      <c r="A2724" s="24">
        <f t="shared" si="1"/>
        <v>2722</v>
      </c>
      <c r="B2724" s="24" t="s">
        <v>1078</v>
      </c>
      <c r="C2724" s="339">
        <v>43478.0</v>
      </c>
      <c r="D2724" s="24" t="str">
        <f t="shared" si="227"/>
        <v>Jan-2019</v>
      </c>
      <c r="E2724" t="s">
        <v>146</v>
      </c>
      <c r="F2724" s="24" t="s">
        <v>35</v>
      </c>
      <c r="G2724" s="24" t="s">
        <v>364</v>
      </c>
      <c r="H2724" s="24" t="s">
        <v>86</v>
      </c>
      <c r="I2724" s="24" t="s">
        <v>9</v>
      </c>
      <c r="J2724" s="24" t="s">
        <v>24</v>
      </c>
      <c r="K2724" s="24" t="s">
        <v>24</v>
      </c>
      <c r="L2724" s="24" t="s">
        <v>69</v>
      </c>
    </row>
    <row r="2725">
      <c r="A2725" s="24">
        <f t="shared" si="1"/>
        <v>2723</v>
      </c>
      <c r="B2725" s="24" t="s">
        <v>1078</v>
      </c>
      <c r="C2725" s="339">
        <v>43478.0</v>
      </c>
      <c r="D2725" s="24" t="str">
        <f t="shared" si="227"/>
        <v>Jan-2019</v>
      </c>
      <c r="E2725" t="s">
        <v>149</v>
      </c>
      <c r="F2725" s="24" t="s">
        <v>35</v>
      </c>
      <c r="G2725" s="24" t="s">
        <v>364</v>
      </c>
      <c r="H2725" s="24" t="s">
        <v>86</v>
      </c>
      <c r="I2725" s="24" t="s">
        <v>9</v>
      </c>
      <c r="J2725" s="24" t="s">
        <v>24</v>
      </c>
      <c r="K2725" s="24"/>
      <c r="L2725" s="24" t="s">
        <v>29</v>
      </c>
    </row>
    <row r="2726">
      <c r="A2726" s="24">
        <f t="shared" si="1"/>
        <v>2724</v>
      </c>
      <c r="B2726" s="24" t="s">
        <v>1078</v>
      </c>
      <c r="C2726" s="339">
        <v>43478.0</v>
      </c>
      <c r="D2726" s="24" t="str">
        <f t="shared" si="227"/>
        <v>Jan-2019</v>
      </c>
      <c r="E2726" t="s">
        <v>222</v>
      </c>
      <c r="F2726" s="24" t="s">
        <v>35</v>
      </c>
      <c r="G2726" s="24" t="s">
        <v>364</v>
      </c>
      <c r="H2726" s="24" t="s">
        <v>86</v>
      </c>
      <c r="I2726" s="24" t="s">
        <v>9</v>
      </c>
      <c r="J2726" s="24" t="s">
        <v>24</v>
      </c>
      <c r="K2726" s="24"/>
      <c r="L2726" s="24" t="s">
        <v>29</v>
      </c>
    </row>
    <row r="2727">
      <c r="A2727" s="24">
        <f t="shared" si="1"/>
        <v>2725</v>
      </c>
      <c r="B2727" s="24" t="s">
        <v>1083</v>
      </c>
      <c r="C2727" s="339">
        <v>43482.0</v>
      </c>
      <c r="D2727" s="24" t="str">
        <f t="shared" ref="D2727:D2734" si="228">TEXT(C2720:C2727, "mmm") &amp; "-" &amp; TEXT(C2720:C2727, "yyyy") </f>
        <v>Jan-2019</v>
      </c>
      <c r="E2727" t="s">
        <v>20</v>
      </c>
      <c r="F2727" s="24" t="s">
        <v>35</v>
      </c>
      <c r="G2727" s="24" t="s">
        <v>694</v>
      </c>
      <c r="H2727" s="24" t="s">
        <v>27</v>
      </c>
      <c r="I2727" s="24" t="s">
        <v>9</v>
      </c>
      <c r="J2727" s="24" t="s">
        <v>30</v>
      </c>
      <c r="K2727" s="24" t="s">
        <v>30</v>
      </c>
      <c r="L2727" s="24" t="s">
        <v>69</v>
      </c>
    </row>
    <row r="2728">
      <c r="A2728" s="24">
        <f t="shared" si="1"/>
        <v>2726</v>
      </c>
      <c r="B2728" s="24" t="s">
        <v>1083</v>
      </c>
      <c r="C2728" s="339">
        <v>43482.0</v>
      </c>
      <c r="D2728" s="24" t="str">
        <f t="shared" si="228"/>
        <v>Jan-2019</v>
      </c>
      <c r="E2728" t="s">
        <v>25</v>
      </c>
      <c r="F2728" s="24" t="s">
        <v>35</v>
      </c>
      <c r="G2728" s="24" t="s">
        <v>694</v>
      </c>
      <c r="H2728" s="24" t="s">
        <v>27</v>
      </c>
      <c r="I2728" s="24" t="s">
        <v>9</v>
      </c>
      <c r="J2728" s="24" t="s">
        <v>30</v>
      </c>
      <c r="K2728" s="24"/>
      <c r="L2728" s="24" t="s">
        <v>69</v>
      </c>
    </row>
    <row r="2729">
      <c r="A2729" s="24">
        <f t="shared" si="1"/>
        <v>2727</v>
      </c>
      <c r="B2729" s="24" t="s">
        <v>1083</v>
      </c>
      <c r="C2729" s="339">
        <v>43482.0</v>
      </c>
      <c r="D2729" s="24" t="str">
        <f t="shared" si="228"/>
        <v>Jan-2019</v>
      </c>
      <c r="E2729" t="s">
        <v>20</v>
      </c>
      <c r="F2729" s="24" t="s">
        <v>35</v>
      </c>
      <c r="G2729" s="24" t="s">
        <v>394</v>
      </c>
      <c r="H2729" s="24" t="s">
        <v>27</v>
      </c>
      <c r="I2729" s="24" t="s">
        <v>9</v>
      </c>
      <c r="J2729" s="24" t="s">
        <v>24</v>
      </c>
      <c r="K2729" s="24" t="s">
        <v>24</v>
      </c>
      <c r="L2729" s="24" t="s">
        <v>37</v>
      </c>
    </row>
    <row r="2730">
      <c r="A2730" s="24">
        <f t="shared" si="1"/>
        <v>2728</v>
      </c>
      <c r="B2730" s="24" t="s">
        <v>1083</v>
      </c>
      <c r="C2730" s="339">
        <v>43482.0</v>
      </c>
      <c r="D2730" s="24" t="str">
        <f t="shared" si="228"/>
        <v>Jan-2019</v>
      </c>
      <c r="E2730" t="s">
        <v>25</v>
      </c>
      <c r="F2730" s="24" t="s">
        <v>35</v>
      </c>
      <c r="G2730" s="24" t="s">
        <v>394</v>
      </c>
      <c r="H2730" s="24" t="s">
        <v>27</v>
      </c>
      <c r="I2730" s="24" t="s">
        <v>9</v>
      </c>
      <c r="J2730" s="24" t="s">
        <v>24</v>
      </c>
      <c r="K2730" s="24"/>
      <c r="L2730" s="24" t="s">
        <v>106</v>
      </c>
    </row>
    <row r="2731">
      <c r="A2731" s="24">
        <f t="shared" si="1"/>
        <v>2729</v>
      </c>
      <c r="B2731" s="24" t="s">
        <v>1083</v>
      </c>
      <c r="C2731" s="339">
        <v>43482.0</v>
      </c>
      <c r="D2731" s="24" t="str">
        <f t="shared" si="228"/>
        <v>Jan-2019</v>
      </c>
      <c r="E2731" t="s">
        <v>20</v>
      </c>
      <c r="F2731" s="24" t="s">
        <v>35</v>
      </c>
      <c r="G2731" s="24" t="s">
        <v>842</v>
      </c>
      <c r="H2731" s="24" t="s">
        <v>71</v>
      </c>
      <c r="I2731" s="24" t="s">
        <v>9</v>
      </c>
      <c r="J2731" s="24" t="s">
        <v>30</v>
      </c>
      <c r="K2731" s="24" t="s">
        <v>30</v>
      </c>
      <c r="L2731" s="24" t="s">
        <v>99</v>
      </c>
    </row>
    <row r="2732">
      <c r="A2732" s="24">
        <f t="shared" si="1"/>
        <v>2730</v>
      </c>
      <c r="B2732" s="24" t="s">
        <v>1083</v>
      </c>
      <c r="C2732" s="339">
        <v>43482.0</v>
      </c>
      <c r="D2732" s="24" t="str">
        <f t="shared" si="228"/>
        <v>Jan-2019</v>
      </c>
      <c r="E2732" t="s">
        <v>25</v>
      </c>
      <c r="F2732" s="24" t="s">
        <v>35</v>
      </c>
      <c r="G2732" s="24" t="s">
        <v>842</v>
      </c>
      <c r="H2732" s="24" t="s">
        <v>71</v>
      </c>
      <c r="I2732" s="24" t="s">
        <v>9</v>
      </c>
      <c r="J2732" s="24" t="s">
        <v>30</v>
      </c>
      <c r="K2732" s="24"/>
      <c r="L2732" s="24" t="s">
        <v>37</v>
      </c>
    </row>
    <row r="2733">
      <c r="A2733" s="24">
        <f t="shared" si="1"/>
        <v>2731</v>
      </c>
      <c r="B2733" s="24" t="s">
        <v>1083</v>
      </c>
      <c r="C2733" s="339">
        <v>43482.0</v>
      </c>
      <c r="D2733" s="24" t="str">
        <f t="shared" si="228"/>
        <v>Jan-2019</v>
      </c>
      <c r="E2733" t="s">
        <v>146</v>
      </c>
      <c r="F2733" s="24" t="s">
        <v>35</v>
      </c>
      <c r="G2733" s="24" t="s">
        <v>665</v>
      </c>
      <c r="H2733" s="24" t="s">
        <v>86</v>
      </c>
      <c r="I2733" s="24" t="s">
        <v>9</v>
      </c>
      <c r="J2733" s="24" t="s">
        <v>24</v>
      </c>
      <c r="K2733" s="24" t="s">
        <v>24</v>
      </c>
      <c r="L2733" s="24" t="s">
        <v>29</v>
      </c>
    </row>
    <row r="2734">
      <c r="A2734" s="24">
        <f t="shared" si="1"/>
        <v>2732</v>
      </c>
      <c r="B2734" s="24" t="s">
        <v>1083</v>
      </c>
      <c r="C2734" s="339">
        <v>43482.0</v>
      </c>
      <c r="D2734" s="24" t="str">
        <f t="shared" si="228"/>
        <v>Jan-2019</v>
      </c>
      <c r="E2734" t="s">
        <v>149</v>
      </c>
      <c r="F2734" s="24" t="s">
        <v>35</v>
      </c>
      <c r="G2734" s="24" t="s">
        <v>665</v>
      </c>
      <c r="H2734" s="24" t="s">
        <v>86</v>
      </c>
      <c r="I2734" s="24" t="s">
        <v>9</v>
      </c>
      <c r="J2734" s="24" t="s">
        <v>24</v>
      </c>
      <c r="K2734" s="24"/>
      <c r="L2734" s="24" t="s">
        <v>29</v>
      </c>
    </row>
    <row r="2735">
      <c r="A2735" s="24">
        <f t="shared" si="1"/>
        <v>2733</v>
      </c>
      <c r="B2735" s="24" t="s">
        <v>1083</v>
      </c>
      <c r="C2735" s="339">
        <v>43482.0</v>
      </c>
      <c r="D2735" s="24" t="str">
        <f t="shared" ref="D2735:D2736" si="229">TEXT(C2727:C2735, "mmm") &amp; "-" &amp; TEXT(C2727:C2735, "yyyy") </f>
        <v>Jan-2019</v>
      </c>
      <c r="E2735" t="s">
        <v>222</v>
      </c>
      <c r="F2735" s="24" t="s">
        <v>35</v>
      </c>
      <c r="G2735" s="24" t="s">
        <v>665</v>
      </c>
      <c r="H2735" s="24" t="s">
        <v>86</v>
      </c>
      <c r="I2735" s="24" t="s">
        <v>9</v>
      </c>
      <c r="J2735" s="24" t="s">
        <v>30</v>
      </c>
      <c r="K2735" s="24"/>
      <c r="L2735" s="24" t="s">
        <v>69</v>
      </c>
    </row>
    <row r="2736">
      <c r="A2736" s="24">
        <f t="shared" si="1"/>
        <v>2734</v>
      </c>
      <c r="B2736" s="24" t="s">
        <v>1083</v>
      </c>
      <c r="C2736" s="339">
        <v>43482.0</v>
      </c>
      <c r="D2736" s="24" t="str">
        <f t="shared" si="229"/>
        <v>Jan-2019</v>
      </c>
      <c r="E2736" t="s">
        <v>467</v>
      </c>
      <c r="F2736" s="24" t="s">
        <v>35</v>
      </c>
      <c r="G2736" s="24" t="s">
        <v>665</v>
      </c>
      <c r="H2736" s="24" t="s">
        <v>86</v>
      </c>
      <c r="I2736" s="24" t="s">
        <v>9</v>
      </c>
      <c r="J2736" s="24" t="s">
        <v>24</v>
      </c>
      <c r="K2736" s="24"/>
      <c r="L2736" s="24" t="s">
        <v>37</v>
      </c>
    </row>
    <row r="2737">
      <c r="A2737" s="24">
        <f t="shared" si="1"/>
        <v>2735</v>
      </c>
      <c r="B2737" s="24" t="s">
        <v>1085</v>
      </c>
      <c r="C2737" s="339">
        <v>43484.0</v>
      </c>
      <c r="D2737" s="24" t="str">
        <f t="shared" ref="D2737:D2744" si="230">TEXT(C2730:C2737, "mmm") &amp; "-" &amp; TEXT(C2730:C2737, "yyyy") </f>
        <v>Jan-2019</v>
      </c>
      <c r="E2737" t="s">
        <v>20</v>
      </c>
      <c r="F2737" s="24" t="s">
        <v>35</v>
      </c>
      <c r="G2737" s="24" t="s">
        <v>806</v>
      </c>
      <c r="H2737" s="24" t="s">
        <v>102</v>
      </c>
      <c r="I2737" s="24" t="s">
        <v>9</v>
      </c>
      <c r="J2737" s="24" t="s">
        <v>30</v>
      </c>
      <c r="K2737" s="24" t="s">
        <v>30</v>
      </c>
      <c r="L2737" s="24" t="s">
        <v>98</v>
      </c>
    </row>
    <row r="2738">
      <c r="A2738" s="24">
        <f t="shared" si="1"/>
        <v>2736</v>
      </c>
      <c r="B2738" s="24" t="s">
        <v>1085</v>
      </c>
      <c r="C2738" s="339">
        <v>43484.0</v>
      </c>
      <c r="D2738" s="24" t="str">
        <f t="shared" si="230"/>
        <v>Jan-2019</v>
      </c>
      <c r="E2738" t="s">
        <v>25</v>
      </c>
      <c r="F2738" s="24" t="s">
        <v>35</v>
      </c>
      <c r="G2738" s="24" t="s">
        <v>806</v>
      </c>
      <c r="H2738" s="24" t="s">
        <v>102</v>
      </c>
      <c r="I2738" s="24" t="s">
        <v>9</v>
      </c>
      <c r="J2738" s="24" t="s">
        <v>30</v>
      </c>
      <c r="K2738" s="24"/>
      <c r="L2738" s="24" t="s">
        <v>37</v>
      </c>
    </row>
    <row r="2739">
      <c r="A2739" s="24">
        <f t="shared" si="1"/>
        <v>2737</v>
      </c>
      <c r="B2739" s="24" t="s">
        <v>1085</v>
      </c>
      <c r="C2739" s="339">
        <v>43484.0</v>
      </c>
      <c r="D2739" s="24" t="str">
        <f t="shared" si="230"/>
        <v>Jan-2019</v>
      </c>
      <c r="E2739" t="s">
        <v>20</v>
      </c>
      <c r="F2739" s="24" t="s">
        <v>35</v>
      </c>
      <c r="G2739" s="24" t="s">
        <v>633</v>
      </c>
      <c r="H2739" s="24" t="s">
        <v>27</v>
      </c>
      <c r="I2739" s="24" t="s">
        <v>9</v>
      </c>
      <c r="J2739" s="24" t="s">
        <v>30</v>
      </c>
      <c r="K2739" s="24" t="s">
        <v>30</v>
      </c>
      <c r="L2739" s="24" t="s">
        <v>37</v>
      </c>
    </row>
    <row r="2740">
      <c r="A2740" s="24">
        <f t="shared" si="1"/>
        <v>2738</v>
      </c>
      <c r="B2740" s="24" t="s">
        <v>1085</v>
      </c>
      <c r="C2740" s="339">
        <v>43484.0</v>
      </c>
      <c r="D2740" s="24" t="str">
        <f t="shared" si="230"/>
        <v>Jan-2019</v>
      </c>
      <c r="E2740" t="s">
        <v>25</v>
      </c>
      <c r="F2740" s="24" t="s">
        <v>35</v>
      </c>
      <c r="G2740" s="24" t="s">
        <v>633</v>
      </c>
      <c r="H2740" s="24" t="s">
        <v>27</v>
      </c>
      <c r="I2740" s="24" t="s">
        <v>9</v>
      </c>
      <c r="J2740" s="24" t="s">
        <v>30</v>
      </c>
      <c r="K2740" s="24"/>
      <c r="L2740" s="24" t="s">
        <v>69</v>
      </c>
    </row>
    <row r="2741">
      <c r="A2741" s="24">
        <f t="shared" si="1"/>
        <v>2739</v>
      </c>
      <c r="B2741" s="24" t="s">
        <v>1085</v>
      </c>
      <c r="C2741" s="339">
        <v>43484.0</v>
      </c>
      <c r="D2741" s="24" t="str">
        <f t="shared" si="230"/>
        <v>Jan-2019</v>
      </c>
      <c r="E2741" t="s">
        <v>146</v>
      </c>
      <c r="F2741" s="24" t="s">
        <v>35</v>
      </c>
      <c r="G2741" s="24" t="s">
        <v>452</v>
      </c>
      <c r="H2741" s="24" t="s">
        <v>27</v>
      </c>
      <c r="I2741" s="24" t="s">
        <v>9</v>
      </c>
      <c r="J2741" s="24" t="s">
        <v>24</v>
      </c>
      <c r="K2741" s="24" t="s">
        <v>24</v>
      </c>
      <c r="L2741" s="24" t="s">
        <v>29</v>
      </c>
    </row>
    <row r="2742">
      <c r="A2742" s="24">
        <f t="shared" si="1"/>
        <v>2740</v>
      </c>
      <c r="B2742" s="24" t="s">
        <v>1085</v>
      </c>
      <c r="C2742" s="339">
        <v>43484.0</v>
      </c>
      <c r="D2742" s="24" t="str">
        <f t="shared" si="230"/>
        <v>Jan-2019</v>
      </c>
      <c r="E2742" t="s">
        <v>149</v>
      </c>
      <c r="F2742" s="24" t="s">
        <v>35</v>
      </c>
      <c r="G2742" s="24" t="s">
        <v>452</v>
      </c>
      <c r="H2742" s="24" t="s">
        <v>27</v>
      </c>
      <c r="I2742" s="24" t="s">
        <v>9</v>
      </c>
      <c r="J2742" s="24" t="s">
        <v>30</v>
      </c>
      <c r="K2742" s="24"/>
      <c r="L2742" s="24" t="s">
        <v>37</v>
      </c>
    </row>
    <row r="2743">
      <c r="A2743" s="24">
        <f t="shared" si="1"/>
        <v>2741</v>
      </c>
      <c r="B2743" s="24" t="s">
        <v>1085</v>
      </c>
      <c r="C2743" s="339">
        <v>43484.0</v>
      </c>
      <c r="D2743" s="24" t="str">
        <f t="shared" si="230"/>
        <v>Jan-2019</v>
      </c>
      <c r="E2743" t="s">
        <v>222</v>
      </c>
      <c r="F2743" s="24" t="s">
        <v>35</v>
      </c>
      <c r="G2743" s="24" t="s">
        <v>452</v>
      </c>
      <c r="H2743" s="24" t="s">
        <v>27</v>
      </c>
      <c r="I2743" s="24" t="s">
        <v>9</v>
      </c>
      <c r="J2743" s="24" t="s">
        <v>24</v>
      </c>
      <c r="K2743" s="24"/>
      <c r="L2743" s="24" t="s">
        <v>99</v>
      </c>
    </row>
    <row r="2744">
      <c r="A2744" s="24">
        <f t="shared" si="1"/>
        <v>2742</v>
      </c>
      <c r="B2744" s="24" t="s">
        <v>1085</v>
      </c>
      <c r="C2744" s="339">
        <v>43484.0</v>
      </c>
      <c r="D2744" s="24" t="str">
        <f t="shared" si="230"/>
        <v>Jan-2019</v>
      </c>
      <c r="E2744" t="s">
        <v>467</v>
      </c>
      <c r="F2744" s="24" t="s">
        <v>35</v>
      </c>
      <c r="G2744" s="24" t="s">
        <v>452</v>
      </c>
      <c r="H2744" s="24" t="s">
        <v>27</v>
      </c>
      <c r="I2744" s="24" t="s">
        <v>9</v>
      </c>
      <c r="J2744" s="24" t="s">
        <v>30</v>
      </c>
      <c r="K2744" s="24"/>
      <c r="L2744" s="24" t="s">
        <v>98</v>
      </c>
    </row>
    <row r="2745">
      <c r="A2745" s="24">
        <f t="shared" si="1"/>
        <v>2743</v>
      </c>
      <c r="B2745" s="24" t="s">
        <v>1085</v>
      </c>
      <c r="C2745" s="339">
        <v>43484.0</v>
      </c>
      <c r="D2745" s="24" t="str">
        <f t="shared" ref="D2745:D2750" si="231">TEXT(C2737:C2745, "mmm") &amp; "-" &amp; TEXT(C2737:C2745, "yyyy") </f>
        <v>Jan-2019</v>
      </c>
      <c r="E2745" t="s">
        <v>480</v>
      </c>
      <c r="F2745" s="24" t="s">
        <v>35</v>
      </c>
      <c r="G2745" s="24" t="s">
        <v>452</v>
      </c>
      <c r="H2745" s="24" t="s">
        <v>27</v>
      </c>
      <c r="I2745" s="24" t="s">
        <v>9</v>
      </c>
      <c r="J2745" s="24" t="s">
        <v>24</v>
      </c>
      <c r="K2745" s="24"/>
      <c r="L2745" s="24" t="s">
        <v>69</v>
      </c>
    </row>
    <row r="2746">
      <c r="A2746" s="24">
        <f t="shared" si="1"/>
        <v>2744</v>
      </c>
      <c r="B2746" s="24" t="s">
        <v>1085</v>
      </c>
      <c r="C2746" s="339">
        <v>43484.0</v>
      </c>
      <c r="D2746" s="24" t="str">
        <f t="shared" si="231"/>
        <v>Jan-2019</v>
      </c>
      <c r="E2746" t="s">
        <v>146</v>
      </c>
      <c r="F2746" s="24" t="s">
        <v>35</v>
      </c>
      <c r="G2746" s="24" t="s">
        <v>804</v>
      </c>
      <c r="H2746" s="24" t="s">
        <v>23</v>
      </c>
      <c r="I2746" s="24" t="s">
        <v>9</v>
      </c>
      <c r="J2746" s="24" t="s">
        <v>24</v>
      </c>
      <c r="K2746" s="24" t="s">
        <v>24</v>
      </c>
      <c r="L2746" s="24" t="s">
        <v>37</v>
      </c>
    </row>
    <row r="2747">
      <c r="A2747" s="24">
        <f t="shared" si="1"/>
        <v>2745</v>
      </c>
      <c r="B2747" s="24" t="s">
        <v>1085</v>
      </c>
      <c r="C2747" s="339">
        <v>43484.0</v>
      </c>
      <c r="D2747" s="24" t="str">
        <f t="shared" si="231"/>
        <v>Jan-2019</v>
      </c>
      <c r="E2747" t="s">
        <v>149</v>
      </c>
      <c r="F2747" s="24" t="s">
        <v>35</v>
      </c>
      <c r="G2747" s="24" t="s">
        <v>804</v>
      </c>
      <c r="H2747" s="24" t="s">
        <v>23</v>
      </c>
      <c r="I2747" s="24" t="s">
        <v>9</v>
      </c>
      <c r="J2747" s="24" t="s">
        <v>30</v>
      </c>
      <c r="K2747" s="24"/>
      <c r="L2747" s="24" t="s">
        <v>106</v>
      </c>
    </row>
    <row r="2748">
      <c r="A2748" s="24">
        <f t="shared" si="1"/>
        <v>2746</v>
      </c>
      <c r="B2748" s="24" t="s">
        <v>1085</v>
      </c>
      <c r="C2748" s="339">
        <v>43484.0</v>
      </c>
      <c r="D2748" s="24" t="str">
        <f t="shared" si="231"/>
        <v>Jan-2019</v>
      </c>
      <c r="E2748" t="s">
        <v>222</v>
      </c>
      <c r="F2748" s="24" t="s">
        <v>35</v>
      </c>
      <c r="G2748" s="24" t="s">
        <v>804</v>
      </c>
      <c r="H2748" s="24" t="s">
        <v>23</v>
      </c>
      <c r="I2748" s="24" t="s">
        <v>9</v>
      </c>
      <c r="J2748" s="24" t="s">
        <v>24</v>
      </c>
      <c r="K2748" s="24"/>
      <c r="L2748" s="24" t="s">
        <v>98</v>
      </c>
    </row>
    <row r="2749">
      <c r="A2749" s="24">
        <f t="shared" si="1"/>
        <v>2747</v>
      </c>
      <c r="B2749" s="24" t="s">
        <v>1085</v>
      </c>
      <c r="C2749" s="339">
        <v>43484.0</v>
      </c>
      <c r="D2749" s="24" t="str">
        <f t="shared" si="231"/>
        <v>Jan-2019</v>
      </c>
      <c r="E2749" t="s">
        <v>467</v>
      </c>
      <c r="F2749" s="24" t="s">
        <v>35</v>
      </c>
      <c r="G2749" s="24" t="s">
        <v>804</v>
      </c>
      <c r="H2749" s="24" t="s">
        <v>23</v>
      </c>
      <c r="I2749" s="24" t="s">
        <v>9</v>
      </c>
      <c r="J2749" s="24" t="s">
        <v>30</v>
      </c>
      <c r="K2749" s="24"/>
      <c r="L2749" s="24" t="s">
        <v>29</v>
      </c>
    </row>
    <row r="2750">
      <c r="A2750" s="24">
        <f t="shared" si="1"/>
        <v>2748</v>
      </c>
      <c r="B2750" s="24" t="s">
        <v>1085</v>
      </c>
      <c r="C2750" s="339">
        <v>43484.0</v>
      </c>
      <c r="D2750" s="24" t="str">
        <f t="shared" si="231"/>
        <v>Jan-2019</v>
      </c>
      <c r="E2750" t="s">
        <v>480</v>
      </c>
      <c r="F2750" s="24" t="s">
        <v>35</v>
      </c>
      <c r="G2750" s="24" t="s">
        <v>804</v>
      </c>
      <c r="H2750" s="24" t="s">
        <v>23</v>
      </c>
      <c r="I2750" s="24" t="s">
        <v>9</v>
      </c>
      <c r="J2750" s="24" t="s">
        <v>24</v>
      </c>
      <c r="K2750" s="24"/>
      <c r="L2750" s="24" t="s">
        <v>99</v>
      </c>
    </row>
    <row r="2751">
      <c r="A2751" s="24">
        <f t="shared" si="1"/>
        <v>2749</v>
      </c>
      <c r="B2751" s="24" t="s">
        <v>1088</v>
      </c>
      <c r="C2751" s="339">
        <v>43485.0</v>
      </c>
      <c r="D2751" s="24" t="str">
        <f t="shared" ref="D2751:D2758" si="232">TEXT(C2744:C2751, "mmm") &amp; "-" &amp; TEXT(C2744:C2751, "yyyy") </f>
        <v>Jan-2019</v>
      </c>
      <c r="E2751" t="s">
        <v>20</v>
      </c>
      <c r="F2751" s="24" t="s">
        <v>287</v>
      </c>
      <c r="G2751" s="24" t="s">
        <v>94</v>
      </c>
      <c r="H2751" s="24" t="s">
        <v>44</v>
      </c>
      <c r="I2751" s="24" t="s">
        <v>9</v>
      </c>
      <c r="J2751" s="24" t="s">
        <v>24</v>
      </c>
      <c r="K2751" s="24" t="s">
        <v>30</v>
      </c>
      <c r="L2751" s="24" t="s">
        <v>69</v>
      </c>
    </row>
    <row r="2752">
      <c r="A2752" s="24">
        <f t="shared" si="1"/>
        <v>2750</v>
      </c>
      <c r="B2752" s="24" t="s">
        <v>1088</v>
      </c>
      <c r="C2752" s="339">
        <v>43485.0</v>
      </c>
      <c r="D2752" s="24" t="str">
        <f t="shared" si="232"/>
        <v>Jan-2019</v>
      </c>
      <c r="E2752" t="s">
        <v>25</v>
      </c>
      <c r="F2752" s="24" t="s">
        <v>287</v>
      </c>
      <c r="G2752" s="24" t="s">
        <v>94</v>
      </c>
      <c r="H2752" s="24" t="s">
        <v>44</v>
      </c>
      <c r="I2752" s="24" t="s">
        <v>9</v>
      </c>
      <c r="J2752" s="24" t="s">
        <v>30</v>
      </c>
      <c r="K2752" s="24"/>
      <c r="L2752" s="24" t="s">
        <v>106</v>
      </c>
    </row>
    <row r="2753">
      <c r="A2753" s="24">
        <f t="shared" si="1"/>
        <v>2751</v>
      </c>
      <c r="B2753" s="24" t="s">
        <v>1088</v>
      </c>
      <c r="C2753" s="339">
        <v>43485.0</v>
      </c>
      <c r="D2753" s="24" t="str">
        <f t="shared" si="232"/>
        <v>Jan-2019</v>
      </c>
      <c r="E2753" t="s">
        <v>32</v>
      </c>
      <c r="F2753" s="24" t="s">
        <v>287</v>
      </c>
      <c r="G2753" s="24" t="s">
        <v>94</v>
      </c>
      <c r="H2753" s="24" t="s">
        <v>44</v>
      </c>
      <c r="I2753" s="24" t="s">
        <v>9</v>
      </c>
      <c r="J2753" s="24" t="s">
        <v>30</v>
      </c>
      <c r="K2753" s="24"/>
      <c r="L2753" s="24" t="s">
        <v>98</v>
      </c>
    </row>
    <row r="2754">
      <c r="A2754" s="24">
        <f t="shared" si="1"/>
        <v>2752</v>
      </c>
      <c r="B2754" s="24" t="s">
        <v>1088</v>
      </c>
      <c r="C2754" s="339">
        <v>43485.0</v>
      </c>
      <c r="D2754" s="24" t="str">
        <f t="shared" si="232"/>
        <v>Jan-2019</v>
      </c>
      <c r="E2754" t="s">
        <v>20</v>
      </c>
      <c r="F2754" s="24" t="s">
        <v>287</v>
      </c>
      <c r="G2754" s="24" t="s">
        <v>1089</v>
      </c>
      <c r="H2754" s="24" t="s">
        <v>44</v>
      </c>
      <c r="I2754" s="24" t="s">
        <v>9</v>
      </c>
      <c r="J2754" s="24" t="s">
        <v>30</v>
      </c>
      <c r="K2754" s="24" t="s">
        <v>30</v>
      </c>
      <c r="L2754" s="24" t="s">
        <v>69</v>
      </c>
    </row>
    <row r="2755">
      <c r="A2755" s="24">
        <f t="shared" si="1"/>
        <v>2753</v>
      </c>
      <c r="B2755" s="24" t="s">
        <v>1088</v>
      </c>
      <c r="C2755" s="339">
        <v>43485.0</v>
      </c>
      <c r="D2755" s="24" t="str">
        <f t="shared" si="232"/>
        <v>Jan-2019</v>
      </c>
      <c r="E2755" t="s">
        <v>25</v>
      </c>
      <c r="F2755" s="24" t="s">
        <v>287</v>
      </c>
      <c r="G2755" s="24" t="s">
        <v>1089</v>
      </c>
      <c r="H2755" s="24" t="s">
        <v>27</v>
      </c>
      <c r="I2755" s="24" t="s">
        <v>9</v>
      </c>
      <c r="J2755" s="24" t="s">
        <v>30</v>
      </c>
      <c r="K2755" s="24"/>
      <c r="L2755" s="24" t="s">
        <v>98</v>
      </c>
    </row>
    <row r="2756">
      <c r="A2756" s="24">
        <f t="shared" si="1"/>
        <v>2754</v>
      </c>
      <c r="B2756" s="24" t="s">
        <v>1088</v>
      </c>
      <c r="C2756" s="339">
        <v>43485.0</v>
      </c>
      <c r="D2756" s="24" t="str">
        <f t="shared" si="232"/>
        <v>Jan-2019</v>
      </c>
      <c r="E2756" t="s">
        <v>20</v>
      </c>
      <c r="F2756" s="24" t="s">
        <v>35</v>
      </c>
      <c r="G2756" s="24" t="s">
        <v>450</v>
      </c>
      <c r="H2756" s="24" t="s">
        <v>9</v>
      </c>
      <c r="I2756" s="24" t="s">
        <v>9</v>
      </c>
      <c r="J2756" s="24" t="s">
        <v>24</v>
      </c>
      <c r="K2756" s="24" t="s">
        <v>24</v>
      </c>
      <c r="L2756" s="24" t="s">
        <v>69</v>
      </c>
    </row>
    <row r="2757">
      <c r="A2757" s="24">
        <f t="shared" si="1"/>
        <v>2755</v>
      </c>
      <c r="B2757" s="24" t="s">
        <v>1088</v>
      </c>
      <c r="C2757" s="339">
        <v>43485.0</v>
      </c>
      <c r="D2757" s="24" t="str">
        <f t="shared" si="232"/>
        <v>Jan-2019</v>
      </c>
      <c r="E2757" t="s">
        <v>25</v>
      </c>
      <c r="F2757" s="24" t="s">
        <v>35</v>
      </c>
      <c r="G2757" s="24" t="s">
        <v>450</v>
      </c>
      <c r="H2757" s="24" t="s">
        <v>9</v>
      </c>
      <c r="I2757" s="24" t="s">
        <v>9</v>
      </c>
      <c r="J2757" s="24" t="s">
        <v>24</v>
      </c>
      <c r="K2757" s="24"/>
      <c r="L2757" s="24" t="s">
        <v>106</v>
      </c>
    </row>
    <row r="2758">
      <c r="A2758" s="24">
        <f t="shared" si="1"/>
        <v>2756</v>
      </c>
      <c r="B2758" s="24" t="s">
        <v>1088</v>
      </c>
      <c r="C2758" s="339">
        <v>43485.0</v>
      </c>
      <c r="D2758" s="24" t="str">
        <f t="shared" si="232"/>
        <v>Jan-2019</v>
      </c>
      <c r="E2758" t="s">
        <v>20</v>
      </c>
      <c r="F2758" s="24" t="s">
        <v>35</v>
      </c>
      <c r="G2758" s="24" t="s">
        <v>1091</v>
      </c>
      <c r="H2758" s="24" t="s">
        <v>86</v>
      </c>
      <c r="I2758" s="24" t="s">
        <v>9</v>
      </c>
      <c r="J2758" s="24" t="s">
        <v>30</v>
      </c>
      <c r="K2758" s="24" t="s">
        <v>30</v>
      </c>
      <c r="L2758" s="24" t="s">
        <v>69</v>
      </c>
    </row>
    <row r="2759">
      <c r="A2759" s="24">
        <f t="shared" si="1"/>
        <v>2757</v>
      </c>
      <c r="B2759" s="24" t="s">
        <v>1088</v>
      </c>
      <c r="C2759" s="339">
        <v>43485.0</v>
      </c>
      <c r="D2759" s="24" t="str">
        <f t="shared" ref="D2759:D2762" si="233">TEXT(C2751:C2759, "mmm") &amp; "-" &amp; TEXT(C2751:C2759, "yyyy") </f>
        <v>Jan-2019</v>
      </c>
      <c r="E2759" t="s">
        <v>25</v>
      </c>
      <c r="F2759" s="24" t="s">
        <v>35</v>
      </c>
      <c r="G2759" s="24" t="s">
        <v>1091</v>
      </c>
      <c r="H2759" s="24" t="s">
        <v>86</v>
      </c>
      <c r="I2759" s="24" t="s">
        <v>9</v>
      </c>
      <c r="J2759" s="24" t="s">
        <v>30</v>
      </c>
      <c r="K2759" s="24"/>
      <c r="L2759" s="24" t="s">
        <v>106</v>
      </c>
    </row>
    <row r="2760">
      <c r="A2760" s="24">
        <f t="shared" si="1"/>
        <v>2758</v>
      </c>
      <c r="B2760" s="24" t="s">
        <v>1088</v>
      </c>
      <c r="C2760" s="339">
        <v>43485.0</v>
      </c>
      <c r="D2760" s="24" t="str">
        <f t="shared" si="233"/>
        <v>Jan-2019</v>
      </c>
      <c r="E2760" t="s">
        <v>20</v>
      </c>
      <c r="F2760" s="24" t="s">
        <v>35</v>
      </c>
      <c r="G2760" s="24" t="s">
        <v>92</v>
      </c>
      <c r="H2760" s="24" t="s">
        <v>27</v>
      </c>
      <c r="I2760" s="24" t="s">
        <v>9</v>
      </c>
      <c r="J2760" s="24" t="s">
        <v>24</v>
      </c>
      <c r="K2760" s="24" t="s">
        <v>24</v>
      </c>
      <c r="L2760" s="24" t="s">
        <v>37</v>
      </c>
    </row>
    <row r="2761">
      <c r="A2761" s="24">
        <f t="shared" si="1"/>
        <v>2759</v>
      </c>
      <c r="B2761" s="24" t="s">
        <v>1088</v>
      </c>
      <c r="C2761" s="339">
        <v>43485.0</v>
      </c>
      <c r="D2761" s="24" t="str">
        <f t="shared" si="233"/>
        <v>Jan-2019</v>
      </c>
      <c r="E2761" t="s">
        <v>25</v>
      </c>
      <c r="F2761" s="24" t="s">
        <v>35</v>
      </c>
      <c r="G2761" s="24" t="s">
        <v>92</v>
      </c>
      <c r="H2761" s="24" t="s">
        <v>27</v>
      </c>
      <c r="I2761" s="24" t="s">
        <v>9</v>
      </c>
      <c r="J2761" s="24" t="s">
        <v>30</v>
      </c>
      <c r="K2761" s="24"/>
      <c r="L2761" s="24" t="s">
        <v>106</v>
      </c>
    </row>
    <row r="2762">
      <c r="A2762" s="24">
        <f t="shared" si="1"/>
        <v>2760</v>
      </c>
      <c r="B2762" s="24" t="s">
        <v>1088</v>
      </c>
      <c r="C2762" s="339">
        <v>43485.0</v>
      </c>
      <c r="D2762" s="24" t="str">
        <f t="shared" si="233"/>
        <v>Jan-2019</v>
      </c>
      <c r="E2762" t="s">
        <v>32</v>
      </c>
      <c r="F2762" s="24" t="s">
        <v>35</v>
      </c>
      <c r="G2762" s="24" t="s">
        <v>92</v>
      </c>
      <c r="H2762" s="24" t="s">
        <v>27</v>
      </c>
      <c r="I2762" s="24" t="s">
        <v>9</v>
      </c>
      <c r="J2762" s="24" t="s">
        <v>24</v>
      </c>
      <c r="K2762" s="24"/>
      <c r="L2762" s="24" t="s">
        <v>69</v>
      </c>
    </row>
    <row r="2763">
      <c r="A2763" s="24">
        <f t="shared" si="1"/>
        <v>2761</v>
      </c>
      <c r="B2763" s="24" t="s">
        <v>1092</v>
      </c>
      <c r="C2763" s="275">
        <v>43491.0</v>
      </c>
      <c r="D2763" s="24" t="str">
        <f t="shared" ref="D2763:D2770" si="234">TEXT(C2756:C2763, "mmm") &amp; "-" &amp; TEXT(C2756:C2763, "yyyy") </f>
        <v>Jan-2019</v>
      </c>
      <c r="E2763" t="s">
        <v>20</v>
      </c>
      <c r="F2763" s="24" t="s">
        <v>287</v>
      </c>
      <c r="G2763" s="24" t="s">
        <v>1093</v>
      </c>
      <c r="H2763" s="24" t="s">
        <v>86</v>
      </c>
      <c r="I2763" s="24" t="s">
        <v>9</v>
      </c>
      <c r="J2763" s="24" t="s">
        <v>30</v>
      </c>
      <c r="K2763" s="24" t="s">
        <v>30</v>
      </c>
      <c r="L2763" s="24" t="s">
        <v>99</v>
      </c>
    </row>
    <row r="2764">
      <c r="A2764" s="24">
        <f t="shared" si="1"/>
        <v>2762</v>
      </c>
      <c r="B2764" s="24" t="s">
        <v>1092</v>
      </c>
      <c r="C2764" s="275">
        <v>43491.0</v>
      </c>
      <c r="D2764" s="24" t="str">
        <f t="shared" si="234"/>
        <v>Jan-2019</v>
      </c>
      <c r="E2764" t="s">
        <v>25</v>
      </c>
      <c r="F2764" s="24" t="s">
        <v>287</v>
      </c>
      <c r="G2764" s="24" t="s">
        <v>1093</v>
      </c>
      <c r="H2764" s="24" t="s">
        <v>86</v>
      </c>
      <c r="I2764" s="24" t="s">
        <v>9</v>
      </c>
      <c r="J2764" s="24" t="s">
        <v>30</v>
      </c>
      <c r="K2764" s="24"/>
      <c r="L2764" s="24" t="s">
        <v>98</v>
      </c>
    </row>
    <row r="2765">
      <c r="A2765" s="24">
        <f t="shared" si="1"/>
        <v>2763</v>
      </c>
      <c r="B2765" s="24" t="s">
        <v>1092</v>
      </c>
      <c r="C2765" s="275">
        <v>43491.0</v>
      </c>
      <c r="D2765" s="24" t="str">
        <f t="shared" si="234"/>
        <v>Jan-2019</v>
      </c>
      <c r="E2765" t="s">
        <v>20</v>
      </c>
      <c r="F2765" s="24" t="s">
        <v>287</v>
      </c>
      <c r="G2765" s="24" t="s">
        <v>452</v>
      </c>
      <c r="H2765" s="24" t="s">
        <v>27</v>
      </c>
      <c r="I2765" s="24" t="s">
        <v>9</v>
      </c>
      <c r="J2765" s="24" t="s">
        <v>24</v>
      </c>
      <c r="K2765" s="24" t="s">
        <v>24</v>
      </c>
      <c r="L2765" s="24" t="s">
        <v>98</v>
      </c>
    </row>
    <row r="2766">
      <c r="A2766" s="24">
        <f t="shared" si="1"/>
        <v>2764</v>
      </c>
      <c r="B2766" s="24" t="s">
        <v>1092</v>
      </c>
      <c r="C2766" s="275">
        <v>43491.0</v>
      </c>
      <c r="D2766" s="24" t="str">
        <f t="shared" si="234"/>
        <v>Jan-2019</v>
      </c>
      <c r="E2766" t="s">
        <v>25</v>
      </c>
      <c r="F2766" s="24" t="s">
        <v>287</v>
      </c>
      <c r="G2766" s="24" t="s">
        <v>452</v>
      </c>
      <c r="H2766" s="24" t="s">
        <v>27</v>
      </c>
      <c r="I2766" s="24" t="s">
        <v>9</v>
      </c>
      <c r="J2766" s="24" t="s">
        <v>24</v>
      </c>
      <c r="K2766" s="24"/>
      <c r="L2766" s="24" t="s">
        <v>106</v>
      </c>
    </row>
    <row r="2767">
      <c r="A2767" s="24">
        <f t="shared" si="1"/>
        <v>2765</v>
      </c>
      <c r="B2767" s="24" t="s">
        <v>1092</v>
      </c>
      <c r="C2767" s="275">
        <v>43491.0</v>
      </c>
      <c r="D2767" s="24" t="str">
        <f t="shared" si="234"/>
        <v>Jan-2019</v>
      </c>
      <c r="E2767" t="s">
        <v>20</v>
      </c>
      <c r="F2767" s="24" t="s">
        <v>287</v>
      </c>
      <c r="G2767" s="24" t="s">
        <v>684</v>
      </c>
      <c r="H2767" s="24" t="s">
        <v>9</v>
      </c>
      <c r="I2767" s="24" t="s">
        <v>9</v>
      </c>
      <c r="J2767" s="24" t="s">
        <v>30</v>
      </c>
      <c r="K2767" s="24" t="s">
        <v>30</v>
      </c>
      <c r="L2767" s="24" t="s">
        <v>69</v>
      </c>
    </row>
    <row r="2768">
      <c r="A2768" s="24">
        <f t="shared" si="1"/>
        <v>2766</v>
      </c>
      <c r="B2768" s="24" t="s">
        <v>1092</v>
      </c>
      <c r="C2768" s="275">
        <v>43491.0</v>
      </c>
      <c r="D2768" s="24" t="str">
        <f t="shared" si="234"/>
        <v>Jan-2019</v>
      </c>
      <c r="E2768" t="s">
        <v>25</v>
      </c>
      <c r="F2768" s="24" t="s">
        <v>287</v>
      </c>
      <c r="G2768" s="24" t="s">
        <v>684</v>
      </c>
      <c r="H2768" s="24" t="s">
        <v>9</v>
      </c>
      <c r="I2768" s="24" t="s">
        <v>9</v>
      </c>
      <c r="J2768" s="24" t="s">
        <v>30</v>
      </c>
      <c r="K2768" s="24"/>
      <c r="L2768" s="24" t="s">
        <v>106</v>
      </c>
    </row>
    <row r="2769">
      <c r="A2769" s="24">
        <f t="shared" si="1"/>
        <v>2767</v>
      </c>
      <c r="B2769" s="24" t="s">
        <v>1092</v>
      </c>
      <c r="C2769" s="275">
        <v>43491.0</v>
      </c>
      <c r="D2769" s="24" t="str">
        <f t="shared" si="234"/>
        <v>Jan-2019</v>
      </c>
      <c r="E2769" t="s">
        <v>20</v>
      </c>
      <c r="F2769" s="24" t="s">
        <v>287</v>
      </c>
      <c r="G2769" s="24" t="s">
        <v>194</v>
      </c>
      <c r="H2769" s="24" t="s">
        <v>23</v>
      </c>
      <c r="I2769" s="24" t="s">
        <v>9</v>
      </c>
      <c r="J2769" s="24" t="s">
        <v>24</v>
      </c>
      <c r="K2769" s="24" t="s">
        <v>24</v>
      </c>
      <c r="L2769" s="24" t="s">
        <v>37</v>
      </c>
    </row>
    <row r="2770">
      <c r="A2770" s="24">
        <f t="shared" si="1"/>
        <v>2768</v>
      </c>
      <c r="B2770" s="24" t="s">
        <v>1092</v>
      </c>
      <c r="C2770" s="275">
        <v>43491.0</v>
      </c>
      <c r="D2770" s="24" t="str">
        <f t="shared" si="234"/>
        <v>Jan-2019</v>
      </c>
      <c r="E2770" t="s">
        <v>25</v>
      </c>
      <c r="F2770" s="24" t="s">
        <v>287</v>
      </c>
      <c r="G2770" s="24" t="s">
        <v>194</v>
      </c>
      <c r="H2770" s="24" t="s">
        <v>23</v>
      </c>
      <c r="I2770" s="24" t="s">
        <v>9</v>
      </c>
      <c r="J2770" s="24" t="s">
        <v>24</v>
      </c>
      <c r="K2770" s="24"/>
      <c r="L2770" s="24" t="s">
        <v>106</v>
      </c>
    </row>
    <row r="2771">
      <c r="A2771" s="24">
        <f t="shared" si="1"/>
        <v>2769</v>
      </c>
      <c r="B2771" s="24" t="s">
        <v>1092</v>
      </c>
      <c r="C2771" s="275">
        <v>43491.0</v>
      </c>
      <c r="D2771" s="24" t="str">
        <f t="shared" ref="D2771:D2784" si="235">TEXT(C2763:C2771, "mmm") &amp; "-" &amp; TEXT(C2763:C2771, "yyyy") </f>
        <v>Jan-2019</v>
      </c>
      <c r="E2771" t="s">
        <v>20</v>
      </c>
      <c r="F2771" s="24" t="s">
        <v>287</v>
      </c>
      <c r="G2771" s="24" t="s">
        <v>302</v>
      </c>
      <c r="H2771" s="24" t="s">
        <v>27</v>
      </c>
      <c r="I2771" s="24" t="s">
        <v>9</v>
      </c>
      <c r="J2771" s="24" t="s">
        <v>30</v>
      </c>
      <c r="K2771" s="24" t="s">
        <v>30</v>
      </c>
      <c r="L2771" s="24" t="s">
        <v>29</v>
      </c>
    </row>
    <row r="2772">
      <c r="A2772" s="24">
        <f t="shared" si="1"/>
        <v>2770</v>
      </c>
      <c r="B2772" s="24" t="s">
        <v>1092</v>
      </c>
      <c r="C2772" s="275">
        <v>43491.0</v>
      </c>
      <c r="D2772" s="24" t="str">
        <f t="shared" si="235"/>
        <v>Jan-2019</v>
      </c>
      <c r="E2772" t="s">
        <v>25</v>
      </c>
      <c r="F2772" s="24" t="s">
        <v>287</v>
      </c>
      <c r="G2772" s="24" t="s">
        <v>302</v>
      </c>
      <c r="H2772" s="24" t="s">
        <v>27</v>
      </c>
      <c r="I2772" s="24" t="s">
        <v>9</v>
      </c>
      <c r="J2772" s="24" t="s">
        <v>30</v>
      </c>
      <c r="K2772" s="24"/>
      <c r="L2772" s="24" t="s">
        <v>69</v>
      </c>
    </row>
    <row r="2773">
      <c r="A2773" s="24">
        <f t="shared" si="1"/>
        <v>2771</v>
      </c>
      <c r="B2773" s="24" t="s">
        <v>1092</v>
      </c>
      <c r="C2773" s="275">
        <v>43491.0</v>
      </c>
      <c r="D2773" s="24" t="str">
        <f t="shared" si="235"/>
        <v>Jan-2019</v>
      </c>
      <c r="E2773" t="s">
        <v>20</v>
      </c>
      <c r="F2773" s="24" t="s">
        <v>287</v>
      </c>
      <c r="G2773" s="24" t="s">
        <v>716</v>
      </c>
      <c r="H2773" s="24" t="s">
        <v>9</v>
      </c>
      <c r="I2773" s="24" t="s">
        <v>9</v>
      </c>
      <c r="J2773" s="24" t="s">
        <v>24</v>
      </c>
      <c r="K2773" s="24" t="s">
        <v>24</v>
      </c>
      <c r="L2773" s="24" t="s">
        <v>69</v>
      </c>
    </row>
    <row r="2774">
      <c r="A2774" s="24">
        <f t="shared" si="1"/>
        <v>2772</v>
      </c>
      <c r="B2774" s="24" t="s">
        <v>1092</v>
      </c>
      <c r="C2774" s="275">
        <v>43491.0</v>
      </c>
      <c r="D2774" s="24" t="str">
        <f t="shared" si="235"/>
        <v>Jan-2019</v>
      </c>
      <c r="E2774" t="s">
        <v>25</v>
      </c>
      <c r="F2774" s="24" t="s">
        <v>287</v>
      </c>
      <c r="G2774" s="24" t="s">
        <v>716</v>
      </c>
      <c r="H2774" s="24" t="s">
        <v>9</v>
      </c>
      <c r="I2774" s="24" t="s">
        <v>9</v>
      </c>
      <c r="J2774" s="24" t="s">
        <v>24</v>
      </c>
      <c r="K2774" s="24"/>
      <c r="L2774" s="24" t="s">
        <v>69</v>
      </c>
    </row>
    <row r="2775">
      <c r="A2775" s="24">
        <f t="shared" si="1"/>
        <v>2773</v>
      </c>
      <c r="B2775" s="24" t="s">
        <v>1092</v>
      </c>
      <c r="C2775" s="275">
        <v>43491.0</v>
      </c>
      <c r="D2775" s="24" t="str">
        <f t="shared" si="235"/>
        <v>Jan-2019</v>
      </c>
      <c r="E2775" t="s">
        <v>20</v>
      </c>
      <c r="F2775" s="24" t="s">
        <v>287</v>
      </c>
      <c r="G2775" s="24" t="s">
        <v>633</v>
      </c>
      <c r="H2775" s="24" t="s">
        <v>27</v>
      </c>
      <c r="I2775" s="24" t="s">
        <v>9</v>
      </c>
      <c r="J2775" s="24" t="s">
        <v>24</v>
      </c>
      <c r="K2775" s="24" t="s">
        <v>30</v>
      </c>
      <c r="L2775" s="24" t="s">
        <v>37</v>
      </c>
    </row>
    <row r="2776">
      <c r="A2776" s="24">
        <f t="shared" si="1"/>
        <v>2774</v>
      </c>
      <c r="B2776" s="24" t="s">
        <v>1092</v>
      </c>
      <c r="C2776" s="275">
        <v>43491.0</v>
      </c>
      <c r="D2776" s="24" t="str">
        <f t="shared" si="235"/>
        <v>Jan-2019</v>
      </c>
      <c r="E2776" t="s">
        <v>25</v>
      </c>
      <c r="F2776" s="24" t="s">
        <v>287</v>
      </c>
      <c r="G2776" s="24" t="s">
        <v>633</v>
      </c>
      <c r="H2776" s="24" t="s">
        <v>27</v>
      </c>
      <c r="I2776" s="24" t="s">
        <v>9</v>
      </c>
      <c r="J2776" s="24" t="s">
        <v>30</v>
      </c>
      <c r="K2776" s="24"/>
      <c r="L2776" s="24" t="s">
        <v>106</v>
      </c>
    </row>
    <row r="2777">
      <c r="A2777" s="24">
        <f t="shared" si="1"/>
        <v>2775</v>
      </c>
      <c r="B2777" s="24" t="s">
        <v>1092</v>
      </c>
      <c r="C2777" s="275">
        <v>43491.0</v>
      </c>
      <c r="D2777" s="24" t="str">
        <f t="shared" si="235"/>
        <v>Jan-2019</v>
      </c>
      <c r="E2777" t="s">
        <v>32</v>
      </c>
      <c r="F2777" s="24" t="s">
        <v>287</v>
      </c>
      <c r="G2777" s="24" t="s">
        <v>633</v>
      </c>
      <c r="H2777" s="24" t="s">
        <v>27</v>
      </c>
      <c r="I2777" s="24" t="s">
        <v>9</v>
      </c>
      <c r="J2777" s="24" t="s">
        <v>30</v>
      </c>
      <c r="K2777" s="24"/>
      <c r="L2777" s="24" t="s">
        <v>69</v>
      </c>
    </row>
    <row r="2778">
      <c r="A2778" s="24">
        <f t="shared" si="1"/>
        <v>2776</v>
      </c>
      <c r="B2778" s="24" t="s">
        <v>1092</v>
      </c>
      <c r="C2778" s="275">
        <v>43491.0</v>
      </c>
      <c r="D2778" s="24" t="str">
        <f t="shared" si="235"/>
        <v>Jan-2019</v>
      </c>
      <c r="E2778" t="s">
        <v>20</v>
      </c>
      <c r="F2778" s="24" t="s">
        <v>35</v>
      </c>
      <c r="G2778" s="24" t="s">
        <v>471</v>
      </c>
      <c r="H2778" s="24" t="s">
        <v>71</v>
      </c>
      <c r="I2778" s="24" t="s">
        <v>9</v>
      </c>
      <c r="J2778" s="24" t="s">
        <v>24</v>
      </c>
      <c r="K2778" s="24" t="s">
        <v>24</v>
      </c>
      <c r="L2778" s="24" t="s">
        <v>99</v>
      </c>
    </row>
    <row r="2779">
      <c r="A2779" s="24">
        <f t="shared" si="1"/>
        <v>2777</v>
      </c>
      <c r="B2779" s="24" t="s">
        <v>1092</v>
      </c>
      <c r="C2779" s="275">
        <v>43491.0</v>
      </c>
      <c r="D2779" s="24" t="str">
        <f t="shared" si="235"/>
        <v>Jan-2019</v>
      </c>
      <c r="E2779" t="s">
        <v>25</v>
      </c>
      <c r="F2779" s="24" t="s">
        <v>35</v>
      </c>
      <c r="G2779" s="24" t="s">
        <v>471</v>
      </c>
      <c r="H2779" s="24" t="s">
        <v>71</v>
      </c>
      <c r="I2779" s="24" t="s">
        <v>9</v>
      </c>
      <c r="J2779" s="24" t="s">
        <v>24</v>
      </c>
      <c r="K2779" s="24"/>
      <c r="L2779" s="24" t="s">
        <v>106</v>
      </c>
    </row>
    <row r="2780">
      <c r="A2780" s="24">
        <f t="shared" si="1"/>
        <v>2778</v>
      </c>
      <c r="B2780" s="24" t="s">
        <v>1092</v>
      </c>
      <c r="C2780" s="275">
        <v>43491.0</v>
      </c>
      <c r="D2780" s="24" t="str">
        <f t="shared" si="235"/>
        <v>Jan-2019</v>
      </c>
      <c r="E2780" t="s">
        <v>20</v>
      </c>
      <c r="F2780" s="24" t="s">
        <v>35</v>
      </c>
      <c r="G2780" s="24" t="s">
        <v>1099</v>
      </c>
      <c r="H2780" s="24" t="s">
        <v>9</v>
      </c>
      <c r="I2780" s="24" t="s">
        <v>9</v>
      </c>
      <c r="J2780" s="24" t="s">
        <v>30</v>
      </c>
      <c r="K2780" s="24" t="s">
        <v>30</v>
      </c>
      <c r="L2780" s="24" t="s">
        <v>98</v>
      </c>
    </row>
    <row r="2781">
      <c r="A2781" s="24">
        <f t="shared" si="1"/>
        <v>2779</v>
      </c>
      <c r="B2781" s="24" t="s">
        <v>1092</v>
      </c>
      <c r="C2781" s="275">
        <v>43491.0</v>
      </c>
      <c r="D2781" s="24" t="str">
        <f t="shared" si="235"/>
        <v>Jan-2019</v>
      </c>
      <c r="E2781" t="s">
        <v>25</v>
      </c>
      <c r="F2781" s="24" t="s">
        <v>35</v>
      </c>
      <c r="G2781" s="24" t="s">
        <v>1099</v>
      </c>
      <c r="H2781" s="24" t="s">
        <v>9</v>
      </c>
      <c r="I2781" s="24" t="s">
        <v>9</v>
      </c>
      <c r="J2781" s="24" t="s">
        <v>30</v>
      </c>
      <c r="K2781" s="24"/>
      <c r="L2781" s="24" t="s">
        <v>29</v>
      </c>
    </row>
    <row r="2782">
      <c r="A2782" s="24">
        <f t="shared" si="1"/>
        <v>2780</v>
      </c>
      <c r="B2782" s="24" t="s">
        <v>1092</v>
      </c>
      <c r="C2782" s="275">
        <v>43491.0</v>
      </c>
      <c r="D2782" s="24" t="str">
        <f t="shared" si="235"/>
        <v>Jan-2019</v>
      </c>
      <c r="E2782" t="s">
        <v>146</v>
      </c>
      <c r="F2782" s="24" t="s">
        <v>35</v>
      </c>
      <c r="G2782" s="24" t="s">
        <v>989</v>
      </c>
      <c r="H2782" s="24" t="s">
        <v>86</v>
      </c>
      <c r="I2782" s="24" t="s">
        <v>9</v>
      </c>
      <c r="J2782" s="24" t="s">
        <v>24</v>
      </c>
      <c r="K2782" s="24" t="s">
        <v>24</v>
      </c>
      <c r="L2782" s="24" t="s">
        <v>69</v>
      </c>
    </row>
    <row r="2783">
      <c r="A2783" s="24">
        <f t="shared" si="1"/>
        <v>2781</v>
      </c>
      <c r="B2783" s="24" t="s">
        <v>1092</v>
      </c>
      <c r="C2783" s="275">
        <v>43491.0</v>
      </c>
      <c r="D2783" s="24" t="str">
        <f t="shared" si="235"/>
        <v>Jan-2019</v>
      </c>
      <c r="E2783" t="s">
        <v>149</v>
      </c>
      <c r="F2783" s="24" t="s">
        <v>35</v>
      </c>
      <c r="G2783" s="24" t="s">
        <v>989</v>
      </c>
      <c r="H2783" s="24" t="s">
        <v>86</v>
      </c>
      <c r="I2783" s="24" t="s">
        <v>9</v>
      </c>
      <c r="J2783" s="24" t="s">
        <v>24</v>
      </c>
      <c r="K2783" s="24"/>
      <c r="L2783" s="24" t="s">
        <v>29</v>
      </c>
    </row>
    <row r="2784">
      <c r="A2784" s="24">
        <f t="shared" si="1"/>
        <v>2782</v>
      </c>
      <c r="B2784" s="24" t="s">
        <v>1092</v>
      </c>
      <c r="C2784" s="275">
        <v>43491.0</v>
      </c>
      <c r="D2784" s="24" t="str">
        <f t="shared" si="235"/>
        <v>Jan-2019</v>
      </c>
      <c r="E2784" t="s">
        <v>222</v>
      </c>
      <c r="F2784" s="24" t="s">
        <v>35</v>
      </c>
      <c r="G2784" s="24" t="s">
        <v>989</v>
      </c>
      <c r="H2784" s="24" t="s">
        <v>86</v>
      </c>
      <c r="I2784" s="24" t="s">
        <v>9</v>
      </c>
      <c r="J2784" s="24" t="s">
        <v>24</v>
      </c>
      <c r="K2784" s="24"/>
      <c r="L2784" s="24" t="s">
        <v>29</v>
      </c>
    </row>
    <row r="2785">
      <c r="A2785" s="24">
        <f t="shared" si="1"/>
        <v>2783</v>
      </c>
      <c r="B2785" s="24" t="s">
        <v>1100</v>
      </c>
      <c r="C2785" s="275">
        <v>43505.0</v>
      </c>
      <c r="D2785" s="24" t="str">
        <f t="shared" ref="D2785:D2792" si="236">TEXT(C2778:C2785, "mmm") &amp; "-" &amp; TEXT(C2778:C2785, "yyyy") </f>
        <v>Feb-2019</v>
      </c>
      <c r="E2785" t="s">
        <v>20</v>
      </c>
      <c r="F2785" s="24" t="s">
        <v>1101</v>
      </c>
      <c r="G2785" s="24" t="s">
        <v>187</v>
      </c>
      <c r="H2785" s="24" t="s">
        <v>27</v>
      </c>
      <c r="I2785" s="24" t="s">
        <v>9</v>
      </c>
      <c r="J2785" s="24" t="s">
        <v>30</v>
      </c>
      <c r="K2785" s="24" t="s">
        <v>30</v>
      </c>
      <c r="L2785" s="24" t="s">
        <v>98</v>
      </c>
    </row>
    <row r="2786">
      <c r="A2786" s="24">
        <f t="shared" si="1"/>
        <v>2784</v>
      </c>
      <c r="B2786" s="24" t="s">
        <v>1100</v>
      </c>
      <c r="C2786" s="275">
        <v>43505.0</v>
      </c>
      <c r="D2786" s="24" t="str">
        <f t="shared" si="236"/>
        <v>Feb-2019</v>
      </c>
      <c r="E2786" t="s">
        <v>25</v>
      </c>
      <c r="F2786" s="24" t="s">
        <v>1101</v>
      </c>
      <c r="G2786" s="24" t="s">
        <v>187</v>
      </c>
      <c r="H2786" s="24" t="s">
        <v>27</v>
      </c>
      <c r="I2786" s="24" t="s">
        <v>9</v>
      </c>
      <c r="J2786" s="24" t="s">
        <v>30</v>
      </c>
      <c r="K2786" s="24"/>
      <c r="L2786" s="24" t="s">
        <v>69</v>
      </c>
    </row>
    <row r="2787">
      <c r="A2787" s="24">
        <f t="shared" si="1"/>
        <v>2785</v>
      </c>
      <c r="B2787" s="24" t="s">
        <v>1100</v>
      </c>
      <c r="C2787" s="275">
        <v>43505.0</v>
      </c>
      <c r="D2787" s="24" t="str">
        <f t="shared" si="236"/>
        <v>Feb-2019</v>
      </c>
      <c r="E2787" t="s">
        <v>20</v>
      </c>
      <c r="F2787" s="24" t="s">
        <v>1101</v>
      </c>
      <c r="G2787" s="24" t="s">
        <v>364</v>
      </c>
      <c r="H2787" s="24" t="s">
        <v>86</v>
      </c>
      <c r="I2787" s="24" t="s">
        <v>9</v>
      </c>
      <c r="J2787" s="24" t="s">
        <v>24</v>
      </c>
      <c r="K2787" s="24" t="s">
        <v>24</v>
      </c>
      <c r="L2787" s="24" t="s">
        <v>69</v>
      </c>
    </row>
    <row r="2788">
      <c r="A2788" s="24">
        <f t="shared" si="1"/>
        <v>2786</v>
      </c>
      <c r="B2788" s="24" t="s">
        <v>1100</v>
      </c>
      <c r="C2788" s="275">
        <v>43505.0</v>
      </c>
      <c r="D2788" s="24" t="str">
        <f t="shared" si="236"/>
        <v>Feb-2019</v>
      </c>
      <c r="E2788" t="s">
        <v>25</v>
      </c>
      <c r="F2788" s="24" t="s">
        <v>1101</v>
      </c>
      <c r="G2788" s="24" t="s">
        <v>364</v>
      </c>
      <c r="H2788" s="24" t="s">
        <v>86</v>
      </c>
      <c r="I2788" s="24" t="s">
        <v>9</v>
      </c>
      <c r="J2788" s="24" t="s">
        <v>24</v>
      </c>
      <c r="K2788" s="24"/>
      <c r="L2788" s="24" t="s">
        <v>99</v>
      </c>
    </row>
    <row r="2789">
      <c r="A2789" s="24">
        <f t="shared" si="1"/>
        <v>2787</v>
      </c>
      <c r="B2789" s="24" t="s">
        <v>1100</v>
      </c>
      <c r="C2789" s="275">
        <v>43505.0</v>
      </c>
      <c r="D2789" s="24" t="str">
        <f t="shared" si="236"/>
        <v>Feb-2019</v>
      </c>
      <c r="E2789" t="s">
        <v>20</v>
      </c>
      <c r="F2789" s="24" t="s">
        <v>1101</v>
      </c>
      <c r="G2789" s="24" t="s">
        <v>996</v>
      </c>
      <c r="H2789" s="24" t="s">
        <v>64</v>
      </c>
      <c r="I2789" s="24" t="s">
        <v>9</v>
      </c>
      <c r="J2789" s="24" t="s">
        <v>24</v>
      </c>
      <c r="K2789" s="24" t="s">
        <v>30</v>
      </c>
      <c r="L2789" s="24" t="s">
        <v>98</v>
      </c>
    </row>
    <row r="2790">
      <c r="A2790" s="24">
        <f t="shared" si="1"/>
        <v>2788</v>
      </c>
      <c r="B2790" s="24" t="s">
        <v>1100</v>
      </c>
      <c r="C2790" s="275">
        <v>43505.0</v>
      </c>
      <c r="D2790" s="24" t="str">
        <f t="shared" si="236"/>
        <v>Feb-2019</v>
      </c>
      <c r="E2790" t="s">
        <v>25</v>
      </c>
      <c r="F2790" s="24" t="s">
        <v>1101</v>
      </c>
      <c r="G2790" s="24" t="s">
        <v>996</v>
      </c>
      <c r="H2790" s="24" t="s">
        <v>64</v>
      </c>
      <c r="I2790" s="24" t="s">
        <v>9</v>
      </c>
      <c r="J2790" s="24" t="s">
        <v>30</v>
      </c>
      <c r="K2790" s="24"/>
      <c r="L2790" s="24" t="s">
        <v>106</v>
      </c>
    </row>
    <row r="2791">
      <c r="A2791" s="24">
        <f t="shared" si="1"/>
        <v>2789</v>
      </c>
      <c r="B2791" s="24" t="s">
        <v>1100</v>
      </c>
      <c r="C2791" s="275">
        <v>43505.0</v>
      </c>
      <c r="D2791" s="24" t="str">
        <f t="shared" si="236"/>
        <v>Feb-2019</v>
      </c>
      <c r="E2791" t="s">
        <v>32</v>
      </c>
      <c r="F2791" s="24" t="s">
        <v>1101</v>
      </c>
      <c r="G2791" s="24" t="s">
        <v>996</v>
      </c>
      <c r="H2791" s="24" t="s">
        <v>64</v>
      </c>
      <c r="I2791" s="24" t="s">
        <v>9</v>
      </c>
      <c r="J2791" s="24" t="s">
        <v>30</v>
      </c>
      <c r="K2791" s="24"/>
      <c r="L2791" s="24" t="s">
        <v>69</v>
      </c>
    </row>
    <row r="2792">
      <c r="A2792" s="24">
        <f t="shared" si="1"/>
        <v>2790</v>
      </c>
      <c r="B2792" s="24" t="s">
        <v>1100</v>
      </c>
      <c r="C2792" s="275">
        <v>43505.0</v>
      </c>
      <c r="D2792" s="24" t="str">
        <f t="shared" si="236"/>
        <v>Feb-2019</v>
      </c>
      <c r="E2792" t="s">
        <v>20</v>
      </c>
      <c r="F2792" s="24" t="s">
        <v>1101</v>
      </c>
      <c r="G2792" s="24" t="s">
        <v>302</v>
      </c>
      <c r="H2792" s="24" t="s">
        <v>27</v>
      </c>
      <c r="I2792" s="24" t="s">
        <v>9</v>
      </c>
      <c r="J2792" s="24" t="s">
        <v>30</v>
      </c>
      <c r="K2792" s="24" t="s">
        <v>30</v>
      </c>
      <c r="L2792" s="24" t="s">
        <v>69</v>
      </c>
    </row>
    <row r="2793">
      <c r="A2793" s="24">
        <f t="shared" si="1"/>
        <v>2791</v>
      </c>
      <c r="B2793" s="24" t="s">
        <v>1100</v>
      </c>
      <c r="C2793" s="275">
        <v>43505.0</v>
      </c>
      <c r="D2793" s="24" t="str">
        <f t="shared" ref="D2793:D2806" si="237">TEXT(C2785:C2793, "mmm") &amp; "-" &amp; TEXT(C2785:C2793, "yyyy") </f>
        <v>Feb-2019</v>
      </c>
      <c r="E2793" t="s">
        <v>25</v>
      </c>
      <c r="F2793" s="24" t="s">
        <v>1101</v>
      </c>
      <c r="G2793" s="24" t="s">
        <v>302</v>
      </c>
      <c r="H2793" s="24" t="s">
        <v>27</v>
      </c>
      <c r="I2793" s="24" t="s">
        <v>9</v>
      </c>
      <c r="J2793" s="24" t="s">
        <v>30</v>
      </c>
      <c r="K2793" s="24"/>
      <c r="L2793" s="24" t="s">
        <v>98</v>
      </c>
    </row>
    <row r="2794">
      <c r="A2794" s="24">
        <f t="shared" si="1"/>
        <v>2792</v>
      </c>
      <c r="B2794" s="24" t="s">
        <v>1100</v>
      </c>
      <c r="C2794" s="275">
        <v>43505.0</v>
      </c>
      <c r="D2794" s="24" t="str">
        <f t="shared" si="237"/>
        <v>Feb-2019</v>
      </c>
      <c r="E2794" t="s">
        <v>20</v>
      </c>
      <c r="F2794" s="24" t="s">
        <v>1101</v>
      </c>
      <c r="G2794" s="24" t="s">
        <v>462</v>
      </c>
      <c r="H2794" s="24" t="s">
        <v>48</v>
      </c>
      <c r="I2794" s="24" t="s">
        <v>9</v>
      </c>
      <c r="J2794" s="24" t="s">
        <v>30</v>
      </c>
      <c r="K2794" s="24" t="s">
        <v>30</v>
      </c>
      <c r="L2794" s="24" t="s">
        <v>98</v>
      </c>
    </row>
    <row r="2795">
      <c r="A2795" s="24">
        <f t="shared" si="1"/>
        <v>2793</v>
      </c>
      <c r="B2795" s="24" t="s">
        <v>1100</v>
      </c>
      <c r="C2795" s="275">
        <v>43505.0</v>
      </c>
      <c r="D2795" s="24" t="str">
        <f t="shared" si="237"/>
        <v>Feb-2019</v>
      </c>
      <c r="E2795" t="s">
        <v>25</v>
      </c>
      <c r="F2795" s="24" t="s">
        <v>1101</v>
      </c>
      <c r="G2795" s="24" t="s">
        <v>462</v>
      </c>
      <c r="H2795" s="24" t="s">
        <v>48</v>
      </c>
      <c r="I2795" s="24" t="s">
        <v>9</v>
      </c>
      <c r="J2795" s="24" t="s">
        <v>24</v>
      </c>
      <c r="K2795" s="24"/>
      <c r="L2795" s="24" t="s">
        <v>99</v>
      </c>
    </row>
    <row r="2796">
      <c r="A2796" s="24">
        <f t="shared" si="1"/>
        <v>2794</v>
      </c>
      <c r="B2796" s="24" t="s">
        <v>1100</v>
      </c>
      <c r="C2796" s="275">
        <v>43505.0</v>
      </c>
      <c r="D2796" s="24" t="str">
        <f t="shared" si="237"/>
        <v>Feb-2019</v>
      </c>
      <c r="E2796" t="s">
        <v>32</v>
      </c>
      <c r="F2796" s="24" t="s">
        <v>1101</v>
      </c>
      <c r="G2796" s="24" t="s">
        <v>462</v>
      </c>
      <c r="H2796" s="24" t="s">
        <v>48</v>
      </c>
      <c r="I2796" s="24" t="s">
        <v>9</v>
      </c>
      <c r="J2796" s="24" t="s">
        <v>30</v>
      </c>
      <c r="K2796" s="24"/>
      <c r="L2796" s="24" t="s">
        <v>106</v>
      </c>
    </row>
    <row r="2797">
      <c r="A2797" s="24">
        <f t="shared" si="1"/>
        <v>2795</v>
      </c>
      <c r="B2797" s="24" t="s">
        <v>1100</v>
      </c>
      <c r="C2797" s="275">
        <v>43505.0</v>
      </c>
      <c r="D2797" s="24" t="str">
        <f t="shared" si="237"/>
        <v>Feb-2019</v>
      </c>
      <c r="E2797" t="s">
        <v>20</v>
      </c>
      <c r="F2797" s="24" t="s">
        <v>1101</v>
      </c>
      <c r="G2797" s="24" t="s">
        <v>1104</v>
      </c>
      <c r="H2797" s="24" t="s">
        <v>44</v>
      </c>
      <c r="I2797" s="24" t="s">
        <v>9</v>
      </c>
      <c r="J2797" s="24" t="s">
        <v>24</v>
      </c>
      <c r="K2797" s="24" t="s">
        <v>24</v>
      </c>
      <c r="L2797" s="24" t="s">
        <v>69</v>
      </c>
    </row>
    <row r="2798">
      <c r="A2798" s="24">
        <f t="shared" si="1"/>
        <v>2796</v>
      </c>
      <c r="B2798" s="24" t="s">
        <v>1100</v>
      </c>
      <c r="C2798" s="275">
        <v>43505.0</v>
      </c>
      <c r="D2798" s="24" t="str">
        <f t="shared" si="237"/>
        <v>Feb-2019</v>
      </c>
      <c r="E2798" t="s">
        <v>25</v>
      </c>
      <c r="F2798" s="24" t="s">
        <v>1101</v>
      </c>
      <c r="G2798" s="24" t="s">
        <v>1104</v>
      </c>
      <c r="H2798" s="24" t="s">
        <v>44</v>
      </c>
      <c r="I2798" s="24" t="s">
        <v>9</v>
      </c>
      <c r="J2798" s="24" t="s">
        <v>24</v>
      </c>
      <c r="K2798" s="24"/>
      <c r="L2798" s="24" t="s">
        <v>106</v>
      </c>
    </row>
    <row r="2799">
      <c r="A2799" s="24">
        <f t="shared" si="1"/>
        <v>2797</v>
      </c>
      <c r="B2799" s="24" t="s">
        <v>1100</v>
      </c>
      <c r="C2799" s="275">
        <v>43505.0</v>
      </c>
      <c r="D2799" s="24" t="str">
        <f t="shared" si="237"/>
        <v>Feb-2019</v>
      </c>
      <c r="E2799" t="s">
        <v>146</v>
      </c>
      <c r="F2799" s="24" t="s">
        <v>35</v>
      </c>
      <c r="G2799" s="24" t="s">
        <v>465</v>
      </c>
      <c r="H2799" s="24" t="s">
        <v>139</v>
      </c>
      <c r="I2799" s="24" t="s">
        <v>9</v>
      </c>
      <c r="J2799" s="24" t="s">
        <v>24</v>
      </c>
      <c r="K2799" s="24" t="s">
        <v>24</v>
      </c>
      <c r="L2799" s="24" t="s">
        <v>98</v>
      </c>
    </row>
    <row r="2800">
      <c r="A2800" s="24">
        <f t="shared" si="1"/>
        <v>2798</v>
      </c>
      <c r="B2800" s="24" t="s">
        <v>1100</v>
      </c>
      <c r="C2800" s="275">
        <v>43505.0</v>
      </c>
      <c r="D2800" s="24" t="str">
        <f t="shared" si="237"/>
        <v>Feb-2019</v>
      </c>
      <c r="E2800" t="s">
        <v>149</v>
      </c>
      <c r="F2800" s="24" t="s">
        <v>35</v>
      </c>
      <c r="G2800" s="24" t="s">
        <v>465</v>
      </c>
      <c r="H2800" s="24" t="s">
        <v>139</v>
      </c>
      <c r="I2800" s="24" t="s">
        <v>9</v>
      </c>
      <c r="J2800" s="24" t="s">
        <v>24</v>
      </c>
      <c r="K2800" s="24"/>
      <c r="L2800" s="24" t="s">
        <v>106</v>
      </c>
    </row>
    <row r="2801">
      <c r="A2801" s="24">
        <f t="shared" si="1"/>
        <v>2799</v>
      </c>
      <c r="B2801" s="24" t="s">
        <v>1100</v>
      </c>
      <c r="C2801" s="275">
        <v>43505.0</v>
      </c>
      <c r="D2801" s="24" t="str">
        <f t="shared" si="237"/>
        <v>Feb-2019</v>
      </c>
      <c r="E2801" t="s">
        <v>222</v>
      </c>
      <c r="F2801" s="24" t="s">
        <v>35</v>
      </c>
      <c r="G2801" s="24" t="s">
        <v>465</v>
      </c>
      <c r="H2801" s="24" t="s">
        <v>139</v>
      </c>
      <c r="I2801" s="24" t="s">
        <v>9</v>
      </c>
      <c r="J2801" s="24" t="s">
        <v>24</v>
      </c>
      <c r="K2801" s="24"/>
      <c r="L2801" s="24" t="s">
        <v>106</v>
      </c>
    </row>
    <row r="2802">
      <c r="A2802" s="24">
        <f t="shared" si="1"/>
        <v>2800</v>
      </c>
      <c r="B2802" s="24" t="s">
        <v>1100</v>
      </c>
      <c r="C2802" s="275">
        <v>43505.0</v>
      </c>
      <c r="D2802" s="24" t="str">
        <f t="shared" si="237"/>
        <v>Feb-2019</v>
      </c>
      <c r="E2802" t="s">
        <v>146</v>
      </c>
      <c r="F2802" s="24" t="s">
        <v>35</v>
      </c>
      <c r="G2802" s="24" t="s">
        <v>165</v>
      </c>
      <c r="H2802" s="24" t="s">
        <v>9</v>
      </c>
      <c r="I2802" s="24" t="s">
        <v>9</v>
      </c>
      <c r="J2802" s="24" t="s">
        <v>30</v>
      </c>
      <c r="K2802" s="24" t="s">
        <v>24</v>
      </c>
      <c r="L2802" s="24" t="s">
        <v>69</v>
      </c>
    </row>
    <row r="2803">
      <c r="A2803" s="24">
        <f t="shared" si="1"/>
        <v>2801</v>
      </c>
      <c r="B2803" s="24" t="s">
        <v>1100</v>
      </c>
      <c r="C2803" s="275">
        <v>43505.0</v>
      </c>
      <c r="D2803" s="24" t="str">
        <f t="shared" si="237"/>
        <v>Feb-2019</v>
      </c>
      <c r="E2803" t="s">
        <v>149</v>
      </c>
      <c r="F2803" s="24" t="s">
        <v>35</v>
      </c>
      <c r="G2803" s="24" t="s">
        <v>165</v>
      </c>
      <c r="H2803" s="24" t="s">
        <v>9</v>
      </c>
      <c r="I2803" s="24" t="s">
        <v>9</v>
      </c>
      <c r="J2803" s="24" t="s">
        <v>24</v>
      </c>
      <c r="K2803" s="24"/>
      <c r="L2803" s="24" t="s">
        <v>69</v>
      </c>
    </row>
    <row r="2804">
      <c r="A2804" s="24">
        <f t="shared" si="1"/>
        <v>2802</v>
      </c>
      <c r="B2804" s="24" t="s">
        <v>1100</v>
      </c>
      <c r="C2804" s="275">
        <v>43505.0</v>
      </c>
      <c r="D2804" s="24" t="str">
        <f t="shared" si="237"/>
        <v>Feb-2019</v>
      </c>
      <c r="E2804" t="s">
        <v>222</v>
      </c>
      <c r="F2804" s="24" t="s">
        <v>35</v>
      </c>
      <c r="G2804" s="24" t="s">
        <v>165</v>
      </c>
      <c r="H2804" s="24" t="s">
        <v>9</v>
      </c>
      <c r="I2804" s="24" t="s">
        <v>9</v>
      </c>
      <c r="J2804" s="24" t="s">
        <v>30</v>
      </c>
      <c r="K2804" s="24"/>
      <c r="L2804" s="24" t="s">
        <v>106</v>
      </c>
    </row>
    <row r="2805">
      <c r="A2805" s="24">
        <f t="shared" si="1"/>
        <v>2803</v>
      </c>
      <c r="B2805" s="24" t="s">
        <v>1100</v>
      </c>
      <c r="C2805" s="275">
        <v>43505.0</v>
      </c>
      <c r="D2805" s="24" t="str">
        <f t="shared" si="237"/>
        <v>Feb-2019</v>
      </c>
      <c r="E2805" t="s">
        <v>467</v>
      </c>
      <c r="F2805" s="24" t="s">
        <v>35</v>
      </c>
      <c r="G2805" s="24" t="s">
        <v>165</v>
      </c>
      <c r="H2805" s="24" t="s">
        <v>9</v>
      </c>
      <c r="I2805" s="24" t="s">
        <v>9</v>
      </c>
      <c r="J2805" s="24" t="s">
        <v>24</v>
      </c>
      <c r="K2805" s="24"/>
      <c r="L2805" s="24" t="s">
        <v>98</v>
      </c>
    </row>
    <row r="2806">
      <c r="A2806" s="24">
        <f t="shared" si="1"/>
        <v>2804</v>
      </c>
      <c r="B2806" s="24" t="s">
        <v>1100</v>
      </c>
      <c r="C2806" s="275">
        <v>43505.0</v>
      </c>
      <c r="D2806" s="24" t="str">
        <f t="shared" si="237"/>
        <v>Feb-2019</v>
      </c>
      <c r="E2806" t="s">
        <v>480</v>
      </c>
      <c r="F2806" s="24" t="s">
        <v>35</v>
      </c>
      <c r="G2806" s="24" t="s">
        <v>165</v>
      </c>
      <c r="H2806" s="24" t="s">
        <v>9</v>
      </c>
      <c r="I2806" s="24" t="s">
        <v>9</v>
      </c>
      <c r="J2806" s="24" t="s">
        <v>24</v>
      </c>
      <c r="K2806" s="24"/>
      <c r="L2806" s="24" t="s">
        <v>99</v>
      </c>
    </row>
    <row r="2807">
      <c r="A2807" s="24">
        <f t="shared" si="1"/>
        <v>2805</v>
      </c>
      <c r="B2807" s="24" t="s">
        <v>1105</v>
      </c>
      <c r="C2807" s="275">
        <v>43511.0</v>
      </c>
      <c r="D2807" s="24" t="str">
        <f t="shared" ref="D2807:D2814" si="238">TEXT(C2800:C2807, "mmm") &amp; "-" &amp; TEXT(C2800:C2807, "yyyy") </f>
        <v>Feb-2019</v>
      </c>
      <c r="E2807" t="s">
        <v>20</v>
      </c>
      <c r="F2807" s="24" t="s">
        <v>35</v>
      </c>
      <c r="G2807" s="24" t="s">
        <v>1093</v>
      </c>
      <c r="H2807" s="24" t="s">
        <v>86</v>
      </c>
      <c r="I2807" s="24" t="s">
        <v>9</v>
      </c>
      <c r="J2807" s="24" t="s">
        <v>30</v>
      </c>
      <c r="K2807" s="24" t="s">
        <v>30</v>
      </c>
      <c r="L2807" s="24" t="s">
        <v>99</v>
      </c>
    </row>
    <row r="2808">
      <c r="A2808" s="24">
        <f t="shared" si="1"/>
        <v>2806</v>
      </c>
      <c r="B2808" s="24" t="s">
        <v>1105</v>
      </c>
      <c r="C2808" s="275">
        <v>43511.0</v>
      </c>
      <c r="D2808" s="24" t="str">
        <f t="shared" si="238"/>
        <v>Feb-2019</v>
      </c>
      <c r="E2808" t="s">
        <v>25</v>
      </c>
      <c r="F2808" s="24" t="s">
        <v>35</v>
      </c>
      <c r="G2808" s="24" t="s">
        <v>1093</v>
      </c>
      <c r="H2808" s="24" t="s">
        <v>86</v>
      </c>
      <c r="I2808" s="24" t="s">
        <v>9</v>
      </c>
      <c r="J2808" s="24" t="s">
        <v>24</v>
      </c>
      <c r="K2808" s="24"/>
      <c r="L2808" s="24" t="s">
        <v>98</v>
      </c>
    </row>
    <row r="2809">
      <c r="A2809" s="24">
        <f t="shared" si="1"/>
        <v>2807</v>
      </c>
      <c r="B2809" s="24" t="s">
        <v>1105</v>
      </c>
      <c r="C2809" s="275">
        <v>43511.0</v>
      </c>
      <c r="D2809" s="24" t="str">
        <f t="shared" si="238"/>
        <v>Feb-2019</v>
      </c>
      <c r="E2809" t="s">
        <v>32</v>
      </c>
      <c r="F2809" s="24" t="s">
        <v>35</v>
      </c>
      <c r="G2809" s="24" t="s">
        <v>1093</v>
      </c>
      <c r="H2809" s="24" t="s">
        <v>86</v>
      </c>
      <c r="I2809" s="24" t="s">
        <v>9</v>
      </c>
      <c r="J2809" s="24" t="s">
        <v>30</v>
      </c>
      <c r="K2809" s="24"/>
      <c r="L2809" s="24" t="s">
        <v>69</v>
      </c>
    </row>
    <row r="2810">
      <c r="A2810" s="24">
        <f t="shared" si="1"/>
        <v>2808</v>
      </c>
      <c r="B2810" s="24" t="s">
        <v>1105</v>
      </c>
      <c r="C2810" s="275">
        <v>43511.0</v>
      </c>
      <c r="D2810" s="24" t="str">
        <f t="shared" si="238"/>
        <v>Feb-2019</v>
      </c>
      <c r="E2810" t="s">
        <v>20</v>
      </c>
      <c r="F2810" s="24" t="s">
        <v>35</v>
      </c>
      <c r="G2810" s="24" t="s">
        <v>989</v>
      </c>
      <c r="H2810" s="24" t="s">
        <v>86</v>
      </c>
      <c r="I2810" s="24" t="s">
        <v>9</v>
      </c>
      <c r="J2810" s="24" t="s">
        <v>30</v>
      </c>
      <c r="K2810" s="24" t="s">
        <v>30</v>
      </c>
      <c r="L2810" s="24" t="s">
        <v>69</v>
      </c>
    </row>
    <row r="2811">
      <c r="A2811" s="24">
        <f t="shared" si="1"/>
        <v>2809</v>
      </c>
      <c r="B2811" s="24" t="s">
        <v>1105</v>
      </c>
      <c r="C2811" s="275">
        <v>43511.0</v>
      </c>
      <c r="D2811" s="24" t="str">
        <f t="shared" si="238"/>
        <v>Feb-2019</v>
      </c>
      <c r="E2811" t="s">
        <v>25</v>
      </c>
      <c r="F2811" s="24" t="s">
        <v>35</v>
      </c>
      <c r="G2811" s="24" t="s">
        <v>989</v>
      </c>
      <c r="H2811" s="24" t="s">
        <v>86</v>
      </c>
      <c r="I2811" s="24" t="s">
        <v>9</v>
      </c>
      <c r="J2811" s="24" t="s">
        <v>30</v>
      </c>
      <c r="K2811" s="24"/>
      <c r="L2811" s="24" t="s">
        <v>98</v>
      </c>
    </row>
    <row r="2812">
      <c r="A2812" s="24">
        <f t="shared" si="1"/>
        <v>2810</v>
      </c>
      <c r="B2812" s="24" t="s">
        <v>1105</v>
      </c>
      <c r="C2812" s="275">
        <v>43511.0</v>
      </c>
      <c r="D2812" s="24" t="str">
        <f t="shared" si="238"/>
        <v>Feb-2019</v>
      </c>
      <c r="E2812" t="s">
        <v>146</v>
      </c>
      <c r="F2812" s="24" t="s">
        <v>35</v>
      </c>
      <c r="G2812" s="24" t="s">
        <v>194</v>
      </c>
      <c r="H2812" s="24" t="s">
        <v>23</v>
      </c>
      <c r="I2812" s="24" t="s">
        <v>9</v>
      </c>
      <c r="J2812" s="24" t="s">
        <v>24</v>
      </c>
      <c r="K2812" s="24" t="s">
        <v>24</v>
      </c>
      <c r="L2812" s="24" t="s">
        <v>37</v>
      </c>
    </row>
    <row r="2813">
      <c r="A2813" s="24">
        <f t="shared" si="1"/>
        <v>2811</v>
      </c>
      <c r="B2813" s="24" t="s">
        <v>1105</v>
      </c>
      <c r="C2813" s="275">
        <v>43511.0</v>
      </c>
      <c r="D2813" s="24" t="str">
        <f t="shared" si="238"/>
        <v>Feb-2019</v>
      </c>
      <c r="E2813" t="s">
        <v>149</v>
      </c>
      <c r="F2813" s="24" t="s">
        <v>35</v>
      </c>
      <c r="G2813" s="24" t="s">
        <v>194</v>
      </c>
      <c r="H2813" s="24" t="s">
        <v>23</v>
      </c>
      <c r="I2813" s="24" t="s">
        <v>9</v>
      </c>
      <c r="J2813" s="24" t="s">
        <v>24</v>
      </c>
      <c r="K2813" s="24"/>
      <c r="L2813" s="24" t="s">
        <v>29</v>
      </c>
    </row>
    <row r="2814">
      <c r="A2814" s="24">
        <f t="shared" si="1"/>
        <v>2812</v>
      </c>
      <c r="B2814" s="24" t="s">
        <v>1105</v>
      </c>
      <c r="C2814" s="275">
        <v>43511.0</v>
      </c>
      <c r="D2814" s="24" t="str">
        <f t="shared" si="238"/>
        <v>Feb-2019</v>
      </c>
      <c r="E2814" t="s">
        <v>222</v>
      </c>
      <c r="F2814" s="24" t="s">
        <v>35</v>
      </c>
      <c r="G2814" s="24" t="s">
        <v>194</v>
      </c>
      <c r="H2814" s="24" t="s">
        <v>23</v>
      </c>
      <c r="I2814" s="24" t="s">
        <v>9</v>
      </c>
      <c r="J2814" s="24" t="s">
        <v>24</v>
      </c>
      <c r="K2814" s="24"/>
      <c r="L2814" s="24" t="s">
        <v>106</v>
      </c>
    </row>
    <row r="2815">
      <c r="A2815" s="24">
        <f t="shared" si="1"/>
        <v>2813</v>
      </c>
      <c r="B2815" s="24" t="s">
        <v>1105</v>
      </c>
      <c r="C2815" s="275">
        <v>43511.0</v>
      </c>
      <c r="D2815" s="24" t="str">
        <f t="shared" ref="D2815:D2821" si="239">TEXT(C2807:C2815, "mmm") &amp; "-" &amp; TEXT(C2807:C2815, "yyyy") </f>
        <v>Feb-2019</v>
      </c>
      <c r="E2815" t="s">
        <v>146</v>
      </c>
      <c r="F2815" s="24" t="s">
        <v>35</v>
      </c>
      <c r="G2815" s="24" t="s">
        <v>804</v>
      </c>
      <c r="H2815" s="24" t="s">
        <v>23</v>
      </c>
      <c r="I2815" s="24" t="s">
        <v>9</v>
      </c>
      <c r="J2815" s="24" t="s">
        <v>30</v>
      </c>
      <c r="K2815" s="24" t="s">
        <v>30</v>
      </c>
      <c r="L2815" s="24" t="s">
        <v>37</v>
      </c>
    </row>
    <row r="2816">
      <c r="A2816" s="24">
        <f t="shared" si="1"/>
        <v>2814</v>
      </c>
      <c r="B2816" s="24" t="s">
        <v>1105</v>
      </c>
      <c r="C2816" s="275">
        <v>43511.0</v>
      </c>
      <c r="D2816" s="24" t="str">
        <f t="shared" si="239"/>
        <v>Feb-2019</v>
      </c>
      <c r="E2816" t="s">
        <v>149</v>
      </c>
      <c r="F2816" s="24" t="s">
        <v>35</v>
      </c>
      <c r="G2816" s="24" t="s">
        <v>804</v>
      </c>
      <c r="H2816" s="24" t="s">
        <v>23</v>
      </c>
      <c r="I2816" s="24" t="s">
        <v>9</v>
      </c>
      <c r="J2816" s="24" t="s">
        <v>30</v>
      </c>
      <c r="K2816" s="24"/>
      <c r="L2816" s="24" t="s">
        <v>98</v>
      </c>
    </row>
    <row r="2817">
      <c r="A2817" s="24">
        <f t="shared" si="1"/>
        <v>2815</v>
      </c>
      <c r="B2817" s="24" t="s">
        <v>1105</v>
      </c>
      <c r="C2817" s="275">
        <v>43511.0</v>
      </c>
      <c r="D2817" s="24" t="str">
        <f t="shared" si="239"/>
        <v>Feb-2019</v>
      </c>
      <c r="E2817" t="s">
        <v>222</v>
      </c>
      <c r="F2817" s="24" t="s">
        <v>35</v>
      </c>
      <c r="G2817" s="24" t="s">
        <v>804</v>
      </c>
      <c r="H2817" s="24" t="s">
        <v>23</v>
      </c>
      <c r="I2817" s="24" t="s">
        <v>9</v>
      </c>
      <c r="J2817" s="24" t="s">
        <v>30</v>
      </c>
      <c r="K2817" s="24"/>
      <c r="L2817" s="24" t="s">
        <v>98</v>
      </c>
    </row>
    <row r="2818">
      <c r="A2818" s="24">
        <f t="shared" si="1"/>
        <v>2816</v>
      </c>
      <c r="B2818" s="24" t="s">
        <v>1105</v>
      </c>
      <c r="C2818" s="275">
        <v>43511.0</v>
      </c>
      <c r="D2818" s="24" t="str">
        <f t="shared" si="239"/>
        <v>Feb-2019</v>
      </c>
      <c r="E2818" t="s">
        <v>146</v>
      </c>
      <c r="F2818" s="24" t="s">
        <v>35</v>
      </c>
      <c r="G2818" s="24" t="s">
        <v>90</v>
      </c>
      <c r="H2818" s="24" t="s">
        <v>9</v>
      </c>
      <c r="I2818" s="24" t="s">
        <v>9</v>
      </c>
      <c r="J2818" s="24" t="s">
        <v>24</v>
      </c>
      <c r="K2818" s="24" t="s">
        <v>24</v>
      </c>
      <c r="L2818" s="24" t="s">
        <v>69</v>
      </c>
    </row>
    <row r="2819">
      <c r="A2819" s="24">
        <f t="shared" si="1"/>
        <v>2817</v>
      </c>
      <c r="B2819" s="24" t="s">
        <v>1105</v>
      </c>
      <c r="C2819" s="275">
        <v>43511.0</v>
      </c>
      <c r="D2819" s="24" t="str">
        <f t="shared" si="239"/>
        <v>Feb-2019</v>
      </c>
      <c r="E2819" t="s">
        <v>149</v>
      </c>
      <c r="F2819" s="24" t="s">
        <v>35</v>
      </c>
      <c r="G2819" s="24" t="s">
        <v>90</v>
      </c>
      <c r="H2819" s="24" t="s">
        <v>9</v>
      </c>
      <c r="I2819" s="24" t="s">
        <v>9</v>
      </c>
      <c r="J2819" s="24" t="s">
        <v>30</v>
      </c>
      <c r="K2819" s="24"/>
      <c r="L2819" s="24" t="s">
        <v>106</v>
      </c>
    </row>
    <row r="2820">
      <c r="A2820" s="24">
        <f t="shared" si="1"/>
        <v>2818</v>
      </c>
      <c r="B2820" s="24" t="s">
        <v>1105</v>
      </c>
      <c r="C2820" s="275">
        <v>43511.0</v>
      </c>
      <c r="D2820" s="24" t="str">
        <f t="shared" si="239"/>
        <v>Feb-2019</v>
      </c>
      <c r="E2820" t="s">
        <v>222</v>
      </c>
      <c r="F2820" s="24" t="s">
        <v>35</v>
      </c>
      <c r="G2820" s="24" t="s">
        <v>90</v>
      </c>
      <c r="H2820" s="24" t="s">
        <v>9</v>
      </c>
      <c r="I2820" s="24" t="s">
        <v>9</v>
      </c>
      <c r="J2820" s="24" t="s">
        <v>24</v>
      </c>
      <c r="K2820" s="24"/>
      <c r="L2820" s="24" t="s">
        <v>29</v>
      </c>
    </row>
    <row r="2821">
      <c r="A2821" s="24">
        <f t="shared" si="1"/>
        <v>2819</v>
      </c>
      <c r="B2821" s="24" t="s">
        <v>1105</v>
      </c>
      <c r="C2821" s="275">
        <v>43511.0</v>
      </c>
      <c r="D2821" s="24" t="str">
        <f t="shared" si="239"/>
        <v>Feb-2019</v>
      </c>
      <c r="E2821" t="s">
        <v>467</v>
      </c>
      <c r="F2821" s="24" t="s">
        <v>35</v>
      </c>
      <c r="G2821" s="24" t="s">
        <v>90</v>
      </c>
      <c r="H2821" s="24" t="s">
        <v>9</v>
      </c>
      <c r="I2821" s="24" t="s">
        <v>9</v>
      </c>
      <c r="J2821" s="24" t="s">
        <v>24</v>
      </c>
      <c r="K2821" s="24"/>
      <c r="L2821" s="24" t="s">
        <v>69</v>
      </c>
    </row>
    <row r="2822">
      <c r="A2822" s="24">
        <f t="shared" si="1"/>
        <v>2820</v>
      </c>
      <c r="B2822" s="24" t="s">
        <v>1108</v>
      </c>
      <c r="C2822" s="275">
        <v>43517.0</v>
      </c>
      <c r="D2822" s="24" t="str">
        <f t="shared" ref="D2822:D2829" si="240">TEXT(C2815:C2822, "mmm") &amp; "-" &amp; TEXT(C2815:C2822, "yyyy") </f>
        <v>Feb-2019</v>
      </c>
      <c r="E2822" t="s">
        <v>20</v>
      </c>
      <c r="F2822" s="24" t="s">
        <v>35</v>
      </c>
      <c r="G2822" s="24" t="s">
        <v>247</v>
      </c>
      <c r="H2822" s="24" t="s">
        <v>27</v>
      </c>
      <c r="I2822" s="24" t="s">
        <v>9</v>
      </c>
      <c r="J2822" s="24" t="s">
        <v>30</v>
      </c>
      <c r="K2822" s="24" t="s">
        <v>30</v>
      </c>
      <c r="L2822" s="24" t="s">
        <v>69</v>
      </c>
    </row>
    <row r="2823">
      <c r="A2823" s="24">
        <f t="shared" si="1"/>
        <v>2821</v>
      </c>
      <c r="B2823" s="24" t="s">
        <v>1108</v>
      </c>
      <c r="C2823" s="275">
        <v>43517.0</v>
      </c>
      <c r="D2823" s="24" t="str">
        <f t="shared" si="240"/>
        <v>Feb-2019</v>
      </c>
      <c r="E2823" t="s">
        <v>25</v>
      </c>
      <c r="F2823" s="24" t="s">
        <v>35</v>
      </c>
      <c r="G2823" s="24" t="s">
        <v>247</v>
      </c>
      <c r="H2823" s="24" t="s">
        <v>27</v>
      </c>
      <c r="I2823" s="24" t="s">
        <v>9</v>
      </c>
      <c r="J2823" s="24" t="s">
        <v>30</v>
      </c>
      <c r="K2823" s="24"/>
      <c r="L2823" s="24" t="s">
        <v>98</v>
      </c>
    </row>
    <row r="2824">
      <c r="A2824" s="24">
        <f t="shared" si="1"/>
        <v>2822</v>
      </c>
      <c r="B2824" s="24" t="s">
        <v>1108</v>
      </c>
      <c r="C2824" s="275">
        <v>43517.0</v>
      </c>
      <c r="D2824" s="24" t="str">
        <f t="shared" si="240"/>
        <v>Feb-2019</v>
      </c>
      <c r="E2824" t="s">
        <v>20</v>
      </c>
      <c r="F2824" s="24" t="s">
        <v>35</v>
      </c>
      <c r="G2824" s="24" t="s">
        <v>296</v>
      </c>
      <c r="H2824" s="24" t="s">
        <v>9</v>
      </c>
      <c r="I2824" s="24" t="s">
        <v>9</v>
      </c>
      <c r="J2824" s="24" t="s">
        <v>24</v>
      </c>
      <c r="K2824" s="24" t="s">
        <v>24</v>
      </c>
      <c r="L2824" s="24" t="s">
        <v>98</v>
      </c>
    </row>
    <row r="2825">
      <c r="A2825" s="24">
        <f t="shared" si="1"/>
        <v>2823</v>
      </c>
      <c r="B2825" s="24" t="s">
        <v>1108</v>
      </c>
      <c r="C2825" s="275">
        <v>43517.0</v>
      </c>
      <c r="D2825" s="24" t="str">
        <f t="shared" si="240"/>
        <v>Feb-2019</v>
      </c>
      <c r="E2825" t="s">
        <v>25</v>
      </c>
      <c r="F2825" s="24" t="s">
        <v>35</v>
      </c>
      <c r="G2825" s="24" t="s">
        <v>296</v>
      </c>
      <c r="H2825" s="24" t="s">
        <v>9</v>
      </c>
      <c r="I2825" s="24" t="s">
        <v>9</v>
      </c>
      <c r="J2825" s="24" t="s">
        <v>24</v>
      </c>
      <c r="K2825" s="24"/>
      <c r="L2825" s="24" t="s">
        <v>106</v>
      </c>
    </row>
    <row r="2826">
      <c r="A2826" s="24">
        <f t="shared" si="1"/>
        <v>2824</v>
      </c>
      <c r="B2826" s="24" t="s">
        <v>1108</v>
      </c>
      <c r="C2826" s="275">
        <v>43517.0</v>
      </c>
      <c r="D2826" s="24" t="str">
        <f t="shared" si="240"/>
        <v>Feb-2019</v>
      </c>
      <c r="E2826" t="s">
        <v>20</v>
      </c>
      <c r="F2826" s="24" t="s">
        <v>35</v>
      </c>
      <c r="G2826" s="24">
        <v>248.0</v>
      </c>
      <c r="H2826" s="24" t="s">
        <v>27</v>
      </c>
      <c r="I2826" s="24" t="s">
        <v>9</v>
      </c>
      <c r="J2826" s="24" t="s">
        <v>30</v>
      </c>
      <c r="K2826" s="24" t="s">
        <v>30</v>
      </c>
      <c r="L2826" s="24" t="s">
        <v>37</v>
      </c>
    </row>
    <row r="2827">
      <c r="A2827" s="24">
        <f t="shared" si="1"/>
        <v>2825</v>
      </c>
      <c r="B2827" s="24" t="s">
        <v>1108</v>
      </c>
      <c r="C2827" s="275">
        <v>43517.0</v>
      </c>
      <c r="D2827" s="24" t="str">
        <f t="shared" si="240"/>
        <v>Feb-2019</v>
      </c>
      <c r="E2827" t="s">
        <v>25</v>
      </c>
      <c r="F2827" s="24" t="s">
        <v>35</v>
      </c>
      <c r="G2827" s="24">
        <v>248.0</v>
      </c>
      <c r="H2827" s="24" t="s">
        <v>27</v>
      </c>
      <c r="I2827" s="24" t="s">
        <v>9</v>
      </c>
      <c r="J2827" s="24" t="s">
        <v>30</v>
      </c>
      <c r="K2827" s="24"/>
      <c r="L2827" s="24" t="s">
        <v>29</v>
      </c>
    </row>
    <row r="2828">
      <c r="A2828" s="24">
        <f t="shared" si="1"/>
        <v>2826</v>
      </c>
      <c r="B2828" s="24" t="s">
        <v>1108</v>
      </c>
      <c r="C2828" s="275">
        <v>43517.0</v>
      </c>
      <c r="D2828" s="24" t="str">
        <f t="shared" si="240"/>
        <v>Feb-2019</v>
      </c>
      <c r="E2828" t="s">
        <v>146</v>
      </c>
      <c r="F2828" s="24" t="s">
        <v>35</v>
      </c>
      <c r="G2828" s="24" t="s">
        <v>1111</v>
      </c>
      <c r="H2828" s="24" t="s">
        <v>44</v>
      </c>
      <c r="I2828" s="24" t="s">
        <v>9</v>
      </c>
      <c r="J2828" s="24" t="s">
        <v>30</v>
      </c>
      <c r="K2828" s="24" t="s">
        <v>30</v>
      </c>
      <c r="L2828" s="24" t="s">
        <v>98</v>
      </c>
    </row>
    <row r="2829">
      <c r="A2829" s="24">
        <f t="shared" si="1"/>
        <v>2827</v>
      </c>
      <c r="B2829" s="24" t="s">
        <v>1108</v>
      </c>
      <c r="C2829" s="275">
        <v>43517.0</v>
      </c>
      <c r="D2829" s="24" t="str">
        <f t="shared" si="240"/>
        <v>Feb-2019</v>
      </c>
      <c r="E2829" t="s">
        <v>149</v>
      </c>
      <c r="F2829" s="24" t="s">
        <v>35</v>
      </c>
      <c r="G2829" s="24" t="s">
        <v>1111</v>
      </c>
      <c r="H2829" s="24" t="s">
        <v>44</v>
      </c>
      <c r="I2829" s="24" t="s">
        <v>9</v>
      </c>
      <c r="J2829" s="24" t="s">
        <v>30</v>
      </c>
      <c r="K2829" s="24"/>
      <c r="L2829" s="24" t="s">
        <v>29</v>
      </c>
    </row>
    <row r="2830">
      <c r="A2830" s="24">
        <f t="shared" si="1"/>
        <v>2828</v>
      </c>
      <c r="B2830" s="24" t="s">
        <v>1108</v>
      </c>
      <c r="C2830" s="275">
        <v>43517.0</v>
      </c>
      <c r="D2830" s="24" t="str">
        <f t="shared" ref="D2830:D2835" si="241">TEXT(C2822:C2830, "mmm") &amp; "-" &amp; TEXT(C2822:C2830, "yyyy") </f>
        <v>Feb-2019</v>
      </c>
      <c r="E2830" t="s">
        <v>222</v>
      </c>
      <c r="F2830" s="24" t="s">
        <v>35</v>
      </c>
      <c r="G2830" s="24" t="s">
        <v>1111</v>
      </c>
      <c r="H2830" s="24" t="s">
        <v>44</v>
      </c>
      <c r="I2830" s="24" t="s">
        <v>9</v>
      </c>
      <c r="J2830" s="24" t="s">
        <v>30</v>
      </c>
      <c r="K2830" s="24"/>
      <c r="L2830" s="24" t="s">
        <v>29</v>
      </c>
    </row>
    <row r="2831">
      <c r="A2831" s="24">
        <f t="shared" si="1"/>
        <v>2829</v>
      </c>
      <c r="B2831" s="24" t="s">
        <v>1108</v>
      </c>
      <c r="C2831" s="275">
        <v>43517.0</v>
      </c>
      <c r="D2831" s="24" t="str">
        <f t="shared" si="241"/>
        <v>Feb-2019</v>
      </c>
      <c r="E2831" t="s">
        <v>146</v>
      </c>
      <c r="F2831" s="24" t="s">
        <v>35</v>
      </c>
      <c r="G2831" s="24" t="s">
        <v>497</v>
      </c>
      <c r="H2831" s="24" t="s">
        <v>9</v>
      </c>
      <c r="I2831" s="24" t="s">
        <v>9</v>
      </c>
      <c r="J2831" s="24" t="s">
        <v>30</v>
      </c>
      <c r="K2831" s="24" t="s">
        <v>24</v>
      </c>
      <c r="L2831" s="24" t="s">
        <v>98</v>
      </c>
    </row>
    <row r="2832">
      <c r="A2832" s="24">
        <f t="shared" si="1"/>
        <v>2830</v>
      </c>
      <c r="B2832" s="24" t="s">
        <v>1108</v>
      </c>
      <c r="C2832" s="275">
        <v>43517.0</v>
      </c>
      <c r="D2832" s="24" t="str">
        <f t="shared" si="241"/>
        <v>Feb-2019</v>
      </c>
      <c r="E2832" t="s">
        <v>149</v>
      </c>
      <c r="F2832" s="24" t="s">
        <v>35</v>
      </c>
      <c r="G2832" s="24" t="s">
        <v>497</v>
      </c>
      <c r="H2832" s="24" t="s">
        <v>9</v>
      </c>
      <c r="I2832" s="24" t="s">
        <v>9</v>
      </c>
      <c r="J2832" s="24" t="s">
        <v>24</v>
      </c>
      <c r="K2832" s="24"/>
      <c r="L2832" s="24" t="s">
        <v>106</v>
      </c>
    </row>
    <row r="2833">
      <c r="A2833" s="24">
        <f t="shared" si="1"/>
        <v>2831</v>
      </c>
      <c r="B2833" s="24" t="s">
        <v>1108</v>
      </c>
      <c r="C2833" s="275">
        <v>43517.0</v>
      </c>
      <c r="D2833" s="24" t="str">
        <f t="shared" si="241"/>
        <v>Feb-2019</v>
      </c>
      <c r="E2833" t="s">
        <v>222</v>
      </c>
      <c r="F2833" s="24" t="s">
        <v>35</v>
      </c>
      <c r="G2833" s="24" t="s">
        <v>497</v>
      </c>
      <c r="H2833" s="24" t="s">
        <v>9</v>
      </c>
      <c r="I2833" s="24" t="s">
        <v>9</v>
      </c>
      <c r="J2833" s="24" t="s">
        <v>24</v>
      </c>
      <c r="K2833" s="24"/>
      <c r="L2833" s="24" t="s">
        <v>69</v>
      </c>
    </row>
    <row r="2834">
      <c r="A2834" s="24">
        <f t="shared" si="1"/>
        <v>2832</v>
      </c>
      <c r="B2834" s="24" t="s">
        <v>1108</v>
      </c>
      <c r="C2834" s="275">
        <v>43517.0</v>
      </c>
      <c r="D2834" s="24" t="str">
        <f t="shared" si="241"/>
        <v>Feb-2019</v>
      </c>
      <c r="E2834" t="s">
        <v>467</v>
      </c>
      <c r="F2834" s="24" t="s">
        <v>35</v>
      </c>
      <c r="G2834" s="24" t="s">
        <v>497</v>
      </c>
      <c r="H2834" s="24" t="s">
        <v>9</v>
      </c>
      <c r="I2834" s="24" t="s">
        <v>9</v>
      </c>
      <c r="J2834" s="24" t="s">
        <v>30</v>
      </c>
      <c r="K2834" s="24"/>
      <c r="L2834" s="24" t="s">
        <v>69</v>
      </c>
    </row>
    <row r="2835">
      <c r="A2835" s="24">
        <f t="shared" si="1"/>
        <v>2833</v>
      </c>
      <c r="B2835" s="24" t="s">
        <v>1108</v>
      </c>
      <c r="C2835" s="275">
        <v>43517.0</v>
      </c>
      <c r="D2835" s="24" t="str">
        <f t="shared" si="241"/>
        <v>Feb-2019</v>
      </c>
      <c r="E2835" t="s">
        <v>480</v>
      </c>
      <c r="F2835" s="24" t="s">
        <v>35</v>
      </c>
      <c r="G2835" s="24" t="s">
        <v>497</v>
      </c>
      <c r="H2835" s="24" t="s">
        <v>9</v>
      </c>
      <c r="I2835" s="24" t="s">
        <v>9</v>
      </c>
      <c r="J2835" s="24" t="s">
        <v>24</v>
      </c>
      <c r="K2835" s="24"/>
      <c r="L2835" s="24" t="s">
        <v>37</v>
      </c>
    </row>
    <row r="2836">
      <c r="A2836" s="24">
        <f t="shared" si="1"/>
        <v>2834</v>
      </c>
      <c r="B2836" s="24" t="s">
        <v>1112</v>
      </c>
      <c r="C2836" s="275">
        <v>43518.0</v>
      </c>
      <c r="D2836" s="24" t="str">
        <f t="shared" ref="D2836:D2843" si="242">TEXT(C2829:C2836, "mmm") &amp; "-" &amp; TEXT(C2829:C2836, "yyyy") </f>
        <v>Feb-2019</v>
      </c>
      <c r="E2836" t="s">
        <v>20</v>
      </c>
      <c r="F2836" s="24" t="s">
        <v>35</v>
      </c>
      <c r="G2836" s="24" t="s">
        <v>1113</v>
      </c>
      <c r="H2836" s="24" t="s">
        <v>64</v>
      </c>
      <c r="I2836" t="s">
        <v>9</v>
      </c>
      <c r="J2836" s="24" t="s">
        <v>30</v>
      </c>
      <c r="K2836" s="24" t="s">
        <v>30</v>
      </c>
      <c r="L2836" s="24" t="s">
        <v>98</v>
      </c>
    </row>
    <row r="2837">
      <c r="A2837" s="24">
        <f t="shared" si="1"/>
        <v>2835</v>
      </c>
      <c r="B2837" s="24" t="s">
        <v>1112</v>
      </c>
      <c r="C2837" s="275">
        <v>43518.0</v>
      </c>
      <c r="D2837" s="24" t="str">
        <f t="shared" si="242"/>
        <v>Feb-2019</v>
      </c>
      <c r="E2837" t="s">
        <v>25</v>
      </c>
      <c r="F2837" s="24" t="s">
        <v>35</v>
      </c>
      <c r="G2837" s="24" t="s">
        <v>1113</v>
      </c>
      <c r="H2837" s="24" t="s">
        <v>64</v>
      </c>
      <c r="I2837" t="s">
        <v>9</v>
      </c>
      <c r="J2837" s="24" t="s">
        <v>30</v>
      </c>
      <c r="K2837" s="24"/>
      <c r="L2837" s="24" t="s">
        <v>37</v>
      </c>
    </row>
    <row r="2838">
      <c r="A2838" s="24">
        <f t="shared" si="1"/>
        <v>2836</v>
      </c>
      <c r="B2838" s="24" t="s">
        <v>1112</v>
      </c>
      <c r="C2838" s="275">
        <v>43518.0</v>
      </c>
      <c r="D2838" s="24" t="str">
        <f t="shared" si="242"/>
        <v>Feb-2019</v>
      </c>
      <c r="E2838" t="s">
        <v>20</v>
      </c>
      <c r="F2838" s="24" t="s">
        <v>35</v>
      </c>
      <c r="G2838" s="24" t="s">
        <v>989</v>
      </c>
      <c r="H2838" s="24" t="s">
        <v>86</v>
      </c>
      <c r="I2838" t="s">
        <v>9</v>
      </c>
      <c r="J2838" s="24" t="s">
        <v>30</v>
      </c>
      <c r="K2838" s="24" t="s">
        <v>24</v>
      </c>
      <c r="L2838" s="24" t="s">
        <v>69</v>
      </c>
    </row>
    <row r="2839">
      <c r="A2839" s="24">
        <f t="shared" si="1"/>
        <v>2837</v>
      </c>
      <c r="B2839" s="24" t="s">
        <v>1112</v>
      </c>
      <c r="C2839" s="275">
        <v>43518.0</v>
      </c>
      <c r="D2839" s="24" t="str">
        <f t="shared" si="242"/>
        <v>Feb-2019</v>
      </c>
      <c r="E2839" t="s">
        <v>25</v>
      </c>
      <c r="F2839" s="24" t="s">
        <v>35</v>
      </c>
      <c r="G2839" s="24" t="s">
        <v>989</v>
      </c>
      <c r="H2839" s="24" t="s">
        <v>86</v>
      </c>
      <c r="I2839" t="s">
        <v>9</v>
      </c>
      <c r="J2839" s="24" t="s">
        <v>24</v>
      </c>
      <c r="K2839" s="24"/>
      <c r="L2839" s="24" t="s">
        <v>98</v>
      </c>
    </row>
    <row r="2840">
      <c r="A2840" s="24">
        <f t="shared" si="1"/>
        <v>2838</v>
      </c>
      <c r="B2840" s="24" t="s">
        <v>1112</v>
      </c>
      <c r="C2840" s="275">
        <v>43518.0</v>
      </c>
      <c r="D2840" s="24" t="str">
        <f t="shared" si="242"/>
        <v>Feb-2019</v>
      </c>
      <c r="E2840" t="s">
        <v>32</v>
      </c>
      <c r="F2840" s="24" t="s">
        <v>35</v>
      </c>
      <c r="G2840" s="24" t="s">
        <v>989</v>
      </c>
      <c r="H2840" s="24" t="s">
        <v>86</v>
      </c>
      <c r="I2840" t="s">
        <v>9</v>
      </c>
      <c r="J2840" s="24" t="s">
        <v>24</v>
      </c>
      <c r="K2840" s="24"/>
      <c r="L2840" s="24" t="s">
        <v>29</v>
      </c>
    </row>
    <row r="2841">
      <c r="A2841" s="24">
        <f t="shared" si="1"/>
        <v>2839</v>
      </c>
      <c r="B2841" s="24" t="s">
        <v>1112</v>
      </c>
      <c r="C2841" s="275">
        <v>43518.0</v>
      </c>
      <c r="D2841" s="24" t="str">
        <f t="shared" si="242"/>
        <v>Feb-2019</v>
      </c>
      <c r="E2841" t="s">
        <v>20</v>
      </c>
      <c r="F2841" s="24" t="s">
        <v>35</v>
      </c>
      <c r="G2841" s="24" t="s">
        <v>607</v>
      </c>
      <c r="H2841" s="24" t="s">
        <v>40</v>
      </c>
      <c r="I2841" t="s">
        <v>9</v>
      </c>
      <c r="J2841" s="24" t="s">
        <v>30</v>
      </c>
      <c r="K2841" s="24" t="s">
        <v>30</v>
      </c>
      <c r="L2841" s="24" t="s">
        <v>69</v>
      </c>
    </row>
    <row r="2842">
      <c r="A2842" s="24">
        <f t="shared" si="1"/>
        <v>2840</v>
      </c>
      <c r="B2842" s="24" t="s">
        <v>1112</v>
      </c>
      <c r="C2842" s="275">
        <v>43518.0</v>
      </c>
      <c r="D2842" s="24" t="str">
        <f t="shared" si="242"/>
        <v>Feb-2019</v>
      </c>
      <c r="E2842" t="s">
        <v>25</v>
      </c>
      <c r="F2842" s="24" t="s">
        <v>35</v>
      </c>
      <c r="G2842" s="24" t="s">
        <v>607</v>
      </c>
      <c r="H2842" s="24" t="s">
        <v>40</v>
      </c>
      <c r="I2842" t="s">
        <v>9</v>
      </c>
      <c r="J2842" s="24" t="s">
        <v>30</v>
      </c>
      <c r="K2842" s="24"/>
      <c r="L2842" s="24" t="s">
        <v>106</v>
      </c>
    </row>
    <row r="2843">
      <c r="A2843" s="24">
        <f t="shared" si="1"/>
        <v>2841</v>
      </c>
      <c r="B2843" s="24" t="s">
        <v>1112</v>
      </c>
      <c r="C2843" s="275">
        <v>43518.0</v>
      </c>
      <c r="D2843" s="24" t="str">
        <f t="shared" si="242"/>
        <v>Feb-2019</v>
      </c>
      <c r="E2843" t="s">
        <v>146</v>
      </c>
      <c r="F2843" s="24" t="s">
        <v>35</v>
      </c>
      <c r="G2843" s="24" t="s">
        <v>127</v>
      </c>
      <c r="H2843" s="24" t="s">
        <v>44</v>
      </c>
      <c r="I2843" t="s">
        <v>9</v>
      </c>
      <c r="J2843" s="24" t="s">
        <v>30</v>
      </c>
      <c r="K2843" s="24" t="s">
        <v>30</v>
      </c>
      <c r="L2843" s="24" t="s">
        <v>98</v>
      </c>
    </row>
    <row r="2844">
      <c r="A2844" s="24">
        <f t="shared" si="1"/>
        <v>2842</v>
      </c>
      <c r="B2844" s="24" t="s">
        <v>1112</v>
      </c>
      <c r="C2844" s="275">
        <v>43518.0</v>
      </c>
      <c r="D2844" s="24" t="str">
        <f t="shared" ref="D2844:D2853" si="243">TEXT(C2836:C2844, "mmm") &amp; "-" &amp; TEXT(C2836:C2844, "yyyy") </f>
        <v>Feb-2019</v>
      </c>
      <c r="E2844" t="s">
        <v>149</v>
      </c>
      <c r="F2844" s="24" t="s">
        <v>35</v>
      </c>
      <c r="G2844" s="24" t="s">
        <v>127</v>
      </c>
      <c r="H2844" s="24" t="s">
        <v>44</v>
      </c>
      <c r="I2844" t="s">
        <v>9</v>
      </c>
      <c r="J2844" s="24" t="s">
        <v>30</v>
      </c>
      <c r="K2844" s="24"/>
      <c r="L2844" s="24" t="s">
        <v>29</v>
      </c>
    </row>
    <row r="2845">
      <c r="A2845" s="24">
        <f t="shared" si="1"/>
        <v>2843</v>
      </c>
      <c r="B2845" s="24" t="s">
        <v>1112</v>
      </c>
      <c r="C2845" s="275">
        <v>43518.0</v>
      </c>
      <c r="D2845" s="24" t="str">
        <f t="shared" si="243"/>
        <v>Feb-2019</v>
      </c>
      <c r="E2845" t="s">
        <v>222</v>
      </c>
      <c r="F2845" s="24" t="s">
        <v>35</v>
      </c>
      <c r="G2845" s="24" t="s">
        <v>127</v>
      </c>
      <c r="H2845" s="24" t="s">
        <v>44</v>
      </c>
      <c r="I2845" t="s">
        <v>9</v>
      </c>
      <c r="J2845" s="24" t="s">
        <v>30</v>
      </c>
      <c r="K2845" s="24"/>
      <c r="L2845" s="24" t="s">
        <v>29</v>
      </c>
    </row>
    <row r="2846">
      <c r="A2846" s="24">
        <f t="shared" si="1"/>
        <v>2844</v>
      </c>
      <c r="B2846" s="24" t="s">
        <v>1112</v>
      </c>
      <c r="C2846" s="275">
        <v>43518.0</v>
      </c>
      <c r="D2846" s="24" t="str">
        <f t="shared" si="243"/>
        <v>Feb-2019</v>
      </c>
      <c r="E2846" t="s">
        <v>146</v>
      </c>
      <c r="F2846" s="24" t="s">
        <v>35</v>
      </c>
      <c r="G2846" s="24" t="s">
        <v>804</v>
      </c>
      <c r="H2846" s="24" t="s">
        <v>23</v>
      </c>
      <c r="I2846" t="s">
        <v>9</v>
      </c>
      <c r="J2846" s="24" t="s">
        <v>30</v>
      </c>
      <c r="K2846" s="24" t="s">
        <v>30</v>
      </c>
      <c r="L2846" s="24" t="s">
        <v>37</v>
      </c>
    </row>
    <row r="2847">
      <c r="A2847" s="24">
        <f t="shared" si="1"/>
        <v>2845</v>
      </c>
      <c r="B2847" s="24" t="s">
        <v>1112</v>
      </c>
      <c r="C2847" s="275">
        <v>43518.0</v>
      </c>
      <c r="D2847" s="24" t="str">
        <f t="shared" si="243"/>
        <v>Feb-2019</v>
      </c>
      <c r="E2847" t="s">
        <v>149</v>
      </c>
      <c r="F2847" s="24" t="s">
        <v>35</v>
      </c>
      <c r="G2847" s="24" t="s">
        <v>804</v>
      </c>
      <c r="H2847" s="24" t="s">
        <v>23</v>
      </c>
      <c r="I2847" t="s">
        <v>9</v>
      </c>
      <c r="J2847" s="24" t="s">
        <v>24</v>
      </c>
      <c r="K2847" s="24"/>
      <c r="L2847" s="24" t="s">
        <v>98</v>
      </c>
    </row>
    <row r="2848">
      <c r="A2848" s="24">
        <f t="shared" si="1"/>
        <v>2846</v>
      </c>
      <c r="B2848" s="24" t="s">
        <v>1112</v>
      </c>
      <c r="C2848" s="275">
        <v>43518.0</v>
      </c>
      <c r="D2848" s="24" t="str">
        <f t="shared" si="243"/>
        <v>Feb-2019</v>
      </c>
      <c r="E2848" t="s">
        <v>222</v>
      </c>
      <c r="F2848" s="24" t="s">
        <v>35</v>
      </c>
      <c r="G2848" s="24" t="s">
        <v>804</v>
      </c>
      <c r="H2848" s="24" t="s">
        <v>23</v>
      </c>
      <c r="I2848" t="s">
        <v>9</v>
      </c>
      <c r="J2848" s="24" t="s">
        <v>30</v>
      </c>
      <c r="K2848" s="24"/>
      <c r="L2848" s="24" t="s">
        <v>106</v>
      </c>
    </row>
    <row r="2849">
      <c r="A2849" s="24">
        <f t="shared" si="1"/>
        <v>2847</v>
      </c>
      <c r="B2849" s="24" t="s">
        <v>1112</v>
      </c>
      <c r="C2849" s="275">
        <v>43518.0</v>
      </c>
      <c r="D2849" s="24" t="str">
        <f t="shared" si="243"/>
        <v>Feb-2019</v>
      </c>
      <c r="E2849" t="s">
        <v>467</v>
      </c>
      <c r="F2849" s="24" t="s">
        <v>35</v>
      </c>
      <c r="G2849" s="24" t="s">
        <v>804</v>
      </c>
      <c r="H2849" s="24" t="s">
        <v>23</v>
      </c>
      <c r="I2849" t="s">
        <v>9</v>
      </c>
      <c r="J2849" s="24" t="s">
        <v>30</v>
      </c>
      <c r="K2849" s="24"/>
      <c r="L2849" s="24" t="s">
        <v>99</v>
      </c>
    </row>
    <row r="2850">
      <c r="A2850" s="24">
        <f t="shared" si="1"/>
        <v>2848</v>
      </c>
      <c r="B2850" s="24" t="s">
        <v>1112</v>
      </c>
      <c r="C2850" s="275">
        <v>43518.0</v>
      </c>
      <c r="D2850" s="24" t="str">
        <f t="shared" si="243"/>
        <v>Feb-2019</v>
      </c>
      <c r="E2850" t="s">
        <v>146</v>
      </c>
      <c r="F2850" s="24" t="s">
        <v>35</v>
      </c>
      <c r="G2850" s="24" t="s">
        <v>218</v>
      </c>
      <c r="H2850" s="24" t="s">
        <v>86</v>
      </c>
      <c r="I2850" t="s">
        <v>9</v>
      </c>
      <c r="J2850" s="24" t="s">
        <v>24</v>
      </c>
      <c r="K2850" s="24" t="s">
        <v>24</v>
      </c>
      <c r="L2850" s="24" t="s">
        <v>69</v>
      </c>
    </row>
    <row r="2851">
      <c r="A2851" s="24">
        <f t="shared" si="1"/>
        <v>2849</v>
      </c>
      <c r="B2851" s="24" t="s">
        <v>1112</v>
      </c>
      <c r="C2851" s="275">
        <v>43518.0</v>
      </c>
      <c r="D2851" s="24" t="str">
        <f t="shared" si="243"/>
        <v>Feb-2019</v>
      </c>
      <c r="E2851" t="s">
        <v>149</v>
      </c>
      <c r="F2851" s="24" t="s">
        <v>35</v>
      </c>
      <c r="G2851" s="24" t="s">
        <v>218</v>
      </c>
      <c r="H2851" s="24" t="s">
        <v>86</v>
      </c>
      <c r="I2851" t="s">
        <v>9</v>
      </c>
      <c r="J2851" s="24" t="s">
        <v>24</v>
      </c>
      <c r="K2851" s="24"/>
      <c r="L2851" s="24" t="s">
        <v>29</v>
      </c>
    </row>
    <row r="2852">
      <c r="A2852" s="24">
        <f t="shared" si="1"/>
        <v>2850</v>
      </c>
      <c r="B2852" s="24" t="s">
        <v>1112</v>
      </c>
      <c r="C2852" s="275">
        <v>43518.0</v>
      </c>
      <c r="D2852" s="24" t="str">
        <f t="shared" si="243"/>
        <v>Feb-2019</v>
      </c>
      <c r="E2852" t="s">
        <v>222</v>
      </c>
      <c r="F2852" s="24" t="s">
        <v>35</v>
      </c>
      <c r="G2852" s="24" t="s">
        <v>218</v>
      </c>
      <c r="H2852" s="24" t="s">
        <v>86</v>
      </c>
      <c r="I2852" t="s">
        <v>9</v>
      </c>
      <c r="J2852" s="24" t="s">
        <v>30</v>
      </c>
      <c r="K2852" s="24"/>
      <c r="L2852" s="24" t="s">
        <v>29</v>
      </c>
    </row>
    <row r="2853">
      <c r="A2853" s="24">
        <f t="shared" si="1"/>
        <v>2851</v>
      </c>
      <c r="B2853" s="24" t="s">
        <v>1112</v>
      </c>
      <c r="C2853" s="275">
        <v>43518.0</v>
      </c>
      <c r="D2853" s="24" t="str">
        <f t="shared" si="243"/>
        <v>Feb-2019</v>
      </c>
      <c r="E2853" t="s">
        <v>467</v>
      </c>
      <c r="F2853" s="24" t="s">
        <v>35</v>
      </c>
      <c r="G2853" s="24" t="s">
        <v>218</v>
      </c>
      <c r="H2853" s="24" t="s">
        <v>86</v>
      </c>
      <c r="I2853" t="s">
        <v>9</v>
      </c>
      <c r="J2853" s="24" t="s">
        <v>24</v>
      </c>
      <c r="K2853" s="24"/>
      <c r="L2853" s="24" t="s">
        <v>37</v>
      </c>
    </row>
    <row r="2854">
      <c r="A2854" s="24">
        <f t="shared" si="1"/>
        <v>2852</v>
      </c>
      <c r="B2854" s="24" t="s">
        <v>1115</v>
      </c>
      <c r="C2854" s="275">
        <v>43525.0</v>
      </c>
      <c r="D2854" s="24" t="str">
        <f t="shared" ref="D2854:D2861" si="244">TEXT(C2847:C2854, "mmm") &amp; "-" &amp; TEXT(C2847:C2854, "yyyy") </f>
        <v>Mar-2019</v>
      </c>
      <c r="E2854" t="s">
        <v>20</v>
      </c>
      <c r="F2854" s="24" t="s">
        <v>35</v>
      </c>
      <c r="G2854" s="24" t="s">
        <v>487</v>
      </c>
      <c r="H2854" s="24" t="s">
        <v>44</v>
      </c>
      <c r="I2854" t="s">
        <v>9</v>
      </c>
      <c r="J2854" s="24" t="s">
        <v>30</v>
      </c>
      <c r="K2854" s="24" t="s">
        <v>30</v>
      </c>
      <c r="L2854" s="24" t="s">
        <v>69</v>
      </c>
    </row>
    <row r="2855">
      <c r="A2855" s="24">
        <f t="shared" si="1"/>
        <v>2853</v>
      </c>
      <c r="B2855" s="24" t="s">
        <v>1115</v>
      </c>
      <c r="C2855" s="275">
        <v>43525.0</v>
      </c>
      <c r="D2855" s="24" t="str">
        <f t="shared" si="244"/>
        <v>Mar-2019</v>
      </c>
      <c r="E2855" t="s">
        <v>25</v>
      </c>
      <c r="F2855" s="24" t="s">
        <v>35</v>
      </c>
      <c r="G2855" s="24" t="s">
        <v>487</v>
      </c>
      <c r="H2855" s="24" t="s">
        <v>44</v>
      </c>
      <c r="I2855" t="s">
        <v>9</v>
      </c>
      <c r="J2855" s="24" t="s">
        <v>30</v>
      </c>
      <c r="K2855" s="24"/>
      <c r="L2855" s="24" t="s">
        <v>98</v>
      </c>
    </row>
    <row r="2856">
      <c r="A2856" s="24">
        <f t="shared" si="1"/>
        <v>2854</v>
      </c>
      <c r="B2856" s="24" t="s">
        <v>1115</v>
      </c>
      <c r="C2856" s="275">
        <v>43525.0</v>
      </c>
      <c r="D2856" s="24" t="str">
        <f t="shared" si="244"/>
        <v>Mar-2019</v>
      </c>
      <c r="E2856" t="s">
        <v>20</v>
      </c>
      <c r="F2856" s="24" t="s">
        <v>35</v>
      </c>
      <c r="G2856" s="24" t="s">
        <v>218</v>
      </c>
      <c r="H2856" s="24" t="s">
        <v>86</v>
      </c>
      <c r="I2856" t="s">
        <v>9</v>
      </c>
      <c r="J2856" s="24" t="s">
        <v>30</v>
      </c>
      <c r="K2856" s="24" t="s">
        <v>24</v>
      </c>
      <c r="L2856" s="24" t="s">
        <v>99</v>
      </c>
    </row>
    <row r="2857">
      <c r="A2857" s="24">
        <f t="shared" si="1"/>
        <v>2855</v>
      </c>
      <c r="B2857" s="24" t="s">
        <v>1115</v>
      </c>
      <c r="C2857" s="275">
        <v>43525.0</v>
      </c>
      <c r="D2857" s="24" t="str">
        <f t="shared" si="244"/>
        <v>Mar-2019</v>
      </c>
      <c r="E2857" t="s">
        <v>25</v>
      </c>
      <c r="F2857" s="24" t="s">
        <v>35</v>
      </c>
      <c r="G2857" s="24" t="s">
        <v>218</v>
      </c>
      <c r="H2857" s="24" t="s">
        <v>86</v>
      </c>
      <c r="I2857" t="s">
        <v>9</v>
      </c>
      <c r="J2857" s="24" t="s">
        <v>24</v>
      </c>
      <c r="K2857" s="24"/>
      <c r="L2857" s="24" t="s">
        <v>98</v>
      </c>
    </row>
    <row r="2858">
      <c r="A2858" s="24">
        <f t="shared" si="1"/>
        <v>2856</v>
      </c>
      <c r="B2858" s="24" t="s">
        <v>1115</v>
      </c>
      <c r="C2858" s="275">
        <v>43525.0</v>
      </c>
      <c r="D2858" s="24" t="str">
        <f t="shared" si="244"/>
        <v>Mar-2019</v>
      </c>
      <c r="E2858" t="s">
        <v>32</v>
      </c>
      <c r="F2858" s="24" t="s">
        <v>35</v>
      </c>
      <c r="G2858" s="24" t="s">
        <v>218</v>
      </c>
      <c r="H2858" s="24" t="s">
        <v>86</v>
      </c>
      <c r="I2858" t="s">
        <v>9</v>
      </c>
      <c r="J2858" s="24" t="s">
        <v>24</v>
      </c>
      <c r="K2858" s="24"/>
      <c r="L2858" s="24" t="s">
        <v>69</v>
      </c>
    </row>
    <row r="2859">
      <c r="A2859" s="24">
        <f t="shared" si="1"/>
        <v>2857</v>
      </c>
      <c r="B2859" s="24" t="s">
        <v>1115</v>
      </c>
      <c r="C2859" s="275">
        <v>43525.0</v>
      </c>
      <c r="D2859" s="24" t="str">
        <f t="shared" si="244"/>
        <v>Mar-2019</v>
      </c>
      <c r="E2859" t="s">
        <v>20</v>
      </c>
      <c r="F2859" s="24" t="s">
        <v>35</v>
      </c>
      <c r="G2859" s="24" t="s">
        <v>302</v>
      </c>
      <c r="H2859" s="24" t="s">
        <v>27</v>
      </c>
      <c r="I2859" t="s">
        <v>9</v>
      </c>
      <c r="J2859" s="24" t="s">
        <v>30</v>
      </c>
      <c r="K2859" s="24" t="s">
        <v>30</v>
      </c>
      <c r="L2859" s="24" t="s">
        <v>69</v>
      </c>
    </row>
    <row r="2860">
      <c r="A2860" s="24">
        <f t="shared" si="1"/>
        <v>2858</v>
      </c>
      <c r="B2860" s="24" t="s">
        <v>1115</v>
      </c>
      <c r="C2860" s="275">
        <v>43525.0</v>
      </c>
      <c r="D2860" s="24" t="str">
        <f t="shared" si="244"/>
        <v>Mar-2019</v>
      </c>
      <c r="E2860" t="s">
        <v>25</v>
      </c>
      <c r="F2860" s="24" t="s">
        <v>35</v>
      </c>
      <c r="G2860" s="24" t="s">
        <v>302</v>
      </c>
      <c r="H2860" s="24" t="s">
        <v>27</v>
      </c>
      <c r="I2860" t="s">
        <v>9</v>
      </c>
      <c r="J2860" s="24" t="s">
        <v>30</v>
      </c>
      <c r="K2860" s="24"/>
      <c r="L2860" s="24" t="s">
        <v>29</v>
      </c>
    </row>
    <row r="2861">
      <c r="A2861" s="24">
        <f t="shared" si="1"/>
        <v>2859</v>
      </c>
      <c r="B2861" s="24" t="s">
        <v>1115</v>
      </c>
      <c r="C2861" s="275">
        <v>43525.0</v>
      </c>
      <c r="D2861" s="24" t="str">
        <f t="shared" si="244"/>
        <v>Mar-2019</v>
      </c>
      <c r="E2861" t="s">
        <v>146</v>
      </c>
      <c r="F2861" s="24" t="s">
        <v>35</v>
      </c>
      <c r="G2861" s="24" t="s">
        <v>804</v>
      </c>
      <c r="H2861" s="24" t="s">
        <v>23</v>
      </c>
      <c r="I2861" t="s">
        <v>9</v>
      </c>
      <c r="J2861" s="24" t="s">
        <v>30</v>
      </c>
      <c r="K2861" s="24" t="s">
        <v>30</v>
      </c>
      <c r="L2861" s="24" t="s">
        <v>37</v>
      </c>
    </row>
    <row r="2862">
      <c r="A2862" s="24">
        <f t="shared" si="1"/>
        <v>2860</v>
      </c>
      <c r="B2862" s="24" t="s">
        <v>1115</v>
      </c>
      <c r="C2862" s="275">
        <v>43525.0</v>
      </c>
      <c r="D2862" s="24" t="str">
        <f t="shared" ref="D2862:D2870" si="245">TEXT(C2854:C2862, "mmm") &amp; "-" &amp; TEXT(C2854:C2862, "yyyy") </f>
        <v>Mar-2019</v>
      </c>
      <c r="E2862" t="s">
        <v>149</v>
      </c>
      <c r="F2862" s="24" t="s">
        <v>35</v>
      </c>
      <c r="G2862" s="24" t="s">
        <v>804</v>
      </c>
      <c r="H2862" s="24" t="s">
        <v>23</v>
      </c>
      <c r="I2862" t="s">
        <v>9</v>
      </c>
      <c r="J2862" s="24" t="s">
        <v>24</v>
      </c>
      <c r="K2862" s="24"/>
      <c r="L2862" s="24" t="s">
        <v>98</v>
      </c>
    </row>
    <row r="2863">
      <c r="A2863" s="24">
        <f t="shared" si="1"/>
        <v>2861</v>
      </c>
      <c r="B2863" s="24" t="s">
        <v>1115</v>
      </c>
      <c r="C2863" s="275">
        <v>43525.0</v>
      </c>
      <c r="D2863" s="24" t="str">
        <f t="shared" si="245"/>
        <v>Mar-2019</v>
      </c>
      <c r="E2863" t="s">
        <v>222</v>
      </c>
      <c r="F2863" s="24" t="s">
        <v>35</v>
      </c>
      <c r="G2863" s="24" t="s">
        <v>804</v>
      </c>
      <c r="H2863" s="24" t="s">
        <v>23</v>
      </c>
      <c r="I2863" t="s">
        <v>9</v>
      </c>
      <c r="J2863" s="24" t="s">
        <v>24</v>
      </c>
      <c r="K2863" s="24"/>
      <c r="L2863" s="24" t="s">
        <v>106</v>
      </c>
    </row>
    <row r="2864">
      <c r="A2864" s="24">
        <f t="shared" si="1"/>
        <v>2862</v>
      </c>
      <c r="B2864" s="24" t="s">
        <v>1115</v>
      </c>
      <c r="C2864" s="275">
        <v>43525.0</v>
      </c>
      <c r="D2864" s="24" t="str">
        <f t="shared" si="245"/>
        <v>Mar-2019</v>
      </c>
      <c r="E2864" t="s">
        <v>467</v>
      </c>
      <c r="F2864" s="24" t="s">
        <v>35</v>
      </c>
      <c r="G2864" s="24" t="s">
        <v>804</v>
      </c>
      <c r="H2864" s="24" t="s">
        <v>23</v>
      </c>
      <c r="I2864" t="s">
        <v>9</v>
      </c>
      <c r="J2864" s="24" t="s">
        <v>30</v>
      </c>
      <c r="K2864" s="24"/>
      <c r="L2864" s="24" t="s">
        <v>29</v>
      </c>
    </row>
    <row r="2865">
      <c r="A2865" s="24">
        <f t="shared" si="1"/>
        <v>2863</v>
      </c>
      <c r="B2865" s="24" t="s">
        <v>1115</v>
      </c>
      <c r="C2865" s="275">
        <v>43525.0</v>
      </c>
      <c r="D2865" s="24" t="str">
        <f t="shared" si="245"/>
        <v>Mar-2019</v>
      </c>
      <c r="E2865" t="s">
        <v>480</v>
      </c>
      <c r="F2865" s="24" t="s">
        <v>35</v>
      </c>
      <c r="G2865" s="24" t="s">
        <v>804</v>
      </c>
      <c r="H2865" s="24" t="s">
        <v>23</v>
      </c>
      <c r="I2865" t="s">
        <v>9</v>
      </c>
      <c r="J2865" s="24" t="s">
        <v>30</v>
      </c>
      <c r="K2865" s="24"/>
      <c r="L2865" s="24" t="s">
        <v>99</v>
      </c>
    </row>
    <row r="2866">
      <c r="A2866" s="24">
        <f t="shared" si="1"/>
        <v>2864</v>
      </c>
      <c r="B2866" s="24" t="s">
        <v>1115</v>
      </c>
      <c r="C2866" s="275">
        <v>43525.0</v>
      </c>
      <c r="D2866" s="24" t="str">
        <f t="shared" si="245"/>
        <v>Mar-2019</v>
      </c>
      <c r="E2866" t="s">
        <v>146</v>
      </c>
      <c r="F2866" s="24" t="s">
        <v>35</v>
      </c>
      <c r="G2866" s="24" t="s">
        <v>452</v>
      </c>
      <c r="H2866" s="24" t="s">
        <v>27</v>
      </c>
      <c r="I2866" t="s">
        <v>9</v>
      </c>
      <c r="J2866" s="24" t="s">
        <v>30</v>
      </c>
      <c r="K2866" s="24" t="s">
        <v>24</v>
      </c>
      <c r="L2866" s="24" t="s">
        <v>69</v>
      </c>
    </row>
    <row r="2867">
      <c r="A2867" s="24">
        <f t="shared" si="1"/>
        <v>2865</v>
      </c>
      <c r="B2867" s="24" t="s">
        <v>1115</v>
      </c>
      <c r="C2867" s="275">
        <v>43525.0</v>
      </c>
      <c r="D2867" s="24" t="str">
        <f t="shared" si="245"/>
        <v>Mar-2019</v>
      </c>
      <c r="E2867" t="s">
        <v>149</v>
      </c>
      <c r="F2867" s="24" t="s">
        <v>35</v>
      </c>
      <c r="G2867" s="24" t="s">
        <v>452</v>
      </c>
      <c r="H2867" s="24" t="s">
        <v>27</v>
      </c>
      <c r="I2867" t="s">
        <v>9</v>
      </c>
      <c r="J2867" s="24" t="s">
        <v>30</v>
      </c>
      <c r="K2867" s="24"/>
      <c r="L2867" s="24" t="s">
        <v>99</v>
      </c>
    </row>
    <row r="2868">
      <c r="A2868" s="24">
        <f t="shared" si="1"/>
        <v>2866</v>
      </c>
      <c r="B2868" s="24" t="s">
        <v>1115</v>
      </c>
      <c r="C2868" s="275">
        <v>43525.0</v>
      </c>
      <c r="D2868" s="24" t="str">
        <f t="shared" si="245"/>
        <v>Mar-2019</v>
      </c>
      <c r="E2868" t="s">
        <v>222</v>
      </c>
      <c r="F2868" s="24" t="s">
        <v>35</v>
      </c>
      <c r="G2868" s="24" t="s">
        <v>452</v>
      </c>
      <c r="H2868" s="24" t="s">
        <v>27</v>
      </c>
      <c r="I2868" t="s">
        <v>9</v>
      </c>
      <c r="J2868" s="24" t="s">
        <v>24</v>
      </c>
      <c r="K2868" s="24"/>
      <c r="L2868" s="24" t="s">
        <v>29</v>
      </c>
    </row>
    <row r="2869">
      <c r="A2869" s="24">
        <f t="shared" si="1"/>
        <v>2867</v>
      </c>
      <c r="B2869" s="24" t="s">
        <v>1115</v>
      </c>
      <c r="C2869" s="275">
        <v>43525.0</v>
      </c>
      <c r="D2869" s="24" t="str">
        <f t="shared" si="245"/>
        <v>Mar-2019</v>
      </c>
      <c r="E2869" t="s">
        <v>467</v>
      </c>
      <c r="F2869" s="24" t="s">
        <v>35</v>
      </c>
      <c r="G2869" s="24" t="s">
        <v>452</v>
      </c>
      <c r="H2869" s="24" t="s">
        <v>27</v>
      </c>
      <c r="I2869" t="s">
        <v>9</v>
      </c>
      <c r="J2869" s="24" t="s">
        <v>24</v>
      </c>
      <c r="K2869" s="24"/>
      <c r="L2869" s="24" t="s">
        <v>98</v>
      </c>
    </row>
    <row r="2870">
      <c r="A2870" s="24">
        <f t="shared" si="1"/>
        <v>2868</v>
      </c>
      <c r="B2870" s="24" t="s">
        <v>1115</v>
      </c>
      <c r="C2870" s="275">
        <v>43525.0</v>
      </c>
      <c r="D2870" s="24" t="str">
        <f t="shared" si="245"/>
        <v>Mar-2019</v>
      </c>
      <c r="E2870" t="s">
        <v>480</v>
      </c>
      <c r="F2870" s="24" t="s">
        <v>35</v>
      </c>
      <c r="G2870" s="24" t="s">
        <v>452</v>
      </c>
      <c r="H2870" s="24" t="s">
        <v>27</v>
      </c>
      <c r="I2870" t="s">
        <v>9</v>
      </c>
      <c r="J2870" s="24" t="s">
        <v>24</v>
      </c>
      <c r="K2870" s="24"/>
      <c r="L2870" s="24" t="s">
        <v>98</v>
      </c>
    </row>
    <row r="2871">
      <c r="A2871" s="24">
        <f t="shared" si="1"/>
        <v>2869</v>
      </c>
      <c r="B2871" s="24" t="s">
        <v>1117</v>
      </c>
      <c r="C2871" s="275">
        <v>43531.0</v>
      </c>
      <c r="D2871" s="24" t="str">
        <f t="shared" ref="D2871:D2878" si="246">TEXT(C2864:C2871, "mmm") &amp; "-" &amp; TEXT(C2864:C2871, "yyyy") </f>
        <v>Mar-2019</v>
      </c>
      <c r="E2871" t="s">
        <v>20</v>
      </c>
      <c r="F2871" s="24" t="s">
        <v>35</v>
      </c>
      <c r="G2871" s="24" t="s">
        <v>665</v>
      </c>
      <c r="H2871" s="24" t="s">
        <v>86</v>
      </c>
      <c r="I2871" t="s">
        <v>9</v>
      </c>
      <c r="J2871" s="24" t="s">
        <v>30</v>
      </c>
      <c r="K2871" s="24" t="s">
        <v>30</v>
      </c>
      <c r="L2871" s="24" t="s">
        <v>69</v>
      </c>
    </row>
    <row r="2872">
      <c r="A2872" s="24">
        <f t="shared" si="1"/>
        <v>2870</v>
      </c>
      <c r="B2872" s="24" t="s">
        <v>1117</v>
      </c>
      <c r="C2872" s="275">
        <v>43531.0</v>
      </c>
      <c r="D2872" s="24" t="str">
        <f t="shared" si="246"/>
        <v>Mar-2019</v>
      </c>
      <c r="E2872" t="s">
        <v>25</v>
      </c>
      <c r="F2872" s="24" t="s">
        <v>35</v>
      </c>
      <c r="G2872" s="24" t="s">
        <v>665</v>
      </c>
      <c r="H2872" s="24" t="s">
        <v>86</v>
      </c>
      <c r="I2872" t="s">
        <v>9</v>
      </c>
      <c r="J2872" s="24" t="s">
        <v>30</v>
      </c>
      <c r="K2872" s="24"/>
      <c r="L2872" s="24" t="s">
        <v>98</v>
      </c>
    </row>
    <row r="2873">
      <c r="A2873" s="24">
        <f t="shared" si="1"/>
        <v>2871</v>
      </c>
      <c r="B2873" s="24" t="s">
        <v>1117</v>
      </c>
      <c r="C2873" s="275">
        <v>43531.0</v>
      </c>
      <c r="D2873" s="24" t="str">
        <f t="shared" si="246"/>
        <v>Mar-2019</v>
      </c>
      <c r="E2873" t="s">
        <v>20</v>
      </c>
      <c r="F2873" s="24" t="s">
        <v>35</v>
      </c>
      <c r="G2873" s="24" t="s">
        <v>239</v>
      </c>
      <c r="H2873" s="24" t="s">
        <v>27</v>
      </c>
      <c r="I2873" t="s">
        <v>9</v>
      </c>
      <c r="J2873" s="24" t="s">
        <v>24</v>
      </c>
      <c r="K2873" s="24" t="s">
        <v>24</v>
      </c>
      <c r="L2873" s="24" t="s">
        <v>37</v>
      </c>
    </row>
    <row r="2874">
      <c r="A2874" s="24">
        <f t="shared" si="1"/>
        <v>2872</v>
      </c>
      <c r="B2874" s="24" t="s">
        <v>1117</v>
      </c>
      <c r="C2874" s="275">
        <v>43531.0</v>
      </c>
      <c r="D2874" s="24" t="str">
        <f t="shared" si="246"/>
        <v>Mar-2019</v>
      </c>
      <c r="E2874" t="s">
        <v>25</v>
      </c>
      <c r="F2874" s="24" t="s">
        <v>35</v>
      </c>
      <c r="G2874" s="24" t="s">
        <v>239</v>
      </c>
      <c r="H2874" s="24" t="s">
        <v>27</v>
      </c>
      <c r="I2874" t="s">
        <v>9</v>
      </c>
      <c r="J2874" s="24" t="s">
        <v>24</v>
      </c>
      <c r="K2874" s="24"/>
      <c r="L2874" s="24" t="s">
        <v>98</v>
      </c>
    </row>
    <row r="2875">
      <c r="A2875" s="24">
        <f t="shared" si="1"/>
        <v>2873</v>
      </c>
      <c r="B2875" s="24" t="s">
        <v>1117</v>
      </c>
      <c r="C2875" s="275">
        <v>43531.0</v>
      </c>
      <c r="D2875" s="24" t="str">
        <f t="shared" si="246"/>
        <v>Mar-2019</v>
      </c>
      <c r="E2875" t="s">
        <v>20</v>
      </c>
      <c r="F2875" s="24" t="s">
        <v>35</v>
      </c>
      <c r="G2875" s="24" t="s">
        <v>431</v>
      </c>
      <c r="H2875" s="24" t="s">
        <v>23</v>
      </c>
      <c r="I2875" t="s">
        <v>9</v>
      </c>
      <c r="J2875" s="24" t="s">
        <v>30</v>
      </c>
      <c r="K2875" s="24" t="s">
        <v>30</v>
      </c>
      <c r="L2875" s="24" t="s">
        <v>69</v>
      </c>
    </row>
    <row r="2876">
      <c r="A2876" s="24">
        <f t="shared" si="1"/>
        <v>2874</v>
      </c>
      <c r="B2876" s="24" t="s">
        <v>1117</v>
      </c>
      <c r="C2876" s="275">
        <v>43531.0</v>
      </c>
      <c r="D2876" s="24" t="str">
        <f t="shared" si="246"/>
        <v>Mar-2019</v>
      </c>
      <c r="E2876" t="s">
        <v>25</v>
      </c>
      <c r="F2876" s="24" t="s">
        <v>35</v>
      </c>
      <c r="G2876" s="24" t="s">
        <v>431</v>
      </c>
      <c r="H2876" s="24" t="s">
        <v>23</v>
      </c>
      <c r="I2876" t="s">
        <v>9</v>
      </c>
      <c r="J2876" s="24" t="s">
        <v>30</v>
      </c>
      <c r="K2876" s="24"/>
      <c r="L2876" s="24" t="s">
        <v>37</v>
      </c>
    </row>
    <row r="2877">
      <c r="A2877" s="24">
        <f t="shared" si="1"/>
        <v>2875</v>
      </c>
      <c r="B2877" s="24" t="s">
        <v>1117</v>
      </c>
      <c r="C2877" s="275">
        <v>43531.0</v>
      </c>
      <c r="D2877" s="24" t="str">
        <f t="shared" si="246"/>
        <v>Mar-2019</v>
      </c>
      <c r="E2877" t="s">
        <v>146</v>
      </c>
      <c r="F2877" s="24" t="s">
        <v>35</v>
      </c>
      <c r="G2877" s="24" t="s">
        <v>100</v>
      </c>
      <c r="H2877" s="24" t="s">
        <v>9</v>
      </c>
      <c r="I2877" t="s">
        <v>9</v>
      </c>
      <c r="J2877" s="24" t="s">
        <v>24</v>
      </c>
      <c r="K2877" s="24" t="s">
        <v>30</v>
      </c>
      <c r="L2877" s="24" t="s">
        <v>69</v>
      </c>
    </row>
    <row r="2878">
      <c r="A2878" s="24">
        <f t="shared" si="1"/>
        <v>2876</v>
      </c>
      <c r="B2878" s="24" t="s">
        <v>1117</v>
      </c>
      <c r="C2878" s="275">
        <v>43531.0</v>
      </c>
      <c r="D2878" s="24" t="str">
        <f t="shared" si="246"/>
        <v>Mar-2019</v>
      </c>
      <c r="E2878" t="s">
        <v>149</v>
      </c>
      <c r="F2878" s="24" t="s">
        <v>35</v>
      </c>
      <c r="G2878" s="24" t="s">
        <v>100</v>
      </c>
      <c r="H2878" s="24" t="s">
        <v>9</v>
      </c>
      <c r="I2878" t="s">
        <v>9</v>
      </c>
      <c r="J2878" s="24" t="s">
        <v>30</v>
      </c>
      <c r="K2878" s="24"/>
      <c r="L2878" s="24" t="s">
        <v>106</v>
      </c>
    </row>
    <row r="2879">
      <c r="A2879" s="24">
        <f t="shared" si="1"/>
        <v>2877</v>
      </c>
      <c r="B2879" s="24" t="s">
        <v>1117</v>
      </c>
      <c r="C2879" s="275">
        <v>43531.0</v>
      </c>
      <c r="D2879" s="24" t="str">
        <f t="shared" ref="D2879:D2885" si="247">TEXT(C2871:C2879, "mmm") &amp; "-" &amp; TEXT(C2871:C2879, "yyyy") </f>
        <v>Mar-2019</v>
      </c>
      <c r="E2879" t="s">
        <v>222</v>
      </c>
      <c r="F2879" s="24" t="s">
        <v>35</v>
      </c>
      <c r="G2879" s="24" t="s">
        <v>100</v>
      </c>
      <c r="H2879" s="24" t="s">
        <v>9</v>
      </c>
      <c r="I2879" t="s">
        <v>9</v>
      </c>
      <c r="J2879" s="24" t="s">
        <v>30</v>
      </c>
      <c r="K2879" s="24"/>
      <c r="L2879" s="24" t="s">
        <v>29</v>
      </c>
    </row>
    <row r="2880">
      <c r="A2880" s="24">
        <f t="shared" si="1"/>
        <v>2878</v>
      </c>
      <c r="B2880" s="24" t="s">
        <v>1117</v>
      </c>
      <c r="C2880" s="275">
        <v>43531.0</v>
      </c>
      <c r="D2880" s="24" t="str">
        <f t="shared" si="247"/>
        <v>Mar-2019</v>
      </c>
      <c r="E2880" t="s">
        <v>467</v>
      </c>
      <c r="F2880" s="24" t="s">
        <v>35</v>
      </c>
      <c r="G2880" s="24" t="s">
        <v>100</v>
      </c>
      <c r="H2880" s="24" t="s">
        <v>9</v>
      </c>
      <c r="I2880" t="s">
        <v>9</v>
      </c>
      <c r="J2880" s="24" t="s">
        <v>24</v>
      </c>
      <c r="K2880" s="24"/>
      <c r="L2880" s="24" t="s">
        <v>29</v>
      </c>
    </row>
    <row r="2881">
      <c r="A2881" s="24">
        <f t="shared" si="1"/>
        <v>2879</v>
      </c>
      <c r="B2881" s="24" t="s">
        <v>1117</v>
      </c>
      <c r="C2881" s="275">
        <v>43531.0</v>
      </c>
      <c r="D2881" s="24" t="str">
        <f t="shared" si="247"/>
        <v>Mar-2019</v>
      </c>
      <c r="E2881" t="s">
        <v>480</v>
      </c>
      <c r="F2881" s="24" t="s">
        <v>35</v>
      </c>
      <c r="G2881" s="24" t="s">
        <v>100</v>
      </c>
      <c r="H2881" s="24" t="s">
        <v>9</v>
      </c>
      <c r="I2881" t="s">
        <v>9</v>
      </c>
      <c r="J2881" s="24" t="s">
        <v>30</v>
      </c>
      <c r="K2881" s="24"/>
      <c r="L2881" s="24" t="s">
        <v>69</v>
      </c>
    </row>
    <row r="2882">
      <c r="A2882" s="24">
        <f t="shared" si="1"/>
        <v>2880</v>
      </c>
      <c r="B2882" s="24" t="s">
        <v>1117</v>
      </c>
      <c r="C2882" s="275">
        <v>43531.0</v>
      </c>
      <c r="D2882" s="24" t="str">
        <f t="shared" si="247"/>
        <v>Mar-2019</v>
      </c>
      <c r="E2882" t="s">
        <v>146</v>
      </c>
      <c r="F2882" s="24" t="s">
        <v>35</v>
      </c>
      <c r="G2882" s="24" t="s">
        <v>364</v>
      </c>
      <c r="H2882" s="24" t="s">
        <v>86</v>
      </c>
      <c r="I2882" t="s">
        <v>9</v>
      </c>
      <c r="J2882" s="24" t="s">
        <v>24</v>
      </c>
      <c r="K2882" s="24" t="s">
        <v>24</v>
      </c>
      <c r="L2882" s="24" t="s">
        <v>69</v>
      </c>
    </row>
    <row r="2883">
      <c r="A2883" s="24">
        <f t="shared" si="1"/>
        <v>2881</v>
      </c>
      <c r="B2883" s="24" t="s">
        <v>1117</v>
      </c>
      <c r="C2883" s="275">
        <v>43531.0</v>
      </c>
      <c r="D2883" s="24" t="str">
        <f t="shared" si="247"/>
        <v>Mar-2019</v>
      </c>
      <c r="E2883" t="s">
        <v>149</v>
      </c>
      <c r="F2883" s="24" t="s">
        <v>35</v>
      </c>
      <c r="G2883" s="24" t="s">
        <v>364</v>
      </c>
      <c r="H2883" s="24" t="s">
        <v>86</v>
      </c>
      <c r="I2883" t="s">
        <v>9</v>
      </c>
      <c r="J2883" s="24" t="s">
        <v>30</v>
      </c>
      <c r="K2883" s="24"/>
      <c r="L2883" s="24" t="s">
        <v>29</v>
      </c>
    </row>
    <row r="2884">
      <c r="A2884" s="24">
        <f t="shared" si="1"/>
        <v>2882</v>
      </c>
      <c r="B2884" s="24" t="s">
        <v>1117</v>
      </c>
      <c r="C2884" s="275">
        <v>43531.0</v>
      </c>
      <c r="D2884" s="24" t="str">
        <f t="shared" si="247"/>
        <v>Mar-2019</v>
      </c>
      <c r="E2884" t="s">
        <v>222</v>
      </c>
      <c r="F2884" s="24" t="s">
        <v>35</v>
      </c>
      <c r="G2884" s="24" t="s">
        <v>364</v>
      </c>
      <c r="H2884" s="24" t="s">
        <v>86</v>
      </c>
      <c r="I2884" t="s">
        <v>9</v>
      </c>
      <c r="J2884" s="24" t="s">
        <v>24</v>
      </c>
      <c r="K2884" s="24"/>
      <c r="L2884" s="24" t="s">
        <v>98</v>
      </c>
    </row>
    <row r="2885">
      <c r="A2885" s="24">
        <f t="shared" si="1"/>
        <v>2883</v>
      </c>
      <c r="B2885" s="24" t="s">
        <v>1117</v>
      </c>
      <c r="C2885" s="275">
        <v>43531.0</v>
      </c>
      <c r="D2885" s="24" t="str">
        <f t="shared" si="247"/>
        <v>Mar-2019</v>
      </c>
      <c r="E2885" t="s">
        <v>467</v>
      </c>
      <c r="F2885" s="24" t="s">
        <v>35</v>
      </c>
      <c r="G2885" s="24" t="s">
        <v>364</v>
      </c>
      <c r="H2885" s="24" t="s">
        <v>86</v>
      </c>
      <c r="I2885" t="s">
        <v>9</v>
      </c>
      <c r="J2885" s="24" t="s">
        <v>24</v>
      </c>
      <c r="K2885" s="24"/>
      <c r="L2885" s="24" t="s">
        <v>99</v>
      </c>
    </row>
    <row r="2886">
      <c r="A2886" s="24">
        <f t="shared" si="1"/>
        <v>2884</v>
      </c>
      <c r="B2886" s="24" t="s">
        <v>1120</v>
      </c>
      <c r="C2886" s="275">
        <v>43539.0</v>
      </c>
      <c r="D2886" s="24" t="str">
        <f t="shared" ref="D2886:D2893" si="248">TEXT(C2879:C2886, "mmm") &amp; "-" &amp; TEXT(C2879:C2886, "yyyy") </f>
        <v>Mar-2019</v>
      </c>
      <c r="E2886" t="s">
        <v>20</v>
      </c>
      <c r="F2886" s="24" t="s">
        <v>35</v>
      </c>
      <c r="G2886" s="24" t="s">
        <v>1121</v>
      </c>
      <c r="H2886" s="24" t="s">
        <v>27</v>
      </c>
      <c r="I2886" t="s">
        <v>9</v>
      </c>
      <c r="J2886" s="24" t="s">
        <v>30</v>
      </c>
      <c r="K2886" s="24" t="s">
        <v>30</v>
      </c>
      <c r="L2886" s="24" t="s">
        <v>98</v>
      </c>
    </row>
    <row r="2887">
      <c r="A2887" s="24">
        <f t="shared" si="1"/>
        <v>2885</v>
      </c>
      <c r="B2887" s="24" t="s">
        <v>1120</v>
      </c>
      <c r="C2887" s="275">
        <v>43539.0</v>
      </c>
      <c r="D2887" s="24" t="str">
        <f t="shared" si="248"/>
        <v>Mar-2019</v>
      </c>
      <c r="E2887" t="s">
        <v>25</v>
      </c>
      <c r="F2887" s="24" t="s">
        <v>35</v>
      </c>
      <c r="G2887" s="24" t="s">
        <v>1121</v>
      </c>
      <c r="H2887" s="24" t="s">
        <v>27</v>
      </c>
      <c r="I2887" t="s">
        <v>9</v>
      </c>
      <c r="J2887" s="24" t="s">
        <v>30</v>
      </c>
      <c r="K2887" s="24"/>
      <c r="L2887" s="24" t="s">
        <v>29</v>
      </c>
    </row>
    <row r="2888">
      <c r="A2888" s="24">
        <f t="shared" si="1"/>
        <v>2886</v>
      </c>
      <c r="B2888" s="24" t="s">
        <v>1120</v>
      </c>
      <c r="C2888" s="275">
        <v>43539.0</v>
      </c>
      <c r="D2888" s="24" t="str">
        <f t="shared" si="248"/>
        <v>Mar-2019</v>
      </c>
      <c r="E2888" t="s">
        <v>20</v>
      </c>
      <c r="F2888" s="24" t="s">
        <v>35</v>
      </c>
      <c r="G2888" s="24" t="s">
        <v>407</v>
      </c>
      <c r="H2888" s="24" t="s">
        <v>44</v>
      </c>
      <c r="I2888" t="s">
        <v>9</v>
      </c>
      <c r="J2888" s="24" t="s">
        <v>30</v>
      </c>
      <c r="K2888" s="24" t="s">
        <v>30</v>
      </c>
      <c r="L2888" s="24" t="s">
        <v>69</v>
      </c>
    </row>
    <row r="2889">
      <c r="A2889" s="24">
        <f t="shared" si="1"/>
        <v>2887</v>
      </c>
      <c r="B2889" s="24" t="s">
        <v>1120</v>
      </c>
      <c r="C2889" s="275">
        <v>43539.0</v>
      </c>
      <c r="D2889" s="24" t="str">
        <f t="shared" si="248"/>
        <v>Mar-2019</v>
      </c>
      <c r="E2889" t="s">
        <v>25</v>
      </c>
      <c r="F2889" s="24" t="s">
        <v>35</v>
      </c>
      <c r="G2889" s="24" t="s">
        <v>407</v>
      </c>
      <c r="H2889" s="24" t="s">
        <v>44</v>
      </c>
      <c r="I2889" t="s">
        <v>9</v>
      </c>
      <c r="J2889" s="24" t="s">
        <v>24</v>
      </c>
      <c r="K2889" s="24"/>
      <c r="L2889" s="24" t="s">
        <v>69</v>
      </c>
    </row>
    <row r="2890">
      <c r="A2890" s="24">
        <f t="shared" si="1"/>
        <v>2888</v>
      </c>
      <c r="B2890" s="24" t="s">
        <v>1120</v>
      </c>
      <c r="C2890" s="275">
        <v>43539.0</v>
      </c>
      <c r="D2890" s="24" t="str">
        <f t="shared" si="248"/>
        <v>Mar-2019</v>
      </c>
      <c r="E2890" t="s">
        <v>32</v>
      </c>
      <c r="F2890" s="24" t="s">
        <v>35</v>
      </c>
      <c r="G2890" s="24" t="s">
        <v>407</v>
      </c>
      <c r="H2890" s="24" t="s">
        <v>44</v>
      </c>
      <c r="I2890" t="s">
        <v>9</v>
      </c>
      <c r="J2890" s="24" t="s">
        <v>30</v>
      </c>
      <c r="K2890" s="24"/>
      <c r="L2890" s="24" t="s">
        <v>106</v>
      </c>
    </row>
    <row r="2891">
      <c r="A2891" s="24">
        <f t="shared" si="1"/>
        <v>2889</v>
      </c>
      <c r="B2891" s="24" t="s">
        <v>1120</v>
      </c>
      <c r="C2891" s="275">
        <v>43539.0</v>
      </c>
      <c r="D2891" s="24" t="str">
        <f t="shared" si="248"/>
        <v>Mar-2019</v>
      </c>
      <c r="E2891" t="s">
        <v>20</v>
      </c>
      <c r="F2891" s="24" t="s">
        <v>35</v>
      </c>
      <c r="G2891" s="24" t="s">
        <v>607</v>
      </c>
      <c r="H2891" s="24" t="s">
        <v>44</v>
      </c>
      <c r="I2891" t="s">
        <v>9</v>
      </c>
      <c r="J2891" s="24" t="s">
        <v>24</v>
      </c>
      <c r="K2891" s="24" t="s">
        <v>24</v>
      </c>
      <c r="L2891" s="24" t="s">
        <v>98</v>
      </c>
    </row>
    <row r="2892">
      <c r="A2892" s="24">
        <f t="shared" si="1"/>
        <v>2890</v>
      </c>
      <c r="B2892" s="24" t="s">
        <v>1120</v>
      </c>
      <c r="C2892" s="275">
        <v>43539.0</v>
      </c>
      <c r="D2892" s="24" t="str">
        <f t="shared" si="248"/>
        <v>Mar-2019</v>
      </c>
      <c r="E2892" t="s">
        <v>25</v>
      </c>
      <c r="F2892" s="24" t="s">
        <v>35</v>
      </c>
      <c r="G2892" s="24" t="s">
        <v>607</v>
      </c>
      <c r="H2892" s="24" t="s">
        <v>44</v>
      </c>
      <c r="I2892" t="s">
        <v>9</v>
      </c>
      <c r="J2892" s="24" t="s">
        <v>24</v>
      </c>
      <c r="K2892" s="24"/>
      <c r="L2892" s="24" t="s">
        <v>69</v>
      </c>
    </row>
    <row r="2893">
      <c r="A2893" s="24">
        <f t="shared" si="1"/>
        <v>2891</v>
      </c>
      <c r="B2893" s="24" t="s">
        <v>1120</v>
      </c>
      <c r="C2893" s="275">
        <v>43539.0</v>
      </c>
      <c r="D2893" s="24" t="str">
        <f t="shared" si="248"/>
        <v>Mar-2019</v>
      </c>
      <c r="E2893" t="s">
        <v>20</v>
      </c>
      <c r="F2893" s="24" t="s">
        <v>35</v>
      </c>
      <c r="G2893" s="24" t="s">
        <v>633</v>
      </c>
      <c r="H2893" s="24" t="s">
        <v>27</v>
      </c>
      <c r="I2893" t="s">
        <v>9</v>
      </c>
      <c r="J2893" s="24" t="s">
        <v>24</v>
      </c>
      <c r="K2893" s="24" t="s">
        <v>24</v>
      </c>
      <c r="L2893" s="24" t="s">
        <v>29</v>
      </c>
    </row>
    <row r="2894">
      <c r="A2894" s="24">
        <f t="shared" si="1"/>
        <v>2892</v>
      </c>
      <c r="B2894" s="24" t="s">
        <v>1120</v>
      </c>
      <c r="C2894" s="275">
        <v>43539.0</v>
      </c>
      <c r="D2894" s="24" t="str">
        <f t="shared" ref="D2894:D2895" si="249">TEXT(C2886:C2894, "mmm") &amp; "-" &amp; TEXT(C2886:C2894, "yyyy") </f>
        <v>Mar-2019</v>
      </c>
      <c r="E2894" t="s">
        <v>25</v>
      </c>
      <c r="F2894" s="24" t="s">
        <v>35</v>
      </c>
      <c r="G2894" s="24" t="s">
        <v>633</v>
      </c>
      <c r="H2894" s="24" t="s">
        <v>27</v>
      </c>
      <c r="I2894" t="s">
        <v>9</v>
      </c>
      <c r="J2894" s="24" t="s">
        <v>30</v>
      </c>
      <c r="K2894" s="24"/>
      <c r="L2894" s="24" t="s">
        <v>106</v>
      </c>
    </row>
    <row r="2895">
      <c r="A2895" s="24">
        <f t="shared" si="1"/>
        <v>2893</v>
      </c>
      <c r="B2895" s="24" t="s">
        <v>1120</v>
      </c>
      <c r="C2895" s="275">
        <v>43539.0</v>
      </c>
      <c r="D2895" s="24" t="str">
        <f t="shared" si="249"/>
        <v>Mar-2019</v>
      </c>
      <c r="E2895" t="s">
        <v>32</v>
      </c>
      <c r="F2895" s="24" t="s">
        <v>35</v>
      </c>
      <c r="G2895" s="24" t="s">
        <v>633</v>
      </c>
      <c r="H2895" s="24" t="s">
        <v>27</v>
      </c>
      <c r="I2895" t="s">
        <v>9</v>
      </c>
      <c r="J2895" s="24" t="s">
        <v>24</v>
      </c>
      <c r="K2895" s="24"/>
      <c r="L2895" s="24" t="s">
        <v>69</v>
      </c>
    </row>
    <row r="2896">
      <c r="A2896" s="24">
        <f t="shared" si="1"/>
        <v>2894</v>
      </c>
      <c r="B2896" s="24" t="s">
        <v>1123</v>
      </c>
      <c r="C2896" s="275">
        <v>43553.0</v>
      </c>
      <c r="D2896" s="24" t="str">
        <f t="shared" ref="D2896:D2903" si="250">TEXT(C2889:C2896, "mmm") &amp; "-" &amp; TEXT(C2889:C2896, "yyyy") </f>
        <v>Mar-2019</v>
      </c>
      <c r="E2896" t="s">
        <v>20</v>
      </c>
      <c r="F2896" s="24" t="s">
        <v>35</v>
      </c>
      <c r="G2896" s="24" t="s">
        <v>1124</v>
      </c>
      <c r="H2896" s="24" t="s">
        <v>9</v>
      </c>
      <c r="I2896" s="24" t="s">
        <v>9</v>
      </c>
      <c r="J2896" s="24" t="s">
        <v>30</v>
      </c>
      <c r="K2896" s="24" t="s">
        <v>30</v>
      </c>
      <c r="L2896" s="24" t="s">
        <v>98</v>
      </c>
    </row>
    <row r="2897">
      <c r="A2897" s="24">
        <f t="shared" si="1"/>
        <v>2895</v>
      </c>
      <c r="B2897" s="24" t="s">
        <v>1123</v>
      </c>
      <c r="C2897" s="275">
        <v>43553.0</v>
      </c>
      <c r="D2897" s="24" t="str">
        <f t="shared" si="250"/>
        <v>Mar-2019</v>
      </c>
      <c r="E2897" t="s">
        <v>25</v>
      </c>
      <c r="F2897" s="24" t="s">
        <v>35</v>
      </c>
      <c r="G2897" s="24" t="s">
        <v>1124</v>
      </c>
      <c r="H2897" s="24" t="s">
        <v>9</v>
      </c>
      <c r="I2897" s="24" t="s">
        <v>9</v>
      </c>
      <c r="J2897" s="24" t="s">
        <v>719</v>
      </c>
      <c r="K2897" s="24"/>
      <c r="L2897" s="24" t="s">
        <v>1125</v>
      </c>
    </row>
    <row r="2898">
      <c r="A2898" s="24">
        <f t="shared" si="1"/>
        <v>2896</v>
      </c>
      <c r="B2898" s="24" t="s">
        <v>1123</v>
      </c>
      <c r="C2898" s="275">
        <v>43553.0</v>
      </c>
      <c r="D2898" s="24" t="str">
        <f t="shared" si="250"/>
        <v>Mar-2019</v>
      </c>
      <c r="E2898" t="s">
        <v>20</v>
      </c>
      <c r="F2898" s="24" t="s">
        <v>35</v>
      </c>
      <c r="G2898" s="24" t="s">
        <v>989</v>
      </c>
      <c r="H2898" s="24" t="s">
        <v>27</v>
      </c>
      <c r="I2898" s="24" t="s">
        <v>9</v>
      </c>
      <c r="J2898" s="24" t="s">
        <v>30</v>
      </c>
      <c r="K2898" s="24" t="s">
        <v>30</v>
      </c>
      <c r="L2898" s="24" t="s">
        <v>37</v>
      </c>
    </row>
    <row r="2899">
      <c r="A2899" s="24">
        <f t="shared" si="1"/>
        <v>2897</v>
      </c>
      <c r="B2899" s="24" t="s">
        <v>1123</v>
      </c>
      <c r="C2899" s="275">
        <v>43553.0</v>
      </c>
      <c r="D2899" s="24" t="str">
        <f t="shared" si="250"/>
        <v>Mar-2019</v>
      </c>
      <c r="E2899" t="s">
        <v>25</v>
      </c>
      <c r="F2899" s="24" t="s">
        <v>35</v>
      </c>
      <c r="G2899" s="24" t="s">
        <v>989</v>
      </c>
      <c r="H2899" s="24" t="s">
        <v>27</v>
      </c>
      <c r="I2899" s="24" t="s">
        <v>9</v>
      </c>
      <c r="J2899" s="24" t="s">
        <v>24</v>
      </c>
      <c r="K2899" s="24"/>
      <c r="L2899" s="24" t="s">
        <v>98</v>
      </c>
    </row>
    <row r="2900">
      <c r="A2900" s="24">
        <f t="shared" si="1"/>
        <v>2898</v>
      </c>
      <c r="B2900" s="24" t="s">
        <v>1123</v>
      </c>
      <c r="C2900" s="275">
        <v>43553.0</v>
      </c>
      <c r="D2900" s="24" t="str">
        <f t="shared" si="250"/>
        <v>Mar-2019</v>
      </c>
      <c r="E2900" t="s">
        <v>32</v>
      </c>
      <c r="F2900" s="24" t="s">
        <v>35</v>
      </c>
      <c r="G2900" s="24" t="s">
        <v>989</v>
      </c>
      <c r="H2900" s="24" t="s">
        <v>27</v>
      </c>
      <c r="I2900" s="24" t="s">
        <v>9</v>
      </c>
      <c r="J2900" s="24" t="s">
        <v>30</v>
      </c>
      <c r="K2900" s="24"/>
      <c r="L2900" s="24" t="s">
        <v>106</v>
      </c>
    </row>
    <row r="2901">
      <c r="A2901" s="24">
        <f t="shared" si="1"/>
        <v>2899</v>
      </c>
      <c r="B2901" s="24" t="s">
        <v>1123</v>
      </c>
      <c r="C2901" s="275">
        <v>43553.0</v>
      </c>
      <c r="D2901" s="24" t="str">
        <f t="shared" si="250"/>
        <v>Mar-2019</v>
      </c>
      <c r="E2901" t="s">
        <v>146</v>
      </c>
      <c r="F2901" s="24" t="s">
        <v>35</v>
      </c>
      <c r="G2901" s="24" t="s">
        <v>394</v>
      </c>
      <c r="H2901" s="24" t="s">
        <v>27</v>
      </c>
      <c r="I2901" s="24" t="s">
        <v>9</v>
      </c>
      <c r="J2901" s="24" t="s">
        <v>24</v>
      </c>
      <c r="K2901" s="24" t="s">
        <v>30</v>
      </c>
      <c r="L2901" s="24" t="s">
        <v>37</v>
      </c>
    </row>
    <row r="2902">
      <c r="A2902" s="24">
        <f t="shared" si="1"/>
        <v>2900</v>
      </c>
      <c r="B2902" s="24" t="s">
        <v>1123</v>
      </c>
      <c r="C2902" s="275">
        <v>43553.0</v>
      </c>
      <c r="D2902" s="24" t="str">
        <f t="shared" si="250"/>
        <v>Mar-2019</v>
      </c>
      <c r="E2902" t="s">
        <v>149</v>
      </c>
      <c r="F2902" s="24" t="s">
        <v>35</v>
      </c>
      <c r="G2902" s="24" t="s">
        <v>394</v>
      </c>
      <c r="H2902" s="24" t="s">
        <v>27</v>
      </c>
      <c r="I2902" s="24" t="s">
        <v>9</v>
      </c>
      <c r="J2902" s="24" t="s">
        <v>30</v>
      </c>
      <c r="K2902" s="24"/>
      <c r="L2902" s="24" t="s">
        <v>106</v>
      </c>
    </row>
    <row r="2903">
      <c r="A2903" s="24">
        <f t="shared" si="1"/>
        <v>2901</v>
      </c>
      <c r="B2903" s="24" t="s">
        <v>1123</v>
      </c>
      <c r="C2903" s="275">
        <v>43553.0</v>
      </c>
      <c r="D2903" s="24" t="str">
        <f t="shared" si="250"/>
        <v>Mar-2019</v>
      </c>
      <c r="E2903" t="s">
        <v>222</v>
      </c>
      <c r="F2903" s="24" t="s">
        <v>35</v>
      </c>
      <c r="G2903" s="24" t="s">
        <v>394</v>
      </c>
      <c r="H2903" s="24" t="s">
        <v>27</v>
      </c>
      <c r="I2903" s="24" t="s">
        <v>9</v>
      </c>
      <c r="J2903" s="24" t="s">
        <v>30</v>
      </c>
      <c r="K2903" s="24"/>
      <c r="L2903" s="24" t="s">
        <v>69</v>
      </c>
    </row>
    <row r="2904">
      <c r="A2904" s="24">
        <f t="shared" si="1"/>
        <v>2902</v>
      </c>
      <c r="B2904" s="24" t="s">
        <v>1123</v>
      </c>
      <c r="C2904" s="275">
        <v>43553.0</v>
      </c>
      <c r="D2904" s="24" t="str">
        <f t="shared" ref="D2904:D2912" si="251">TEXT(C2896:C2904, "mmm") &amp; "-" &amp; TEXT(C2896:C2904, "yyyy") </f>
        <v>Mar-2019</v>
      </c>
      <c r="E2904" t="s">
        <v>467</v>
      </c>
      <c r="F2904" s="24" t="s">
        <v>35</v>
      </c>
      <c r="G2904" s="24" t="s">
        <v>394</v>
      </c>
      <c r="H2904" s="24" t="s">
        <v>27</v>
      </c>
      <c r="I2904" s="24" t="s">
        <v>9</v>
      </c>
      <c r="J2904" s="24" t="s">
        <v>30</v>
      </c>
      <c r="K2904" s="24"/>
      <c r="L2904" s="24" t="s">
        <v>29</v>
      </c>
    </row>
    <row r="2905">
      <c r="A2905" s="24">
        <f t="shared" si="1"/>
        <v>2903</v>
      </c>
      <c r="B2905" s="24" t="s">
        <v>1123</v>
      </c>
      <c r="C2905" s="275">
        <v>43553.0</v>
      </c>
      <c r="D2905" s="24" t="str">
        <f t="shared" si="251"/>
        <v>Mar-2019</v>
      </c>
      <c r="E2905" t="s">
        <v>146</v>
      </c>
      <c r="F2905" s="24" t="s">
        <v>35</v>
      </c>
      <c r="G2905" s="24" t="s">
        <v>393</v>
      </c>
      <c r="H2905" s="24" t="s">
        <v>102</v>
      </c>
      <c r="I2905" s="24" t="s">
        <v>9</v>
      </c>
      <c r="J2905" s="24" t="s">
        <v>30</v>
      </c>
      <c r="K2905" s="24" t="s">
        <v>24</v>
      </c>
      <c r="L2905" s="24" t="s">
        <v>99</v>
      </c>
    </row>
    <row r="2906">
      <c r="A2906" s="24">
        <f t="shared" si="1"/>
        <v>2904</v>
      </c>
      <c r="B2906" s="24" t="s">
        <v>1123</v>
      </c>
      <c r="C2906" s="275">
        <v>43553.0</v>
      </c>
      <c r="D2906" s="24" t="str">
        <f t="shared" si="251"/>
        <v>Mar-2019</v>
      </c>
      <c r="E2906" t="s">
        <v>149</v>
      </c>
      <c r="F2906" s="24" t="s">
        <v>35</v>
      </c>
      <c r="G2906" s="24" t="s">
        <v>393</v>
      </c>
      <c r="H2906" s="24" t="s">
        <v>102</v>
      </c>
      <c r="I2906" s="24" t="s">
        <v>9</v>
      </c>
      <c r="J2906" s="24" t="s">
        <v>24</v>
      </c>
      <c r="K2906" s="24"/>
      <c r="L2906" s="24" t="s">
        <v>29</v>
      </c>
    </row>
    <row r="2907">
      <c r="A2907" s="24">
        <f t="shared" si="1"/>
        <v>2905</v>
      </c>
      <c r="B2907" s="24" t="s">
        <v>1123</v>
      </c>
      <c r="C2907" s="275">
        <v>43553.0</v>
      </c>
      <c r="D2907" s="24" t="str">
        <f t="shared" si="251"/>
        <v>Mar-2019</v>
      </c>
      <c r="E2907" t="s">
        <v>222</v>
      </c>
      <c r="F2907" s="24" t="s">
        <v>35</v>
      </c>
      <c r="G2907" s="24" t="s">
        <v>393</v>
      </c>
      <c r="H2907" s="24" t="s">
        <v>102</v>
      </c>
      <c r="I2907" s="24" t="s">
        <v>9</v>
      </c>
      <c r="J2907" s="24" t="s">
        <v>24</v>
      </c>
      <c r="K2907" s="24"/>
      <c r="L2907" s="24" t="s">
        <v>69</v>
      </c>
    </row>
    <row r="2908">
      <c r="A2908" s="24">
        <f t="shared" si="1"/>
        <v>2906</v>
      </c>
      <c r="B2908" s="24" t="s">
        <v>1123</v>
      </c>
      <c r="C2908" s="275">
        <v>43553.0</v>
      </c>
      <c r="D2908" s="24" t="str">
        <f t="shared" si="251"/>
        <v>Mar-2019</v>
      </c>
      <c r="E2908" t="s">
        <v>467</v>
      </c>
      <c r="F2908" s="24" t="s">
        <v>35</v>
      </c>
      <c r="G2908" s="24" t="s">
        <v>393</v>
      </c>
      <c r="H2908" s="24" t="s">
        <v>102</v>
      </c>
      <c r="I2908" s="24" t="s">
        <v>9</v>
      </c>
      <c r="J2908" s="24" t="s">
        <v>24</v>
      </c>
      <c r="K2908" s="24"/>
      <c r="L2908" s="24" t="s">
        <v>106</v>
      </c>
    </row>
    <row r="2909">
      <c r="A2909" s="24">
        <f t="shared" si="1"/>
        <v>2907</v>
      </c>
      <c r="B2909" s="24" t="s">
        <v>1123</v>
      </c>
      <c r="C2909" s="275">
        <v>43553.0</v>
      </c>
      <c r="D2909" s="24" t="str">
        <f t="shared" si="251"/>
        <v>Mar-2019</v>
      </c>
      <c r="E2909" t="s">
        <v>146</v>
      </c>
      <c r="F2909" s="24" t="s">
        <v>35</v>
      </c>
      <c r="G2909" s="24" t="s">
        <v>989</v>
      </c>
      <c r="H2909" s="24" t="s">
        <v>86</v>
      </c>
      <c r="I2909" s="24" t="s">
        <v>9</v>
      </c>
      <c r="J2909" s="24" t="s">
        <v>24</v>
      </c>
      <c r="K2909" s="24" t="s">
        <v>24</v>
      </c>
      <c r="L2909" s="24" t="s">
        <v>29</v>
      </c>
    </row>
    <row r="2910">
      <c r="A2910" s="24">
        <f t="shared" si="1"/>
        <v>2908</v>
      </c>
      <c r="B2910" s="24" t="s">
        <v>1123</v>
      </c>
      <c r="C2910" s="275">
        <v>43553.0</v>
      </c>
      <c r="D2910" s="24" t="str">
        <f t="shared" si="251"/>
        <v>Mar-2019</v>
      </c>
      <c r="E2910" t="s">
        <v>149</v>
      </c>
      <c r="F2910" s="24" t="s">
        <v>35</v>
      </c>
      <c r="G2910" s="24" t="s">
        <v>989</v>
      </c>
      <c r="H2910" s="24" t="s">
        <v>27</v>
      </c>
      <c r="I2910" s="24" t="s">
        <v>9</v>
      </c>
      <c r="J2910" s="24" t="s">
        <v>30</v>
      </c>
      <c r="K2910" s="24"/>
      <c r="L2910" s="24" t="s">
        <v>99</v>
      </c>
    </row>
    <row r="2911">
      <c r="A2911" s="24">
        <f t="shared" si="1"/>
        <v>2909</v>
      </c>
      <c r="B2911" s="24" t="s">
        <v>1123</v>
      </c>
      <c r="C2911" s="275">
        <v>43553.0</v>
      </c>
      <c r="D2911" s="24" t="str">
        <f t="shared" si="251"/>
        <v>Mar-2019</v>
      </c>
      <c r="E2911" t="s">
        <v>222</v>
      </c>
      <c r="F2911" s="24" t="s">
        <v>35</v>
      </c>
      <c r="G2911" s="24" t="s">
        <v>989</v>
      </c>
      <c r="H2911" s="24" t="s">
        <v>86</v>
      </c>
      <c r="I2911" s="24" t="s">
        <v>9</v>
      </c>
      <c r="J2911" s="24" t="s">
        <v>24</v>
      </c>
      <c r="K2911" s="24"/>
      <c r="L2911" s="24" t="s">
        <v>37</v>
      </c>
    </row>
    <row r="2912">
      <c r="A2912" s="24">
        <f t="shared" si="1"/>
        <v>2910</v>
      </c>
      <c r="B2912" s="24" t="s">
        <v>1123</v>
      </c>
      <c r="C2912" s="275">
        <v>43553.0</v>
      </c>
      <c r="D2912" s="24" t="str">
        <f t="shared" si="251"/>
        <v>Mar-2019</v>
      </c>
      <c r="E2912" t="s">
        <v>467</v>
      </c>
      <c r="F2912" s="24" t="s">
        <v>35</v>
      </c>
      <c r="G2912" s="24" t="s">
        <v>989</v>
      </c>
      <c r="H2912" s="24" t="s">
        <v>86</v>
      </c>
      <c r="I2912" s="24" t="s">
        <v>9</v>
      </c>
      <c r="J2912" s="24" t="s">
        <v>24</v>
      </c>
      <c r="K2912" s="24"/>
      <c r="L2912" s="24" t="s">
        <v>69</v>
      </c>
    </row>
    <row r="2913">
      <c r="A2913" s="24">
        <f t="shared" si="1"/>
        <v>2911</v>
      </c>
      <c r="B2913" s="24" t="s">
        <v>1127</v>
      </c>
      <c r="C2913" s="275">
        <v>43558.0</v>
      </c>
      <c r="D2913" s="24" t="str">
        <f t="shared" ref="D2913:D2920" si="252">TEXT(C2906:C2913, "mmm") &amp; "-" &amp; TEXT(C2906:C2913, "yyyy") </f>
        <v>Apr-2019</v>
      </c>
      <c r="E2913" t="s">
        <v>20</v>
      </c>
      <c r="F2913" s="24" t="s">
        <v>35</v>
      </c>
      <c r="G2913" s="24" t="s">
        <v>1128</v>
      </c>
      <c r="H2913" s="24" t="s">
        <v>97</v>
      </c>
      <c r="I2913" s="24" t="s">
        <v>9</v>
      </c>
      <c r="J2913" s="24" t="s">
        <v>30</v>
      </c>
      <c r="K2913" s="24" t="s">
        <v>30</v>
      </c>
      <c r="L2913" s="24" t="s">
        <v>69</v>
      </c>
    </row>
    <row r="2914">
      <c r="A2914" s="24">
        <f t="shared" si="1"/>
        <v>2912</v>
      </c>
      <c r="B2914" s="24" t="s">
        <v>1127</v>
      </c>
      <c r="C2914" s="275">
        <v>43558.0</v>
      </c>
      <c r="D2914" s="24" t="str">
        <f t="shared" si="252"/>
        <v>Apr-2019</v>
      </c>
      <c r="E2914" t="s">
        <v>25</v>
      </c>
      <c r="F2914" s="24" t="s">
        <v>35</v>
      </c>
      <c r="G2914" s="24" t="s">
        <v>1128</v>
      </c>
      <c r="H2914" s="24" t="s">
        <v>97</v>
      </c>
      <c r="I2914" s="24" t="s">
        <v>9</v>
      </c>
      <c r="J2914" s="24" t="s">
        <v>30</v>
      </c>
      <c r="K2914" s="24"/>
      <c r="L2914" s="24" t="s">
        <v>99</v>
      </c>
    </row>
    <row r="2915">
      <c r="A2915" s="24">
        <f t="shared" si="1"/>
        <v>2913</v>
      </c>
      <c r="B2915" s="24" t="s">
        <v>1127</v>
      </c>
      <c r="C2915" s="275">
        <v>43558.0</v>
      </c>
      <c r="D2915" s="24" t="str">
        <f t="shared" si="252"/>
        <v>Apr-2019</v>
      </c>
      <c r="E2915" t="s">
        <v>20</v>
      </c>
      <c r="F2915" s="24" t="s">
        <v>35</v>
      </c>
      <c r="G2915" s="24" t="s">
        <v>424</v>
      </c>
      <c r="H2915" s="24" t="s">
        <v>9</v>
      </c>
      <c r="I2915" s="24" t="s">
        <v>9</v>
      </c>
      <c r="J2915" s="24" t="s">
        <v>24</v>
      </c>
      <c r="K2915" s="24" t="s">
        <v>24</v>
      </c>
      <c r="L2915" s="24" t="s">
        <v>98</v>
      </c>
    </row>
    <row r="2916">
      <c r="A2916" s="24">
        <f t="shared" si="1"/>
        <v>2914</v>
      </c>
      <c r="B2916" s="24" t="s">
        <v>1127</v>
      </c>
      <c r="C2916" s="275">
        <v>43558.0</v>
      </c>
      <c r="D2916" s="24" t="str">
        <f t="shared" si="252"/>
        <v>Apr-2019</v>
      </c>
      <c r="E2916" t="s">
        <v>25</v>
      </c>
      <c r="F2916" s="24" t="s">
        <v>35</v>
      </c>
      <c r="G2916" s="24" t="s">
        <v>424</v>
      </c>
      <c r="H2916" s="24" t="s">
        <v>9</v>
      </c>
      <c r="I2916" s="24" t="s">
        <v>9</v>
      </c>
      <c r="J2916" s="24" t="s">
        <v>30</v>
      </c>
      <c r="K2916" s="24"/>
      <c r="L2916" s="24" t="s">
        <v>69</v>
      </c>
    </row>
    <row r="2917">
      <c r="A2917" s="24">
        <f t="shared" si="1"/>
        <v>2915</v>
      </c>
      <c r="B2917" s="24" t="s">
        <v>1127</v>
      </c>
      <c r="C2917" s="275">
        <v>43558.0</v>
      </c>
      <c r="D2917" s="24" t="str">
        <f t="shared" si="252"/>
        <v>Apr-2019</v>
      </c>
      <c r="E2917" t="s">
        <v>32</v>
      </c>
      <c r="F2917" s="24" t="s">
        <v>35</v>
      </c>
      <c r="G2917" s="24" t="s">
        <v>424</v>
      </c>
      <c r="H2917" s="24" t="s">
        <v>9</v>
      </c>
      <c r="I2917" s="24" t="s">
        <v>9</v>
      </c>
      <c r="J2917" s="24" t="s">
        <v>24</v>
      </c>
      <c r="K2917" s="24"/>
      <c r="L2917" s="24" t="s">
        <v>106</v>
      </c>
    </row>
    <row r="2918">
      <c r="A2918" s="24">
        <f t="shared" si="1"/>
        <v>2916</v>
      </c>
      <c r="B2918" s="24" t="s">
        <v>1127</v>
      </c>
      <c r="C2918" s="275">
        <v>43558.0</v>
      </c>
      <c r="D2918" s="24" t="str">
        <f t="shared" si="252"/>
        <v>Apr-2019</v>
      </c>
      <c r="E2918" t="s">
        <v>20</v>
      </c>
      <c r="F2918" s="24" t="s">
        <v>35</v>
      </c>
      <c r="G2918" s="24" t="s">
        <v>371</v>
      </c>
      <c r="H2918" s="24" t="s">
        <v>44</v>
      </c>
      <c r="I2918" s="24" t="s">
        <v>9</v>
      </c>
      <c r="J2918" s="24" t="s">
        <v>30</v>
      </c>
      <c r="K2918" s="24" t="s">
        <v>30</v>
      </c>
      <c r="L2918" s="24" t="s">
        <v>69</v>
      </c>
    </row>
    <row r="2919">
      <c r="A2919" s="24">
        <f t="shared" si="1"/>
        <v>2917</v>
      </c>
      <c r="B2919" s="24" t="s">
        <v>1127</v>
      </c>
      <c r="C2919" s="275">
        <v>43558.0</v>
      </c>
      <c r="D2919" s="24" t="str">
        <f t="shared" si="252"/>
        <v>Apr-2019</v>
      </c>
      <c r="E2919" t="s">
        <v>25</v>
      </c>
      <c r="F2919" s="24" t="s">
        <v>35</v>
      </c>
      <c r="G2919" s="24" t="s">
        <v>371</v>
      </c>
      <c r="H2919" s="24" t="s">
        <v>44</v>
      </c>
      <c r="I2919" s="24" t="s">
        <v>9</v>
      </c>
      <c r="J2919" s="24" t="s">
        <v>30</v>
      </c>
      <c r="K2919" s="24"/>
      <c r="L2919" s="24" t="s">
        <v>69</v>
      </c>
    </row>
    <row r="2920">
      <c r="A2920" s="24">
        <f t="shared" si="1"/>
        <v>2918</v>
      </c>
      <c r="B2920" s="24" t="s">
        <v>1127</v>
      </c>
      <c r="C2920" s="275">
        <v>43558.0</v>
      </c>
      <c r="D2920" s="24" t="str">
        <f t="shared" si="252"/>
        <v>Apr-2019</v>
      </c>
      <c r="E2920" t="s">
        <v>20</v>
      </c>
      <c r="F2920" s="24" t="s">
        <v>35</v>
      </c>
      <c r="G2920" s="24" t="s">
        <v>1093</v>
      </c>
      <c r="H2920" s="24" t="s">
        <v>86</v>
      </c>
      <c r="I2920" s="24" t="s">
        <v>9</v>
      </c>
      <c r="J2920" s="24" t="s">
        <v>24</v>
      </c>
      <c r="K2920" s="24" t="s">
        <v>24</v>
      </c>
      <c r="L2920" s="24" t="s">
        <v>99</v>
      </c>
    </row>
    <row r="2921">
      <c r="A2921" s="24">
        <f t="shared" si="1"/>
        <v>2919</v>
      </c>
      <c r="B2921" s="24" t="s">
        <v>1127</v>
      </c>
      <c r="C2921" s="275">
        <v>43558.0</v>
      </c>
      <c r="D2921" s="24" t="str">
        <f t="shared" ref="D2921:D2922" si="253">TEXT(C2913:C2921, "mmm") &amp; "-" &amp; TEXT(C2913:C2921, "yyyy") </f>
        <v>Apr-2019</v>
      </c>
      <c r="E2921" t="s">
        <v>25</v>
      </c>
      <c r="F2921" s="24" t="s">
        <v>35</v>
      </c>
      <c r="G2921" s="24" t="s">
        <v>1093</v>
      </c>
      <c r="H2921" s="24" t="s">
        <v>86</v>
      </c>
      <c r="I2921" s="24" t="s">
        <v>9</v>
      </c>
      <c r="J2921" s="24" t="s">
        <v>30</v>
      </c>
      <c r="K2921" s="24"/>
      <c r="L2921" s="24" t="s">
        <v>99</v>
      </c>
    </row>
    <row r="2922">
      <c r="A2922" s="24">
        <f t="shared" si="1"/>
        <v>2920</v>
      </c>
      <c r="B2922" s="24" t="s">
        <v>1127</v>
      </c>
      <c r="C2922" s="275">
        <v>43558.0</v>
      </c>
      <c r="D2922" s="24" t="str">
        <f t="shared" si="253"/>
        <v>Apr-2019</v>
      </c>
      <c r="E2922" t="s">
        <v>32</v>
      </c>
      <c r="F2922" s="24" t="s">
        <v>35</v>
      </c>
      <c r="G2922" s="24" t="s">
        <v>1093</v>
      </c>
      <c r="H2922" s="24" t="s">
        <v>86</v>
      </c>
      <c r="I2922" s="24" t="s">
        <v>9</v>
      </c>
      <c r="J2922" s="24" t="s">
        <v>24</v>
      </c>
      <c r="K2922" s="24"/>
      <c r="L2922" s="24" t="s">
        <v>98</v>
      </c>
    </row>
    <row r="2923">
      <c r="A2923" s="24">
        <f t="shared" si="1"/>
        <v>2921</v>
      </c>
      <c r="B2923" s="24" t="s">
        <v>1130</v>
      </c>
      <c r="C2923" s="275">
        <v>43560.0</v>
      </c>
      <c r="D2923" s="24" t="str">
        <f t="shared" ref="D2923:D2930" si="254">TEXT(C2916:C2923, "mmm") &amp; "-" &amp; TEXT(C2916:C2923, "yyyy") </f>
        <v>Apr-2019</v>
      </c>
      <c r="E2923" t="s">
        <v>20</v>
      </c>
      <c r="F2923" s="24" t="s">
        <v>35</v>
      </c>
      <c r="G2923" s="24" t="s">
        <v>1131</v>
      </c>
      <c r="H2923" s="24" t="s">
        <v>9</v>
      </c>
      <c r="I2923" s="24" t="s">
        <v>9</v>
      </c>
      <c r="J2923" s="24" t="s">
        <v>30</v>
      </c>
      <c r="K2923" s="24" t="s">
        <v>30</v>
      </c>
      <c r="L2923" s="24" t="s">
        <v>98</v>
      </c>
    </row>
    <row r="2924">
      <c r="A2924" s="24">
        <f t="shared" si="1"/>
        <v>2922</v>
      </c>
      <c r="B2924" s="24" t="s">
        <v>1130</v>
      </c>
      <c r="C2924" s="275">
        <v>43560.0</v>
      </c>
      <c r="D2924" s="24" t="str">
        <f t="shared" si="254"/>
        <v>Apr-2019</v>
      </c>
      <c r="E2924" t="s">
        <v>25</v>
      </c>
      <c r="F2924" s="24" t="s">
        <v>35</v>
      </c>
      <c r="G2924" s="24" t="s">
        <v>1131</v>
      </c>
      <c r="H2924" s="24" t="s">
        <v>9</v>
      </c>
      <c r="I2924" s="24" t="s">
        <v>9</v>
      </c>
      <c r="J2924" s="24" t="s">
        <v>30</v>
      </c>
      <c r="K2924" s="24"/>
      <c r="L2924" s="24" t="s">
        <v>69</v>
      </c>
    </row>
    <row r="2925">
      <c r="A2925" s="24">
        <f t="shared" si="1"/>
        <v>2923</v>
      </c>
      <c r="B2925" s="24" t="s">
        <v>1130</v>
      </c>
      <c r="C2925" s="275">
        <v>43560.0</v>
      </c>
      <c r="D2925" s="24" t="str">
        <f t="shared" si="254"/>
        <v>Apr-2019</v>
      </c>
      <c r="E2925" t="s">
        <v>20</v>
      </c>
      <c r="F2925" s="24" t="s">
        <v>35</v>
      </c>
      <c r="G2925" s="24" t="s">
        <v>976</v>
      </c>
      <c r="H2925" s="24" t="s">
        <v>48</v>
      </c>
      <c r="I2925" s="24" t="s">
        <v>9</v>
      </c>
      <c r="J2925" s="24" t="s">
        <v>30</v>
      </c>
      <c r="K2925" s="24" t="s">
        <v>30</v>
      </c>
      <c r="L2925" s="24" t="s">
        <v>98</v>
      </c>
    </row>
    <row r="2926">
      <c r="A2926" s="24">
        <f t="shared" si="1"/>
        <v>2924</v>
      </c>
      <c r="B2926" s="24" t="s">
        <v>1130</v>
      </c>
      <c r="C2926" s="275">
        <v>43560.0</v>
      </c>
      <c r="D2926" s="24" t="str">
        <f t="shared" si="254"/>
        <v>Apr-2019</v>
      </c>
      <c r="E2926" t="s">
        <v>25</v>
      </c>
      <c r="F2926" s="24" t="s">
        <v>35</v>
      </c>
      <c r="G2926" s="24" t="s">
        <v>976</v>
      </c>
      <c r="H2926" s="24" t="s">
        <v>48</v>
      </c>
      <c r="I2926" s="24" t="s">
        <v>9</v>
      </c>
      <c r="J2926" s="24" t="s">
        <v>30</v>
      </c>
      <c r="K2926" s="24"/>
      <c r="L2926" s="24" t="s">
        <v>29</v>
      </c>
    </row>
    <row r="2927">
      <c r="A2927" s="24">
        <f t="shared" si="1"/>
        <v>2925</v>
      </c>
      <c r="B2927" s="24" t="s">
        <v>1130</v>
      </c>
      <c r="C2927" s="275">
        <v>43560.0</v>
      </c>
      <c r="D2927" s="24" t="str">
        <f t="shared" si="254"/>
        <v>Apr-2019</v>
      </c>
      <c r="E2927" t="s">
        <v>20</v>
      </c>
      <c r="F2927" s="24" t="s">
        <v>35</v>
      </c>
      <c r="G2927" s="24" t="s">
        <v>1104</v>
      </c>
      <c r="H2927" s="24" t="s">
        <v>44</v>
      </c>
      <c r="I2927" s="24" t="s">
        <v>9</v>
      </c>
      <c r="J2927" s="24" t="s">
        <v>24</v>
      </c>
      <c r="K2927" s="24" t="s">
        <v>24</v>
      </c>
      <c r="L2927" s="24" t="s">
        <v>69</v>
      </c>
    </row>
    <row r="2928">
      <c r="A2928" s="24">
        <f t="shared" si="1"/>
        <v>2926</v>
      </c>
      <c r="B2928" s="24" t="s">
        <v>1130</v>
      </c>
      <c r="C2928" s="275">
        <v>43560.0</v>
      </c>
      <c r="D2928" s="24" t="str">
        <f t="shared" si="254"/>
        <v>Apr-2019</v>
      </c>
      <c r="E2928" t="s">
        <v>25</v>
      </c>
      <c r="F2928" s="24" t="s">
        <v>35</v>
      </c>
      <c r="G2928" s="24" t="s">
        <v>1104</v>
      </c>
      <c r="H2928" s="24" t="s">
        <v>44</v>
      </c>
      <c r="I2928" s="24" t="s">
        <v>9</v>
      </c>
      <c r="J2928" s="24" t="s">
        <v>24</v>
      </c>
      <c r="K2928" s="24"/>
      <c r="L2928" s="24" t="s">
        <v>106</v>
      </c>
    </row>
    <row r="2929">
      <c r="A2929" s="24">
        <f t="shared" si="1"/>
        <v>2927</v>
      </c>
      <c r="B2929" s="24" t="s">
        <v>1130</v>
      </c>
      <c r="C2929" s="275">
        <v>43560.0</v>
      </c>
      <c r="D2929" s="24" t="str">
        <f t="shared" si="254"/>
        <v>Apr-2019</v>
      </c>
      <c r="E2929" t="s">
        <v>20</v>
      </c>
      <c r="F2929" s="24" t="s">
        <v>35</v>
      </c>
      <c r="G2929" s="24" t="s">
        <v>452</v>
      </c>
      <c r="H2929" s="24" t="s">
        <v>27</v>
      </c>
      <c r="I2929" s="24" t="s">
        <v>9</v>
      </c>
      <c r="J2929" s="24" t="s">
        <v>30</v>
      </c>
      <c r="K2929" s="24" t="s">
        <v>30</v>
      </c>
    </row>
    <row r="2930">
      <c r="A2930" s="24">
        <f t="shared" si="1"/>
        <v>2928</v>
      </c>
      <c r="B2930" s="24" t="s">
        <v>1130</v>
      </c>
      <c r="C2930" s="275">
        <v>43560.0</v>
      </c>
      <c r="D2930" s="24" t="str">
        <f t="shared" si="254"/>
        <v>Apr-2019</v>
      </c>
      <c r="E2930" t="s">
        <v>25</v>
      </c>
      <c r="F2930" s="24" t="s">
        <v>35</v>
      </c>
      <c r="G2930" s="24" t="s">
        <v>452</v>
      </c>
      <c r="H2930" s="24" t="s">
        <v>27</v>
      </c>
      <c r="I2930" s="24" t="s">
        <v>9</v>
      </c>
      <c r="J2930" s="24" t="s">
        <v>24</v>
      </c>
    </row>
    <row r="2931">
      <c r="A2931" s="24">
        <f t="shared" si="1"/>
        <v>2929</v>
      </c>
      <c r="B2931" s="24" t="s">
        <v>1130</v>
      </c>
      <c r="C2931" s="275">
        <v>43560.0</v>
      </c>
      <c r="D2931" s="24" t="str">
        <f t="shared" ref="D2931:D2935" si="255">TEXT(C2923:C2931, "mmm") &amp; "-" &amp; TEXT(C2923:C2931, "yyyy") </f>
        <v>Apr-2019</v>
      </c>
      <c r="E2931" t="s">
        <v>32</v>
      </c>
      <c r="F2931" s="24" t="s">
        <v>35</v>
      </c>
      <c r="G2931" s="24" t="s">
        <v>452</v>
      </c>
      <c r="H2931" s="24" t="s">
        <v>27</v>
      </c>
      <c r="I2931" s="24" t="s">
        <v>9</v>
      </c>
      <c r="J2931" s="24" t="s">
        <v>30</v>
      </c>
    </row>
    <row r="2932">
      <c r="A2932" s="24">
        <f t="shared" si="1"/>
        <v>2930</v>
      </c>
      <c r="B2932" s="24" t="s">
        <v>1130</v>
      </c>
      <c r="C2932" s="275">
        <v>43560.0</v>
      </c>
      <c r="D2932" s="24" t="str">
        <f t="shared" si="255"/>
        <v>Apr-2019</v>
      </c>
      <c r="E2932" t="s">
        <v>146</v>
      </c>
      <c r="F2932" s="24" t="s">
        <v>35</v>
      </c>
      <c r="G2932" s="24" t="s">
        <v>936</v>
      </c>
      <c r="H2932" s="24" t="s">
        <v>86</v>
      </c>
      <c r="I2932" s="24" t="s">
        <v>9</v>
      </c>
      <c r="J2932" s="24" t="s">
        <v>24</v>
      </c>
      <c r="K2932" s="24" t="s">
        <v>24</v>
      </c>
      <c r="L2932" s="24" t="s">
        <v>69</v>
      </c>
    </row>
    <row r="2933">
      <c r="A2933" s="24">
        <f t="shared" si="1"/>
        <v>2931</v>
      </c>
      <c r="B2933" s="24" t="s">
        <v>1130</v>
      </c>
      <c r="C2933" s="275">
        <v>43560.0</v>
      </c>
      <c r="D2933" s="24" t="str">
        <f t="shared" si="255"/>
        <v>Apr-2019</v>
      </c>
      <c r="E2933" t="s">
        <v>149</v>
      </c>
      <c r="F2933" s="24" t="s">
        <v>35</v>
      </c>
      <c r="G2933" s="24" t="s">
        <v>936</v>
      </c>
      <c r="H2933" s="24" t="s">
        <v>86</v>
      </c>
      <c r="I2933" s="24" t="s">
        <v>9</v>
      </c>
      <c r="J2933" s="24" t="s">
        <v>24</v>
      </c>
      <c r="K2933" s="24"/>
      <c r="L2933" s="24" t="s">
        <v>29</v>
      </c>
    </row>
    <row r="2934">
      <c r="A2934" s="24">
        <f t="shared" si="1"/>
        <v>2932</v>
      </c>
      <c r="B2934" s="24" t="s">
        <v>1130</v>
      </c>
      <c r="C2934" s="275">
        <v>43560.0</v>
      </c>
      <c r="D2934" s="24" t="str">
        <f t="shared" si="255"/>
        <v>Apr-2019</v>
      </c>
      <c r="E2934" t="s">
        <v>222</v>
      </c>
      <c r="F2934" s="24" t="s">
        <v>35</v>
      </c>
      <c r="G2934" s="24" t="s">
        <v>936</v>
      </c>
      <c r="H2934" s="24" t="s">
        <v>86</v>
      </c>
      <c r="I2934" s="24" t="s">
        <v>9</v>
      </c>
      <c r="J2934" s="24" t="s">
        <v>30</v>
      </c>
      <c r="K2934" s="24"/>
      <c r="L2934" s="24" t="s">
        <v>29</v>
      </c>
    </row>
    <row r="2935">
      <c r="A2935" s="24">
        <f t="shared" si="1"/>
        <v>2933</v>
      </c>
      <c r="B2935" s="24" t="s">
        <v>1130</v>
      </c>
      <c r="C2935" s="275">
        <v>43560.0</v>
      </c>
      <c r="D2935" s="24" t="str">
        <f t="shared" si="255"/>
        <v>Apr-2019</v>
      </c>
      <c r="E2935" t="s">
        <v>467</v>
      </c>
      <c r="F2935" s="24" t="s">
        <v>35</v>
      </c>
      <c r="G2935" s="24" t="s">
        <v>936</v>
      </c>
      <c r="H2935" s="24" t="s">
        <v>86</v>
      </c>
      <c r="I2935" s="24" t="s">
        <v>9</v>
      </c>
      <c r="J2935" s="24" t="s">
        <v>24</v>
      </c>
      <c r="K2935" s="24"/>
      <c r="L2935" s="24" t="s">
        <v>37</v>
      </c>
    </row>
    <row r="2936">
      <c r="A2936" s="24">
        <f t="shared" si="1"/>
        <v>2934</v>
      </c>
      <c r="B2936" s="24" t="s">
        <v>1133</v>
      </c>
      <c r="C2936" s="275">
        <v>43580.0</v>
      </c>
      <c r="D2936" s="24" t="str">
        <f t="shared" ref="D2936:D2943" si="256">TEXT(C2929:C2936, "mmm") &amp; "-" &amp; TEXT(C2929:C2936, "yyyy") </f>
        <v>Apr-2019</v>
      </c>
      <c r="E2936" t="s">
        <v>20</v>
      </c>
      <c r="F2936" s="24" t="s">
        <v>35</v>
      </c>
      <c r="G2936" s="24" t="s">
        <v>694</v>
      </c>
      <c r="H2936" s="24" t="s">
        <v>27</v>
      </c>
      <c r="I2936" s="24" t="s">
        <v>9</v>
      </c>
      <c r="J2936" s="24" t="s">
        <v>30</v>
      </c>
      <c r="K2936" s="24" t="s">
        <v>30</v>
      </c>
      <c r="L2936" s="24" t="s">
        <v>69</v>
      </c>
    </row>
    <row r="2937">
      <c r="A2937" s="24">
        <f t="shared" si="1"/>
        <v>2935</v>
      </c>
      <c r="B2937" s="24" t="s">
        <v>1133</v>
      </c>
      <c r="C2937" s="275">
        <v>43580.0</v>
      </c>
      <c r="D2937" s="24" t="str">
        <f t="shared" si="256"/>
        <v>Apr-2019</v>
      </c>
      <c r="E2937" t="s">
        <v>25</v>
      </c>
      <c r="F2937" s="24" t="s">
        <v>35</v>
      </c>
      <c r="G2937" s="24" t="s">
        <v>694</v>
      </c>
      <c r="H2937" s="24" t="s">
        <v>27</v>
      </c>
      <c r="I2937" s="24" t="s">
        <v>9</v>
      </c>
      <c r="J2937" s="24" t="s">
        <v>30</v>
      </c>
      <c r="K2937" s="24"/>
      <c r="L2937" s="24" t="s">
        <v>106</v>
      </c>
    </row>
    <row r="2938">
      <c r="A2938" s="24">
        <f t="shared" si="1"/>
        <v>2936</v>
      </c>
      <c r="B2938" s="24" t="s">
        <v>1133</v>
      </c>
      <c r="C2938" s="275">
        <v>43580.0</v>
      </c>
      <c r="D2938" s="24" t="str">
        <f t="shared" si="256"/>
        <v>Apr-2019</v>
      </c>
      <c r="E2938" t="s">
        <v>20</v>
      </c>
      <c r="F2938" s="24" t="s">
        <v>35</v>
      </c>
      <c r="G2938" s="24" t="s">
        <v>393</v>
      </c>
      <c r="H2938" s="24" t="s">
        <v>102</v>
      </c>
      <c r="I2938" s="24" t="s">
        <v>9</v>
      </c>
      <c r="J2938" s="24" t="s">
        <v>24</v>
      </c>
      <c r="K2938" s="24" t="s">
        <v>30</v>
      </c>
      <c r="L2938" s="24" t="s">
        <v>99</v>
      </c>
    </row>
    <row r="2939">
      <c r="A2939" s="24">
        <f t="shared" si="1"/>
        <v>2937</v>
      </c>
      <c r="B2939" s="24" t="s">
        <v>1133</v>
      </c>
      <c r="C2939" s="275">
        <v>43580.0</v>
      </c>
      <c r="D2939" s="24" t="str">
        <f t="shared" si="256"/>
        <v>Apr-2019</v>
      </c>
      <c r="E2939" t="s">
        <v>25</v>
      </c>
      <c r="F2939" s="24" t="s">
        <v>35</v>
      </c>
      <c r="G2939" s="24" t="s">
        <v>393</v>
      </c>
      <c r="H2939" s="24" t="s">
        <v>102</v>
      </c>
      <c r="I2939" s="24" t="s">
        <v>9</v>
      </c>
      <c r="J2939" s="24" t="s">
        <v>30</v>
      </c>
      <c r="K2939" s="24"/>
      <c r="L2939" s="24" t="s">
        <v>106</v>
      </c>
    </row>
    <row r="2940">
      <c r="A2940" s="24">
        <f t="shared" si="1"/>
        <v>2938</v>
      </c>
      <c r="B2940" s="24" t="s">
        <v>1133</v>
      </c>
      <c r="C2940" s="275">
        <v>43580.0</v>
      </c>
      <c r="D2940" s="24" t="str">
        <f t="shared" si="256"/>
        <v>Apr-2019</v>
      </c>
      <c r="E2940" t="s">
        <v>32</v>
      </c>
      <c r="F2940" s="24" t="s">
        <v>35</v>
      </c>
      <c r="G2940" s="24" t="s">
        <v>393</v>
      </c>
      <c r="H2940" s="24" t="s">
        <v>102</v>
      </c>
      <c r="I2940" s="24" t="s">
        <v>9</v>
      </c>
      <c r="J2940" s="24" t="s">
        <v>30</v>
      </c>
      <c r="K2940" s="24"/>
      <c r="L2940" s="24" t="s">
        <v>37</v>
      </c>
    </row>
    <row r="2941">
      <c r="A2941" s="24">
        <f t="shared" si="1"/>
        <v>2939</v>
      </c>
      <c r="B2941" s="24" t="s">
        <v>1133</v>
      </c>
      <c r="C2941" s="275">
        <v>43580.0</v>
      </c>
      <c r="D2941" s="24" t="str">
        <f t="shared" si="256"/>
        <v>Apr-2019</v>
      </c>
      <c r="E2941" t="s">
        <v>20</v>
      </c>
      <c r="F2941" s="24" t="s">
        <v>35</v>
      </c>
      <c r="G2941" s="24" t="s">
        <v>1136</v>
      </c>
      <c r="H2941" s="24" t="s">
        <v>71</v>
      </c>
      <c r="I2941" s="24" t="s">
        <v>9</v>
      </c>
      <c r="J2941" s="24" t="s">
        <v>24</v>
      </c>
      <c r="K2941" s="24" t="s">
        <v>24</v>
      </c>
      <c r="L2941" s="24" t="s">
        <v>98</v>
      </c>
    </row>
    <row r="2942">
      <c r="A2942" s="24">
        <f t="shared" si="1"/>
        <v>2940</v>
      </c>
      <c r="B2942" s="24" t="s">
        <v>1133</v>
      </c>
      <c r="C2942" s="275">
        <v>43580.0</v>
      </c>
      <c r="D2942" s="24" t="str">
        <f t="shared" si="256"/>
        <v>Apr-2019</v>
      </c>
      <c r="E2942" t="s">
        <v>25</v>
      </c>
      <c r="F2942" s="24" t="s">
        <v>35</v>
      </c>
      <c r="G2942" s="24" t="s">
        <v>1136</v>
      </c>
      <c r="H2942" s="24" t="s">
        <v>71</v>
      </c>
      <c r="I2942" s="24" t="s">
        <v>9</v>
      </c>
      <c r="J2942" s="24" t="s">
        <v>24</v>
      </c>
      <c r="K2942" s="24"/>
      <c r="L2942" s="24" t="s">
        <v>106</v>
      </c>
    </row>
    <row r="2943">
      <c r="A2943" s="24">
        <f t="shared" si="1"/>
        <v>2941</v>
      </c>
      <c r="B2943" s="24" t="s">
        <v>1133</v>
      </c>
      <c r="C2943" s="275">
        <v>43580.0</v>
      </c>
      <c r="D2943" s="24" t="str">
        <f t="shared" si="256"/>
        <v>Apr-2019</v>
      </c>
      <c r="E2943" t="s">
        <v>20</v>
      </c>
      <c r="F2943" s="24" t="s">
        <v>35</v>
      </c>
      <c r="G2943" s="24" t="s">
        <v>394</v>
      </c>
      <c r="H2943" s="24" t="s">
        <v>139</v>
      </c>
      <c r="I2943" s="24" t="s">
        <v>9</v>
      </c>
      <c r="J2943" s="24" t="s">
        <v>30</v>
      </c>
      <c r="K2943" s="24" t="s">
        <v>24</v>
      </c>
      <c r="L2943" s="24" t="s">
        <v>37</v>
      </c>
    </row>
    <row r="2944">
      <c r="A2944" s="24">
        <f t="shared" si="1"/>
        <v>2942</v>
      </c>
      <c r="B2944" s="24" t="s">
        <v>1133</v>
      </c>
      <c r="C2944" s="275">
        <v>43580.0</v>
      </c>
      <c r="D2944" s="24" t="str">
        <f t="shared" ref="D2944:D2945" si="257">TEXT(C2936:C2944, "mmm") &amp; "-" &amp; TEXT(C2936:C2944, "yyyy") </f>
        <v>Apr-2019</v>
      </c>
      <c r="E2944" t="s">
        <v>25</v>
      </c>
      <c r="F2944" s="24" t="s">
        <v>35</v>
      </c>
      <c r="G2944" s="24" t="s">
        <v>394</v>
      </c>
      <c r="H2944" s="24" t="s">
        <v>27</v>
      </c>
      <c r="I2944" s="24" t="s">
        <v>9</v>
      </c>
      <c r="J2944" s="24" t="s">
        <v>24</v>
      </c>
      <c r="K2944" s="24"/>
      <c r="L2944" s="24" t="s">
        <v>69</v>
      </c>
    </row>
    <row r="2945">
      <c r="A2945" s="24">
        <f t="shared" si="1"/>
        <v>2943</v>
      </c>
      <c r="B2945" s="24" t="s">
        <v>1133</v>
      </c>
      <c r="C2945" s="275">
        <v>43580.0</v>
      </c>
      <c r="D2945" s="24" t="str">
        <f t="shared" si="257"/>
        <v>Apr-2019</v>
      </c>
      <c r="E2945" t="s">
        <v>32</v>
      </c>
      <c r="F2945" s="24" t="s">
        <v>35</v>
      </c>
      <c r="G2945" s="24" t="s">
        <v>394</v>
      </c>
      <c r="H2945" s="24" t="s">
        <v>27</v>
      </c>
      <c r="I2945" s="24" t="s">
        <v>9</v>
      </c>
      <c r="J2945" s="24" t="s">
        <v>24</v>
      </c>
      <c r="K2945" s="24"/>
      <c r="L2945" s="24" t="s">
        <v>106</v>
      </c>
    </row>
    <row r="2946">
      <c r="A2946" s="24">
        <f t="shared" si="1"/>
        <v>2944</v>
      </c>
      <c r="B2946" s="24" t="s">
        <v>1137</v>
      </c>
      <c r="C2946" s="275">
        <v>43596.0</v>
      </c>
      <c r="D2946" s="24" t="str">
        <f t="shared" ref="D2946:D2953" si="258">TEXT(C2939:C2946, "mmm") &amp; "-" &amp; TEXT(C2939:C2946, "yyyy") </f>
        <v>May-2019</v>
      </c>
      <c r="E2946" t="s">
        <v>20</v>
      </c>
      <c r="F2946" s="24" t="s">
        <v>21</v>
      </c>
      <c r="G2946" s="24" t="s">
        <v>103</v>
      </c>
      <c r="H2946" s="24" t="s">
        <v>9</v>
      </c>
      <c r="I2946" s="24" t="s">
        <v>9</v>
      </c>
      <c r="J2946" s="24" t="s">
        <v>30</v>
      </c>
      <c r="K2946" s="24" t="s">
        <v>30</v>
      </c>
      <c r="L2946" s="24" t="s">
        <v>98</v>
      </c>
    </row>
    <row r="2947">
      <c r="A2947" s="24">
        <f t="shared" si="1"/>
        <v>2945</v>
      </c>
      <c r="B2947" s="24" t="s">
        <v>1137</v>
      </c>
      <c r="C2947" s="275">
        <v>43596.0</v>
      </c>
      <c r="D2947" s="24" t="str">
        <f t="shared" si="258"/>
        <v>May-2019</v>
      </c>
      <c r="E2947" t="s">
        <v>25</v>
      </c>
      <c r="F2947" s="24" t="s">
        <v>21</v>
      </c>
      <c r="G2947" s="24" t="s">
        <v>103</v>
      </c>
      <c r="H2947" s="24" t="s">
        <v>9</v>
      </c>
      <c r="I2947" s="24" t="s">
        <v>9</v>
      </c>
      <c r="J2947" s="24" t="s">
        <v>30</v>
      </c>
      <c r="K2947" s="24"/>
      <c r="L2947" s="24" t="s">
        <v>99</v>
      </c>
    </row>
    <row r="2948">
      <c r="A2948" s="24">
        <f t="shared" si="1"/>
        <v>2946</v>
      </c>
      <c r="B2948" s="24" t="s">
        <v>1137</v>
      </c>
      <c r="C2948" s="275">
        <v>43596.0</v>
      </c>
      <c r="D2948" s="24" t="str">
        <f t="shared" si="258"/>
        <v>May-2019</v>
      </c>
      <c r="E2948" t="s">
        <v>20</v>
      </c>
      <c r="F2948" s="24" t="s">
        <v>21</v>
      </c>
      <c r="G2948" s="24" t="s">
        <v>1138</v>
      </c>
      <c r="H2948" s="24" t="s">
        <v>27</v>
      </c>
      <c r="I2948" s="24" t="s">
        <v>9</v>
      </c>
      <c r="J2948" s="24" t="s">
        <v>24</v>
      </c>
      <c r="K2948" s="24" t="s">
        <v>24</v>
      </c>
      <c r="L2948" s="24" t="s">
        <v>69</v>
      </c>
    </row>
    <row r="2949">
      <c r="A2949" s="24">
        <f t="shared" si="1"/>
        <v>2947</v>
      </c>
      <c r="B2949" s="24" t="s">
        <v>1137</v>
      </c>
      <c r="C2949" s="275">
        <v>43596.0</v>
      </c>
      <c r="D2949" s="24" t="str">
        <f t="shared" si="258"/>
        <v>May-2019</v>
      </c>
      <c r="E2949" t="s">
        <v>25</v>
      </c>
      <c r="F2949" s="24" t="s">
        <v>21</v>
      </c>
      <c r="G2949" s="24" t="s">
        <v>1138</v>
      </c>
      <c r="H2949" s="24" t="s">
        <v>27</v>
      </c>
      <c r="I2949" s="24" t="s">
        <v>9</v>
      </c>
      <c r="J2949" s="24" t="s">
        <v>30</v>
      </c>
      <c r="K2949" s="24"/>
      <c r="L2949" s="24" t="s">
        <v>106</v>
      </c>
    </row>
    <row r="2950">
      <c r="A2950" s="24">
        <f t="shared" si="1"/>
        <v>2948</v>
      </c>
      <c r="B2950" s="24" t="s">
        <v>1137</v>
      </c>
      <c r="C2950" s="275">
        <v>43596.0</v>
      </c>
      <c r="D2950" s="24" t="str">
        <f t="shared" si="258"/>
        <v>May-2019</v>
      </c>
      <c r="E2950" t="s">
        <v>32</v>
      </c>
      <c r="F2950" s="24" t="s">
        <v>21</v>
      </c>
      <c r="G2950" s="24" t="s">
        <v>1138</v>
      </c>
      <c r="H2950" s="24" t="s">
        <v>27</v>
      </c>
      <c r="I2950" s="24" t="s">
        <v>9</v>
      </c>
      <c r="J2950" s="24" t="s">
        <v>24</v>
      </c>
      <c r="K2950" s="24"/>
      <c r="L2950" s="24" t="s">
        <v>99</v>
      </c>
    </row>
    <row r="2951">
      <c r="A2951" s="24">
        <f t="shared" si="1"/>
        <v>2949</v>
      </c>
      <c r="B2951" s="24" t="s">
        <v>1137</v>
      </c>
      <c r="C2951" s="275">
        <v>43596.0</v>
      </c>
      <c r="D2951" s="24" t="str">
        <f t="shared" si="258"/>
        <v>May-2019</v>
      </c>
      <c r="E2951" t="s">
        <v>20</v>
      </c>
      <c r="F2951" s="24" t="s">
        <v>21</v>
      </c>
      <c r="G2951" s="24" t="s">
        <v>1081</v>
      </c>
      <c r="H2951" s="24" t="s">
        <v>23</v>
      </c>
      <c r="I2951" s="24" t="s">
        <v>9</v>
      </c>
      <c r="J2951" s="24" t="s">
        <v>30</v>
      </c>
      <c r="K2951" s="24" t="s">
        <v>30</v>
      </c>
      <c r="L2951" s="24" t="s">
        <v>37</v>
      </c>
    </row>
    <row r="2952">
      <c r="A2952" s="24">
        <f t="shared" si="1"/>
        <v>2950</v>
      </c>
      <c r="B2952" s="24" t="s">
        <v>1137</v>
      </c>
      <c r="C2952" s="275">
        <v>43596.0</v>
      </c>
      <c r="D2952" s="24" t="str">
        <f t="shared" si="258"/>
        <v>May-2019</v>
      </c>
      <c r="E2952" t="s">
        <v>25</v>
      </c>
      <c r="F2952" s="24" t="s">
        <v>21</v>
      </c>
      <c r="G2952" s="24" t="s">
        <v>1081</v>
      </c>
      <c r="H2952" s="24" t="s">
        <v>23</v>
      </c>
      <c r="I2952" s="24" t="s">
        <v>9</v>
      </c>
      <c r="J2952" s="24" t="s">
        <v>30</v>
      </c>
      <c r="K2952" s="24"/>
      <c r="L2952" s="24" t="s">
        <v>69</v>
      </c>
    </row>
    <row r="2953">
      <c r="A2953" s="24">
        <f t="shared" si="1"/>
        <v>2951</v>
      </c>
      <c r="B2953" s="24" t="s">
        <v>1137</v>
      </c>
      <c r="C2953" s="275">
        <v>43596.0</v>
      </c>
      <c r="D2953" s="24" t="str">
        <f t="shared" si="258"/>
        <v>May-2019</v>
      </c>
      <c r="E2953" t="s">
        <v>20</v>
      </c>
      <c r="F2953" s="24" t="s">
        <v>21</v>
      </c>
      <c r="G2953" s="24" t="s">
        <v>1142</v>
      </c>
      <c r="H2953" s="24" t="s">
        <v>27</v>
      </c>
      <c r="I2953" s="24" t="s">
        <v>9</v>
      </c>
      <c r="J2953" s="24" t="s">
        <v>30</v>
      </c>
      <c r="K2953" s="24" t="s">
        <v>30</v>
      </c>
      <c r="L2953" s="24" t="s">
        <v>37</v>
      </c>
    </row>
    <row r="2954">
      <c r="A2954" s="24">
        <f t="shared" si="1"/>
        <v>2952</v>
      </c>
      <c r="B2954" s="24" t="s">
        <v>1137</v>
      </c>
      <c r="C2954" s="275">
        <v>43596.0</v>
      </c>
      <c r="D2954" s="24" t="str">
        <f t="shared" ref="D2954:D2991" si="259">TEXT(C2946:C2954, "mmm") &amp; "-" &amp; TEXT(C2946:C2954, "yyyy") </f>
        <v>May-2019</v>
      </c>
      <c r="E2954" t="s">
        <v>25</v>
      </c>
      <c r="F2954" s="24" t="s">
        <v>21</v>
      </c>
      <c r="G2954" s="24" t="s">
        <v>1142</v>
      </c>
      <c r="H2954" s="24" t="s">
        <v>27</v>
      </c>
      <c r="I2954" s="24" t="s">
        <v>9</v>
      </c>
      <c r="J2954" s="24" t="s">
        <v>30</v>
      </c>
      <c r="K2954" s="24"/>
      <c r="L2954" s="24" t="s">
        <v>106</v>
      </c>
    </row>
    <row r="2955">
      <c r="A2955" s="24">
        <f t="shared" si="1"/>
        <v>2953</v>
      </c>
      <c r="B2955" s="24" t="s">
        <v>1137</v>
      </c>
      <c r="C2955" s="275">
        <v>43596.0</v>
      </c>
      <c r="D2955" s="24" t="str">
        <f t="shared" si="259"/>
        <v>May-2019</v>
      </c>
      <c r="E2955" t="s">
        <v>20</v>
      </c>
      <c r="F2955" s="24" t="s">
        <v>35</v>
      </c>
      <c r="G2955" s="24" t="s">
        <v>1143</v>
      </c>
      <c r="H2955" s="24" t="s">
        <v>23</v>
      </c>
      <c r="I2955" s="24" t="s">
        <v>9</v>
      </c>
      <c r="J2955" s="24" t="s">
        <v>30</v>
      </c>
      <c r="K2955" s="24" t="s">
        <v>30</v>
      </c>
      <c r="L2955" s="24" t="s">
        <v>37</v>
      </c>
    </row>
    <row r="2956">
      <c r="A2956" s="24">
        <f t="shared" si="1"/>
        <v>2954</v>
      </c>
      <c r="B2956" s="24" t="s">
        <v>1137</v>
      </c>
      <c r="C2956" s="275">
        <v>43596.0</v>
      </c>
      <c r="D2956" s="24" t="str">
        <f t="shared" si="259"/>
        <v>May-2019</v>
      </c>
      <c r="E2956" t="s">
        <v>25</v>
      </c>
      <c r="F2956" s="24" t="s">
        <v>35</v>
      </c>
      <c r="G2956" s="24" t="s">
        <v>1143</v>
      </c>
      <c r="H2956" s="24" t="s">
        <v>23</v>
      </c>
      <c r="I2956" s="24" t="s">
        <v>9</v>
      </c>
      <c r="J2956" s="24" t="s">
        <v>30</v>
      </c>
      <c r="K2956" s="24"/>
      <c r="L2956" s="24" t="s">
        <v>99</v>
      </c>
    </row>
    <row r="2957">
      <c r="A2957" s="24">
        <f t="shared" si="1"/>
        <v>2955</v>
      </c>
      <c r="B2957" s="24" t="s">
        <v>1137</v>
      </c>
      <c r="C2957" s="275">
        <v>43596.0</v>
      </c>
      <c r="D2957" s="24" t="str">
        <f t="shared" si="259"/>
        <v>May-2019</v>
      </c>
      <c r="E2957" t="s">
        <v>20</v>
      </c>
      <c r="F2957" s="24" t="s">
        <v>35</v>
      </c>
      <c r="G2957" s="24" t="s">
        <v>771</v>
      </c>
      <c r="H2957" s="24" t="s">
        <v>64</v>
      </c>
      <c r="I2957" s="24" t="s">
        <v>9</v>
      </c>
      <c r="J2957" s="24" t="s">
        <v>24</v>
      </c>
      <c r="K2957" s="24" t="s">
        <v>24</v>
      </c>
      <c r="L2957" s="24" t="s">
        <v>98</v>
      </c>
    </row>
    <row r="2958">
      <c r="A2958" s="24">
        <f t="shared" si="1"/>
        <v>2956</v>
      </c>
      <c r="B2958" s="24" t="s">
        <v>1137</v>
      </c>
      <c r="C2958" s="275">
        <v>43596.0</v>
      </c>
      <c r="D2958" s="24" t="str">
        <f t="shared" si="259"/>
        <v>May-2019</v>
      </c>
      <c r="E2958" t="s">
        <v>25</v>
      </c>
      <c r="F2958" s="24" t="s">
        <v>35</v>
      </c>
      <c r="G2958" s="24" t="s">
        <v>771</v>
      </c>
      <c r="H2958" s="24" t="s">
        <v>64</v>
      </c>
      <c r="I2958" s="24" t="s">
        <v>9</v>
      </c>
      <c r="J2958" s="24" t="s">
        <v>30</v>
      </c>
      <c r="K2958" s="24"/>
      <c r="L2958" s="24" t="s">
        <v>106</v>
      </c>
    </row>
    <row r="2959">
      <c r="A2959" s="24">
        <f t="shared" si="1"/>
        <v>2957</v>
      </c>
      <c r="B2959" s="24" t="s">
        <v>1137</v>
      </c>
      <c r="C2959" s="275">
        <v>43596.0</v>
      </c>
      <c r="D2959" s="24" t="str">
        <f t="shared" si="259"/>
        <v>May-2019</v>
      </c>
      <c r="E2959" t="s">
        <v>32</v>
      </c>
      <c r="F2959" s="24" t="s">
        <v>35</v>
      </c>
      <c r="G2959" s="24" t="s">
        <v>771</v>
      </c>
      <c r="H2959" s="24" t="s">
        <v>64</v>
      </c>
      <c r="I2959" s="24" t="s">
        <v>9</v>
      </c>
      <c r="J2959" s="24" t="s">
        <v>24</v>
      </c>
      <c r="K2959" s="24"/>
      <c r="L2959" s="24" t="s">
        <v>99</v>
      </c>
    </row>
    <row r="2960">
      <c r="A2960" s="24">
        <f t="shared" si="1"/>
        <v>2958</v>
      </c>
      <c r="B2960" s="24" t="s">
        <v>1137</v>
      </c>
      <c r="C2960" s="275">
        <v>43596.0</v>
      </c>
      <c r="D2960" s="24" t="str">
        <f t="shared" si="259"/>
        <v>May-2019</v>
      </c>
      <c r="E2960" t="s">
        <v>20</v>
      </c>
      <c r="F2960" s="24" t="s">
        <v>35</v>
      </c>
      <c r="G2960" s="24" t="s">
        <v>78</v>
      </c>
      <c r="H2960" s="24" t="s">
        <v>9</v>
      </c>
      <c r="I2960" s="24" t="s">
        <v>9</v>
      </c>
      <c r="J2960" s="24" t="s">
        <v>24</v>
      </c>
      <c r="K2960" s="24" t="s">
        <v>30</v>
      </c>
      <c r="L2960" s="24" t="s">
        <v>98</v>
      </c>
    </row>
    <row r="2961">
      <c r="A2961" s="24">
        <f t="shared" si="1"/>
        <v>2959</v>
      </c>
      <c r="B2961" s="24" t="s">
        <v>1137</v>
      </c>
      <c r="C2961" s="275">
        <v>43596.0</v>
      </c>
      <c r="D2961" s="24" t="str">
        <f t="shared" si="259"/>
        <v>May-2019</v>
      </c>
      <c r="E2961" t="s">
        <v>25</v>
      </c>
      <c r="F2961" s="24" t="s">
        <v>35</v>
      </c>
      <c r="G2961" s="24" t="s">
        <v>78</v>
      </c>
      <c r="H2961" s="24" t="s">
        <v>9</v>
      </c>
      <c r="I2961" s="24" t="s">
        <v>9</v>
      </c>
      <c r="J2961" s="24" t="s">
        <v>30</v>
      </c>
      <c r="K2961" s="24"/>
      <c r="L2961" s="24" t="s">
        <v>69</v>
      </c>
    </row>
    <row r="2962">
      <c r="A2962" s="24">
        <f t="shared" si="1"/>
        <v>2960</v>
      </c>
      <c r="B2962" s="24" t="s">
        <v>1137</v>
      </c>
      <c r="C2962" s="275">
        <v>43596.0</v>
      </c>
      <c r="D2962" s="24" t="str">
        <f t="shared" si="259"/>
        <v>May-2019</v>
      </c>
      <c r="E2962" t="s">
        <v>32</v>
      </c>
      <c r="F2962" s="24" t="s">
        <v>35</v>
      </c>
      <c r="G2962" s="24" t="s">
        <v>78</v>
      </c>
      <c r="H2962" s="24" t="s">
        <v>9</v>
      </c>
      <c r="I2962" s="24" t="s">
        <v>9</v>
      </c>
      <c r="J2962" s="24" t="s">
        <v>30</v>
      </c>
      <c r="K2962" s="24"/>
      <c r="L2962" s="24" t="s">
        <v>99</v>
      </c>
    </row>
    <row r="2963">
      <c r="A2963" s="24">
        <f t="shared" si="1"/>
        <v>2961</v>
      </c>
      <c r="B2963" s="24" t="s">
        <v>1137</v>
      </c>
      <c r="C2963" s="275">
        <v>43596.0</v>
      </c>
      <c r="D2963" s="24" t="str">
        <f t="shared" si="259"/>
        <v>May-2019</v>
      </c>
      <c r="E2963" t="s">
        <v>20</v>
      </c>
      <c r="F2963" s="24" t="s">
        <v>35</v>
      </c>
      <c r="G2963" s="24" t="s">
        <v>218</v>
      </c>
      <c r="H2963" s="24" t="s">
        <v>86</v>
      </c>
      <c r="I2963" s="24" t="s">
        <v>9</v>
      </c>
      <c r="J2963" s="24" t="s">
        <v>24</v>
      </c>
      <c r="K2963" s="24" t="s">
        <v>24</v>
      </c>
      <c r="L2963" s="24" t="s">
        <v>69</v>
      </c>
    </row>
    <row r="2964">
      <c r="A2964" s="24">
        <f t="shared" si="1"/>
        <v>2962</v>
      </c>
      <c r="B2964" s="24" t="s">
        <v>1137</v>
      </c>
      <c r="C2964" s="275">
        <v>43596.0</v>
      </c>
      <c r="D2964" s="24" t="str">
        <f t="shared" si="259"/>
        <v>May-2019</v>
      </c>
      <c r="E2964" t="s">
        <v>25</v>
      </c>
      <c r="F2964" s="24" t="s">
        <v>35</v>
      </c>
      <c r="G2964" s="24" t="s">
        <v>218</v>
      </c>
      <c r="H2964" s="24" t="s">
        <v>86</v>
      </c>
      <c r="I2964" s="24" t="s">
        <v>9</v>
      </c>
      <c r="J2964" s="24" t="s">
        <v>24</v>
      </c>
      <c r="K2964" s="24"/>
      <c r="L2964" s="24" t="s">
        <v>99</v>
      </c>
    </row>
    <row r="2965">
      <c r="A2965" s="24">
        <f t="shared" si="1"/>
        <v>2963</v>
      </c>
      <c r="B2965" s="24" t="s">
        <v>1137</v>
      </c>
      <c r="C2965" s="275">
        <v>43596.0</v>
      </c>
      <c r="D2965" s="24" t="str">
        <f t="shared" si="259"/>
        <v>May-2019</v>
      </c>
      <c r="E2965" t="s">
        <v>20</v>
      </c>
      <c r="F2965" s="24" t="s">
        <v>278</v>
      </c>
      <c r="G2965" s="24" t="s">
        <v>943</v>
      </c>
      <c r="H2965" s="24" t="s">
        <v>27</v>
      </c>
      <c r="I2965" s="24" t="s">
        <v>9</v>
      </c>
      <c r="J2965" s="24" t="s">
        <v>24</v>
      </c>
      <c r="K2965" s="24" t="s">
        <v>30</v>
      </c>
      <c r="L2965" s="24" t="s">
        <v>69</v>
      </c>
    </row>
    <row r="2966">
      <c r="A2966" s="24">
        <f t="shared" si="1"/>
        <v>2964</v>
      </c>
      <c r="B2966" s="24" t="s">
        <v>1137</v>
      </c>
      <c r="C2966" s="275">
        <v>43596.0</v>
      </c>
      <c r="D2966" s="24" t="str">
        <f t="shared" si="259"/>
        <v>May-2019</v>
      </c>
      <c r="E2966" t="s">
        <v>25</v>
      </c>
      <c r="F2966" s="24" t="s">
        <v>278</v>
      </c>
      <c r="G2966" s="24" t="s">
        <v>943</v>
      </c>
      <c r="H2966" s="24" t="s">
        <v>27</v>
      </c>
      <c r="I2966" s="24" t="s">
        <v>9</v>
      </c>
      <c r="J2966" s="24" t="s">
        <v>30</v>
      </c>
      <c r="K2966" s="24"/>
      <c r="L2966" s="24" t="s">
        <v>106</v>
      </c>
    </row>
    <row r="2967">
      <c r="A2967" s="24">
        <f t="shared" si="1"/>
        <v>2965</v>
      </c>
      <c r="B2967" s="24" t="s">
        <v>1137</v>
      </c>
      <c r="C2967" s="275">
        <v>43596.0</v>
      </c>
      <c r="D2967" s="24" t="str">
        <f t="shared" si="259"/>
        <v>May-2019</v>
      </c>
      <c r="E2967" t="s">
        <v>32</v>
      </c>
      <c r="F2967" s="24" t="s">
        <v>278</v>
      </c>
      <c r="G2967" s="24" t="s">
        <v>943</v>
      </c>
      <c r="H2967" s="24" t="s">
        <v>27</v>
      </c>
      <c r="I2967" s="24" t="s">
        <v>9</v>
      </c>
      <c r="J2967" s="24" t="s">
        <v>30</v>
      </c>
      <c r="K2967" s="24"/>
      <c r="L2967" s="24" t="s">
        <v>98</v>
      </c>
    </row>
    <row r="2968">
      <c r="A2968" s="24">
        <f t="shared" si="1"/>
        <v>2966</v>
      </c>
      <c r="B2968" s="24" t="s">
        <v>1137</v>
      </c>
      <c r="C2968" s="275">
        <v>43596.0</v>
      </c>
      <c r="D2968" s="24" t="str">
        <f t="shared" si="259"/>
        <v>May-2019</v>
      </c>
      <c r="E2968" t="s">
        <v>20</v>
      </c>
      <c r="F2968" s="24" t="s">
        <v>278</v>
      </c>
      <c r="G2968" s="24" t="s">
        <v>911</v>
      </c>
      <c r="H2968" s="24" t="s">
        <v>44</v>
      </c>
      <c r="I2968" s="24" t="s">
        <v>9</v>
      </c>
      <c r="J2968" s="24" t="s">
        <v>24</v>
      </c>
      <c r="K2968" s="24" t="s">
        <v>24</v>
      </c>
      <c r="L2968" s="24" t="s">
        <v>37</v>
      </c>
    </row>
    <row r="2969">
      <c r="A2969" s="24">
        <f t="shared" si="1"/>
        <v>2967</v>
      </c>
      <c r="B2969" s="24" t="s">
        <v>1137</v>
      </c>
      <c r="C2969" s="275">
        <v>43596.0</v>
      </c>
      <c r="D2969" s="24" t="str">
        <f t="shared" si="259"/>
        <v>May-2019</v>
      </c>
      <c r="E2969" t="s">
        <v>25</v>
      </c>
      <c r="F2969" s="24" t="s">
        <v>278</v>
      </c>
      <c r="G2969" s="24" t="s">
        <v>911</v>
      </c>
      <c r="H2969" s="24" t="s">
        <v>44</v>
      </c>
      <c r="I2969" s="24" t="s">
        <v>9</v>
      </c>
      <c r="J2969" s="24" t="s">
        <v>24</v>
      </c>
      <c r="K2969" s="24"/>
      <c r="L2969" s="24" t="s">
        <v>69</v>
      </c>
    </row>
    <row r="2970">
      <c r="A2970" s="24">
        <f t="shared" si="1"/>
        <v>2968</v>
      </c>
      <c r="B2970" s="24" t="s">
        <v>1137</v>
      </c>
      <c r="C2970" s="275">
        <v>43596.0</v>
      </c>
      <c r="D2970" s="24" t="str">
        <f t="shared" si="259"/>
        <v>May-2019</v>
      </c>
      <c r="E2970" t="s">
        <v>20</v>
      </c>
      <c r="F2970" s="24" t="s">
        <v>278</v>
      </c>
      <c r="G2970" s="24" t="s">
        <v>1142</v>
      </c>
      <c r="H2970" s="24" t="s">
        <v>27</v>
      </c>
      <c r="I2970" s="24" t="s">
        <v>9</v>
      </c>
      <c r="J2970" s="24" t="s">
        <v>30</v>
      </c>
      <c r="K2970" s="24" t="s">
        <v>30</v>
      </c>
      <c r="L2970" s="24" t="s">
        <v>37</v>
      </c>
    </row>
    <row r="2971">
      <c r="A2971" s="24">
        <f t="shared" si="1"/>
        <v>2969</v>
      </c>
      <c r="B2971" s="24" t="s">
        <v>1137</v>
      </c>
      <c r="C2971" s="275">
        <v>43596.0</v>
      </c>
      <c r="D2971" s="24" t="str">
        <f t="shared" si="259"/>
        <v>May-2019</v>
      </c>
      <c r="E2971" t="s">
        <v>25</v>
      </c>
      <c r="F2971" s="24" t="s">
        <v>278</v>
      </c>
      <c r="G2971" s="24" t="s">
        <v>1142</v>
      </c>
      <c r="H2971" s="24" t="s">
        <v>27</v>
      </c>
      <c r="I2971" s="24" t="s">
        <v>9</v>
      </c>
      <c r="J2971" s="24" t="s">
        <v>24</v>
      </c>
      <c r="K2971" s="24"/>
      <c r="L2971" s="24" t="s">
        <v>29</v>
      </c>
    </row>
    <row r="2972">
      <c r="A2972" s="24">
        <f t="shared" si="1"/>
        <v>2970</v>
      </c>
      <c r="B2972" s="24" t="s">
        <v>1137</v>
      </c>
      <c r="C2972" s="275">
        <v>43596.0</v>
      </c>
      <c r="D2972" s="24" t="str">
        <f t="shared" si="259"/>
        <v>May-2019</v>
      </c>
      <c r="E2972" t="s">
        <v>32</v>
      </c>
      <c r="F2972" s="24" t="s">
        <v>278</v>
      </c>
      <c r="G2972" s="24" t="s">
        <v>1142</v>
      </c>
      <c r="H2972" s="24" t="s">
        <v>27</v>
      </c>
      <c r="I2972" s="24" t="s">
        <v>9</v>
      </c>
      <c r="J2972" s="24" t="s">
        <v>30</v>
      </c>
      <c r="K2972" s="24"/>
      <c r="L2972" s="24" t="s">
        <v>106</v>
      </c>
    </row>
    <row r="2973">
      <c r="A2973" s="24">
        <f t="shared" si="1"/>
        <v>2971</v>
      </c>
      <c r="B2973" s="24" t="s">
        <v>1137</v>
      </c>
      <c r="C2973" s="275">
        <v>43596.0</v>
      </c>
      <c r="D2973" s="24" t="str">
        <f t="shared" si="259"/>
        <v>May-2019</v>
      </c>
      <c r="E2973" t="s">
        <v>146</v>
      </c>
      <c r="F2973" s="24" t="s">
        <v>278</v>
      </c>
      <c r="G2973" s="24" t="s">
        <v>1144</v>
      </c>
      <c r="H2973" s="24" t="s">
        <v>64</v>
      </c>
      <c r="I2973" s="24" t="s">
        <v>9</v>
      </c>
      <c r="J2973" s="24" t="s">
        <v>24</v>
      </c>
      <c r="K2973" s="24" t="s">
        <v>30</v>
      </c>
      <c r="L2973" s="24" t="s">
        <v>98</v>
      </c>
    </row>
    <row r="2974">
      <c r="A2974" s="24">
        <f t="shared" si="1"/>
        <v>2972</v>
      </c>
      <c r="B2974" s="24" t="s">
        <v>1137</v>
      </c>
      <c r="C2974" s="275">
        <v>43596.0</v>
      </c>
      <c r="D2974" s="24" t="str">
        <f t="shared" si="259"/>
        <v>May-2019</v>
      </c>
      <c r="E2974" t="s">
        <v>149</v>
      </c>
      <c r="F2974" s="24" t="s">
        <v>278</v>
      </c>
      <c r="G2974" s="24" t="s">
        <v>1144</v>
      </c>
      <c r="H2974" s="24" t="s">
        <v>64</v>
      </c>
      <c r="I2974" s="24" t="s">
        <v>9</v>
      </c>
      <c r="J2974" s="24" t="s">
        <v>30</v>
      </c>
      <c r="K2974" s="24"/>
      <c r="L2974" s="24" t="s">
        <v>106</v>
      </c>
    </row>
    <row r="2975">
      <c r="A2975" s="24">
        <f t="shared" si="1"/>
        <v>2973</v>
      </c>
      <c r="B2975" s="24" t="s">
        <v>1137</v>
      </c>
      <c r="C2975" s="275">
        <v>43596.0</v>
      </c>
      <c r="D2975" s="24" t="str">
        <f t="shared" si="259"/>
        <v>May-2019</v>
      </c>
      <c r="E2975" t="s">
        <v>222</v>
      </c>
      <c r="F2975" s="24" t="s">
        <v>278</v>
      </c>
      <c r="G2975" s="24" t="s">
        <v>1144</v>
      </c>
      <c r="H2975" s="24" t="s">
        <v>64</v>
      </c>
      <c r="I2975" s="24" t="s">
        <v>9</v>
      </c>
      <c r="J2975" s="24" t="s">
        <v>30</v>
      </c>
      <c r="K2975" s="24"/>
      <c r="L2975" s="24" t="s">
        <v>69</v>
      </c>
    </row>
    <row r="2976">
      <c r="A2976" s="24">
        <f t="shared" si="1"/>
        <v>2974</v>
      </c>
      <c r="B2976" s="24" t="s">
        <v>1137</v>
      </c>
      <c r="C2976" s="275">
        <v>43596.0</v>
      </c>
      <c r="D2976" s="24" t="str">
        <f t="shared" si="259"/>
        <v>May-2019</v>
      </c>
      <c r="E2976" t="s">
        <v>467</v>
      </c>
      <c r="F2976" s="24" t="s">
        <v>278</v>
      </c>
      <c r="G2976" s="24" t="s">
        <v>1144</v>
      </c>
      <c r="H2976" s="24" t="s">
        <v>64</v>
      </c>
      <c r="I2976" s="24" t="s">
        <v>9</v>
      </c>
      <c r="J2976" s="24" t="s">
        <v>24</v>
      </c>
      <c r="K2976" s="24"/>
      <c r="L2976" s="24" t="s">
        <v>29</v>
      </c>
    </row>
    <row r="2977">
      <c r="A2977" s="24">
        <f t="shared" si="1"/>
        <v>2975</v>
      </c>
      <c r="B2977" s="24" t="s">
        <v>1137</v>
      </c>
      <c r="C2977" s="275">
        <v>43596.0</v>
      </c>
      <c r="D2977" s="24" t="str">
        <f t="shared" si="259"/>
        <v>May-2019</v>
      </c>
      <c r="E2977" s="24" t="s">
        <v>480</v>
      </c>
      <c r="F2977" s="24" t="s">
        <v>278</v>
      </c>
      <c r="G2977" s="24" t="s">
        <v>1144</v>
      </c>
      <c r="H2977" s="24" t="s">
        <v>64</v>
      </c>
      <c r="I2977" s="24" t="s">
        <v>9</v>
      </c>
      <c r="J2977" s="24" t="s">
        <v>30</v>
      </c>
      <c r="K2977" s="24"/>
      <c r="L2977" s="24" t="s">
        <v>29</v>
      </c>
    </row>
    <row r="2978">
      <c r="A2978" s="24">
        <f t="shared" si="1"/>
        <v>2976</v>
      </c>
      <c r="B2978" s="24" t="s">
        <v>1137</v>
      </c>
      <c r="C2978" s="275">
        <v>43596.0</v>
      </c>
      <c r="D2978" s="24" t="str">
        <f t="shared" si="259"/>
        <v>May-2019</v>
      </c>
      <c r="E2978" t="s">
        <v>146</v>
      </c>
      <c r="F2978" s="24" t="s">
        <v>278</v>
      </c>
      <c r="G2978" s="24" t="s">
        <v>464</v>
      </c>
      <c r="H2978" s="24" t="s">
        <v>27</v>
      </c>
      <c r="I2978" s="24" t="s">
        <v>9</v>
      </c>
      <c r="J2978" s="24" t="s">
        <v>24</v>
      </c>
      <c r="K2978" s="24" t="s">
        <v>30</v>
      </c>
      <c r="L2978" s="24" t="s">
        <v>37</v>
      </c>
    </row>
    <row r="2979">
      <c r="A2979" s="24">
        <f t="shared" si="1"/>
        <v>2977</v>
      </c>
      <c r="B2979" s="24" t="s">
        <v>1137</v>
      </c>
      <c r="C2979" s="275">
        <v>43596.0</v>
      </c>
      <c r="D2979" s="24" t="str">
        <f t="shared" si="259"/>
        <v>May-2019</v>
      </c>
      <c r="E2979" t="s">
        <v>149</v>
      </c>
      <c r="F2979" s="24" t="s">
        <v>278</v>
      </c>
      <c r="G2979" s="24" t="s">
        <v>464</v>
      </c>
      <c r="H2979" s="24" t="s">
        <v>27</v>
      </c>
      <c r="I2979" s="24" t="s">
        <v>9</v>
      </c>
      <c r="J2979" s="24" t="s">
        <v>30</v>
      </c>
      <c r="K2979" s="24"/>
      <c r="L2979" s="24" t="s">
        <v>98</v>
      </c>
    </row>
    <row r="2980">
      <c r="A2980" s="24">
        <f t="shared" si="1"/>
        <v>2978</v>
      </c>
      <c r="B2980" s="24" t="s">
        <v>1137</v>
      </c>
      <c r="C2980" s="275">
        <v>43596.0</v>
      </c>
      <c r="D2980" s="24" t="str">
        <f t="shared" si="259"/>
        <v>May-2019</v>
      </c>
      <c r="E2980" t="s">
        <v>222</v>
      </c>
      <c r="F2980" s="24" t="s">
        <v>278</v>
      </c>
      <c r="G2980" s="24" t="s">
        <v>464</v>
      </c>
      <c r="H2980" s="24" t="s">
        <v>27</v>
      </c>
      <c r="I2980" s="24" t="s">
        <v>9</v>
      </c>
      <c r="J2980" s="24" t="s">
        <v>24</v>
      </c>
      <c r="K2980" s="24"/>
      <c r="L2980" s="24" t="s">
        <v>29</v>
      </c>
    </row>
    <row r="2981">
      <c r="A2981" s="24">
        <f t="shared" si="1"/>
        <v>2979</v>
      </c>
      <c r="B2981" s="24" t="s">
        <v>1137</v>
      </c>
      <c r="C2981" s="275">
        <v>43596.0</v>
      </c>
      <c r="D2981" s="24" t="str">
        <f t="shared" si="259"/>
        <v>May-2019</v>
      </c>
      <c r="E2981" t="s">
        <v>467</v>
      </c>
      <c r="F2981" s="24" t="s">
        <v>278</v>
      </c>
      <c r="G2981" s="24" t="s">
        <v>464</v>
      </c>
      <c r="H2981" s="24" t="s">
        <v>27</v>
      </c>
      <c r="I2981" s="24" t="s">
        <v>9</v>
      </c>
      <c r="J2981" s="24" t="s">
        <v>30</v>
      </c>
      <c r="K2981" s="24"/>
      <c r="L2981" s="24" t="s">
        <v>106</v>
      </c>
    </row>
    <row r="2982">
      <c r="A2982" s="24">
        <f t="shared" si="1"/>
        <v>2980</v>
      </c>
      <c r="B2982" s="24" t="s">
        <v>1137</v>
      </c>
      <c r="C2982" s="275">
        <v>43596.0</v>
      </c>
      <c r="D2982" s="24" t="str">
        <f t="shared" si="259"/>
        <v>May-2019</v>
      </c>
      <c r="E2982" s="24" t="s">
        <v>480</v>
      </c>
      <c r="F2982" s="24" t="s">
        <v>278</v>
      </c>
      <c r="G2982" s="24" t="s">
        <v>464</v>
      </c>
      <c r="H2982" s="24" t="s">
        <v>27</v>
      </c>
      <c r="I2982" s="24" t="s">
        <v>9</v>
      </c>
      <c r="J2982" s="24" t="s">
        <v>30</v>
      </c>
      <c r="K2982" s="24"/>
      <c r="L2982" s="24" t="s">
        <v>99</v>
      </c>
    </row>
    <row r="2983">
      <c r="A2983" s="24">
        <f t="shared" si="1"/>
        <v>2981</v>
      </c>
      <c r="B2983" s="24" t="s">
        <v>1137</v>
      </c>
      <c r="C2983" s="275">
        <v>43596.0</v>
      </c>
      <c r="D2983" s="24" t="str">
        <f t="shared" si="259"/>
        <v>May-2019</v>
      </c>
      <c r="E2983" t="s">
        <v>146</v>
      </c>
      <c r="F2983" s="24" t="s">
        <v>278</v>
      </c>
      <c r="G2983" s="24" t="s">
        <v>943</v>
      </c>
      <c r="H2983" s="24" t="s">
        <v>27</v>
      </c>
      <c r="I2983" s="24" t="s">
        <v>9</v>
      </c>
      <c r="J2983" s="24" t="s">
        <v>24</v>
      </c>
      <c r="K2983" s="24" t="s">
        <v>30</v>
      </c>
      <c r="L2983" s="24" t="s">
        <v>69</v>
      </c>
    </row>
    <row r="2984">
      <c r="A2984" s="24">
        <f t="shared" si="1"/>
        <v>2982</v>
      </c>
      <c r="B2984" s="24" t="s">
        <v>1137</v>
      </c>
      <c r="C2984" s="275">
        <v>43596.0</v>
      </c>
      <c r="D2984" s="24" t="str">
        <f t="shared" si="259"/>
        <v>May-2019</v>
      </c>
      <c r="E2984" t="s">
        <v>149</v>
      </c>
      <c r="F2984" s="24" t="s">
        <v>278</v>
      </c>
      <c r="G2984" s="24" t="s">
        <v>943</v>
      </c>
      <c r="H2984" s="24" t="s">
        <v>27</v>
      </c>
      <c r="I2984" s="24" t="s">
        <v>9</v>
      </c>
      <c r="J2984" s="24" t="s">
        <v>24</v>
      </c>
      <c r="K2984" s="24"/>
      <c r="L2984" s="24" t="s">
        <v>98</v>
      </c>
    </row>
    <row r="2985">
      <c r="A2985" s="24">
        <f t="shared" si="1"/>
        <v>2983</v>
      </c>
      <c r="B2985" s="24" t="s">
        <v>1137</v>
      </c>
      <c r="C2985" s="275">
        <v>43596.0</v>
      </c>
      <c r="D2985" s="24" t="str">
        <f t="shared" si="259"/>
        <v>May-2019</v>
      </c>
      <c r="E2985" t="s">
        <v>222</v>
      </c>
      <c r="F2985" s="24" t="s">
        <v>278</v>
      </c>
      <c r="G2985" s="24" t="s">
        <v>943</v>
      </c>
      <c r="H2985" s="24" t="s">
        <v>27</v>
      </c>
      <c r="I2985" s="24" t="s">
        <v>9</v>
      </c>
      <c r="J2985" s="24" t="s">
        <v>30</v>
      </c>
      <c r="K2985" s="24"/>
      <c r="L2985" s="24" t="s">
        <v>106</v>
      </c>
    </row>
    <row r="2986">
      <c r="A2986" s="24">
        <f t="shared" si="1"/>
        <v>2984</v>
      </c>
      <c r="B2986" s="24" t="s">
        <v>1137</v>
      </c>
      <c r="C2986" s="275">
        <v>43596.0</v>
      </c>
      <c r="D2986" s="24" t="str">
        <f t="shared" si="259"/>
        <v>May-2019</v>
      </c>
      <c r="E2986" t="s">
        <v>467</v>
      </c>
      <c r="F2986" s="24" t="s">
        <v>278</v>
      </c>
      <c r="G2986" s="24" t="s">
        <v>943</v>
      </c>
      <c r="H2986" s="24" t="s">
        <v>27</v>
      </c>
      <c r="I2986" s="24" t="s">
        <v>9</v>
      </c>
      <c r="J2986" s="24" t="s">
        <v>30</v>
      </c>
      <c r="K2986" s="24"/>
      <c r="L2986" s="24" t="s">
        <v>99</v>
      </c>
    </row>
    <row r="2987">
      <c r="A2987" s="24">
        <f t="shared" si="1"/>
        <v>2985</v>
      </c>
      <c r="B2987" s="24" t="s">
        <v>1137</v>
      </c>
      <c r="C2987" s="275">
        <v>43596.0</v>
      </c>
      <c r="D2987" s="24" t="str">
        <f t="shared" si="259"/>
        <v>May-2019</v>
      </c>
      <c r="E2987" s="24" t="s">
        <v>480</v>
      </c>
      <c r="F2987" s="24" t="s">
        <v>278</v>
      </c>
      <c r="G2987" s="24" t="s">
        <v>943</v>
      </c>
      <c r="H2987" s="24" t="s">
        <v>27</v>
      </c>
      <c r="I2987" s="24" t="s">
        <v>9</v>
      </c>
      <c r="J2987" s="24" t="s">
        <v>30</v>
      </c>
      <c r="K2987" s="24"/>
      <c r="L2987" s="24" t="s">
        <v>99</v>
      </c>
    </row>
    <row r="2988">
      <c r="A2988" s="24">
        <f t="shared" si="1"/>
        <v>2986</v>
      </c>
      <c r="B2988" s="24" t="s">
        <v>1137</v>
      </c>
      <c r="C2988" s="275">
        <v>43596.0</v>
      </c>
      <c r="D2988" s="24" t="str">
        <f t="shared" si="259"/>
        <v>May-2019</v>
      </c>
      <c r="E2988" t="s">
        <v>146</v>
      </c>
      <c r="F2988" s="24" t="s">
        <v>278</v>
      </c>
      <c r="G2988" s="24" t="s">
        <v>911</v>
      </c>
      <c r="H2988" s="24" t="s">
        <v>44</v>
      </c>
      <c r="I2988" s="24" t="s">
        <v>9</v>
      </c>
      <c r="J2988" s="24" t="s">
        <v>24</v>
      </c>
      <c r="K2988" s="24" t="s">
        <v>24</v>
      </c>
      <c r="L2988" s="24" t="s">
        <v>37</v>
      </c>
    </row>
    <row r="2989">
      <c r="A2989" s="24">
        <f t="shared" si="1"/>
        <v>2987</v>
      </c>
      <c r="B2989" s="24" t="s">
        <v>1137</v>
      </c>
      <c r="C2989" s="275">
        <v>43596.0</v>
      </c>
      <c r="D2989" s="24" t="str">
        <f t="shared" si="259"/>
        <v>May-2019</v>
      </c>
      <c r="E2989" t="s">
        <v>149</v>
      </c>
      <c r="F2989" s="24" t="s">
        <v>278</v>
      </c>
      <c r="G2989" s="24" t="s">
        <v>911</v>
      </c>
      <c r="H2989" s="24" t="s">
        <v>44</v>
      </c>
      <c r="I2989" s="24" t="s">
        <v>9</v>
      </c>
      <c r="J2989" s="24" t="s">
        <v>30</v>
      </c>
      <c r="K2989" s="24"/>
      <c r="L2989" s="24" t="s">
        <v>106</v>
      </c>
    </row>
    <row r="2990">
      <c r="A2990" s="24">
        <f t="shared" si="1"/>
        <v>2988</v>
      </c>
      <c r="B2990" s="24" t="s">
        <v>1137</v>
      </c>
      <c r="C2990" s="275">
        <v>43596.0</v>
      </c>
      <c r="D2990" s="24" t="str">
        <f t="shared" si="259"/>
        <v>May-2019</v>
      </c>
      <c r="E2990" t="s">
        <v>222</v>
      </c>
      <c r="F2990" s="24" t="s">
        <v>278</v>
      </c>
      <c r="G2990" s="24" t="s">
        <v>911</v>
      </c>
      <c r="H2990" s="24" t="s">
        <v>44</v>
      </c>
      <c r="I2990" s="24" t="s">
        <v>9</v>
      </c>
      <c r="J2990" s="24" t="s">
        <v>24</v>
      </c>
      <c r="K2990" s="24"/>
      <c r="L2990" s="24" t="s">
        <v>98</v>
      </c>
    </row>
    <row r="2991">
      <c r="A2991" s="24">
        <f t="shared" si="1"/>
        <v>2989</v>
      </c>
      <c r="B2991" s="24" t="s">
        <v>1137</v>
      </c>
      <c r="C2991" s="275">
        <v>43596.0</v>
      </c>
      <c r="D2991" s="24" t="str">
        <f t="shared" si="259"/>
        <v>May-2019</v>
      </c>
      <c r="E2991" t="s">
        <v>467</v>
      </c>
      <c r="F2991" s="24" t="s">
        <v>278</v>
      </c>
      <c r="G2991" s="24" t="s">
        <v>911</v>
      </c>
      <c r="H2991" s="24" t="s">
        <v>44</v>
      </c>
      <c r="I2991" s="24" t="s">
        <v>9</v>
      </c>
      <c r="J2991" s="24" t="s">
        <v>24</v>
      </c>
      <c r="K2991" s="24"/>
      <c r="L2991" s="24" t="s">
        <v>69</v>
      </c>
    </row>
    <row r="2992">
      <c r="A2992" s="24">
        <f t="shared" si="1"/>
        <v>2990</v>
      </c>
      <c r="B2992" s="24" t="s">
        <v>1145</v>
      </c>
      <c r="C2992" s="275">
        <v>43603.0</v>
      </c>
      <c r="D2992" s="24" t="str">
        <f t="shared" ref="D2992:D2999" si="260">TEXT(C2985:C2992, "mmm") &amp; "-" &amp; TEXT(C2985:C2992, "yyyy") </f>
        <v>May-2019</v>
      </c>
      <c r="E2992" t="s">
        <v>20</v>
      </c>
      <c r="F2992" s="24" t="s">
        <v>35</v>
      </c>
      <c r="G2992" s="24" t="s">
        <v>1147</v>
      </c>
      <c r="H2992" s="24" t="s">
        <v>40</v>
      </c>
      <c r="I2992" s="24" t="s">
        <v>9</v>
      </c>
      <c r="J2992" s="24" t="s">
        <v>30</v>
      </c>
      <c r="K2992" s="24" t="s">
        <v>30</v>
      </c>
      <c r="L2992" s="24" t="s">
        <v>98</v>
      </c>
    </row>
    <row r="2993">
      <c r="A2993" s="24">
        <f t="shared" si="1"/>
        <v>2991</v>
      </c>
      <c r="B2993" s="24" t="s">
        <v>1145</v>
      </c>
      <c r="C2993" s="275">
        <v>43603.0</v>
      </c>
      <c r="D2993" s="24" t="str">
        <f t="shared" si="260"/>
        <v>May-2019</v>
      </c>
      <c r="E2993" t="s">
        <v>25</v>
      </c>
      <c r="F2993" s="24" t="s">
        <v>35</v>
      </c>
      <c r="G2993" s="24" t="s">
        <v>1147</v>
      </c>
      <c r="H2993" s="24" t="s">
        <v>40</v>
      </c>
      <c r="I2993" s="24" t="s">
        <v>9</v>
      </c>
      <c r="J2993" s="24" t="s">
        <v>30</v>
      </c>
      <c r="K2993" s="24"/>
      <c r="L2993" s="24" t="s">
        <v>69</v>
      </c>
    </row>
    <row r="2994">
      <c r="A2994" s="24">
        <f t="shared" si="1"/>
        <v>2992</v>
      </c>
      <c r="B2994" s="24" t="s">
        <v>1145</v>
      </c>
      <c r="C2994" s="275">
        <v>43603.0</v>
      </c>
      <c r="D2994" s="24" t="str">
        <f t="shared" si="260"/>
        <v>May-2019</v>
      </c>
      <c r="E2994" t="s">
        <v>20</v>
      </c>
      <c r="F2994" s="24" t="s">
        <v>35</v>
      </c>
      <c r="G2994" s="24" t="s">
        <v>1149</v>
      </c>
      <c r="H2994" s="24" t="s">
        <v>9</v>
      </c>
      <c r="I2994" s="24" t="s">
        <v>9</v>
      </c>
      <c r="J2994" s="24" t="s">
        <v>30</v>
      </c>
      <c r="K2994" s="24" t="s">
        <v>30</v>
      </c>
      <c r="L2994" s="24" t="s">
        <v>98</v>
      </c>
    </row>
    <row r="2995">
      <c r="A2995" s="24">
        <f t="shared" si="1"/>
        <v>2993</v>
      </c>
      <c r="B2995" s="24" t="s">
        <v>1145</v>
      </c>
      <c r="C2995" s="275">
        <v>43603.0</v>
      </c>
      <c r="D2995" s="24" t="str">
        <f t="shared" si="260"/>
        <v>May-2019</v>
      </c>
      <c r="E2995" t="s">
        <v>25</v>
      </c>
      <c r="F2995" s="24" t="s">
        <v>35</v>
      </c>
      <c r="G2995" s="24" t="s">
        <v>1149</v>
      </c>
      <c r="H2995" s="24" t="s">
        <v>27</v>
      </c>
      <c r="I2995" s="24" t="s">
        <v>9</v>
      </c>
      <c r="J2995" s="24" t="s">
        <v>30</v>
      </c>
      <c r="K2995" s="24"/>
      <c r="L2995" s="24" t="s">
        <v>69</v>
      </c>
    </row>
    <row r="2996">
      <c r="A2996" s="24">
        <f t="shared" si="1"/>
        <v>2994</v>
      </c>
      <c r="B2996" s="24" t="s">
        <v>1145</v>
      </c>
      <c r="C2996" s="275">
        <v>43603.0</v>
      </c>
      <c r="D2996" s="24" t="str">
        <f t="shared" si="260"/>
        <v>May-2019</v>
      </c>
      <c r="E2996" t="s">
        <v>146</v>
      </c>
      <c r="F2996" s="24" t="s">
        <v>35</v>
      </c>
      <c r="G2996" s="24" t="s">
        <v>184</v>
      </c>
      <c r="H2996" s="24" t="s">
        <v>44</v>
      </c>
      <c r="I2996" s="24" t="s">
        <v>9</v>
      </c>
      <c r="J2996" s="24" t="s">
        <v>30</v>
      </c>
      <c r="K2996" s="24" t="s">
        <v>30</v>
      </c>
      <c r="L2996" s="24" t="s">
        <v>69</v>
      </c>
    </row>
    <row r="2997">
      <c r="A2997" s="24">
        <f t="shared" si="1"/>
        <v>2995</v>
      </c>
      <c r="B2997" s="24" t="s">
        <v>1145</v>
      </c>
      <c r="C2997" s="275">
        <v>43603.0</v>
      </c>
      <c r="D2997" s="24" t="str">
        <f t="shared" si="260"/>
        <v>May-2019</v>
      </c>
      <c r="E2997" t="s">
        <v>149</v>
      </c>
      <c r="F2997" s="24" t="s">
        <v>35</v>
      </c>
      <c r="G2997" s="24" t="s">
        <v>184</v>
      </c>
      <c r="H2997" s="24" t="s">
        <v>9</v>
      </c>
      <c r="I2997" s="24" t="s">
        <v>9</v>
      </c>
      <c r="J2997" s="24" t="s">
        <v>30</v>
      </c>
      <c r="K2997" s="24"/>
      <c r="L2997" s="24" t="s">
        <v>69</v>
      </c>
    </row>
    <row r="2998">
      <c r="A2998" s="24">
        <f t="shared" si="1"/>
        <v>2996</v>
      </c>
      <c r="B2998" s="24" t="s">
        <v>1145</v>
      </c>
      <c r="C2998" s="275">
        <v>43603.0</v>
      </c>
      <c r="D2998" s="24" t="str">
        <f t="shared" si="260"/>
        <v>May-2019</v>
      </c>
      <c r="E2998" t="s">
        <v>222</v>
      </c>
      <c r="F2998" s="24" t="s">
        <v>35</v>
      </c>
      <c r="G2998" s="24" t="s">
        <v>184</v>
      </c>
      <c r="H2998" s="24" t="s">
        <v>86</v>
      </c>
      <c r="I2998" s="24" t="s">
        <v>9</v>
      </c>
      <c r="J2998" s="24" t="s">
        <v>30</v>
      </c>
      <c r="K2998" s="24"/>
      <c r="L2998" s="24" t="s">
        <v>37</v>
      </c>
    </row>
    <row r="2999">
      <c r="A2999" s="24">
        <f t="shared" si="1"/>
        <v>2997</v>
      </c>
      <c r="B2999" s="24" t="s">
        <v>1145</v>
      </c>
      <c r="C2999" s="275">
        <v>43603.0</v>
      </c>
      <c r="D2999" s="24" t="str">
        <f t="shared" si="260"/>
        <v>May-2019</v>
      </c>
      <c r="E2999" t="s">
        <v>146</v>
      </c>
      <c r="F2999" s="24" t="s">
        <v>35</v>
      </c>
      <c r="G2999" s="24" t="s">
        <v>94</v>
      </c>
      <c r="H2999" s="24" t="s">
        <v>44</v>
      </c>
      <c r="I2999" s="24" t="s">
        <v>9</v>
      </c>
      <c r="J2999" s="24" t="s">
        <v>24</v>
      </c>
      <c r="K2999" s="24" t="s">
        <v>24</v>
      </c>
      <c r="L2999" s="24" t="s">
        <v>69</v>
      </c>
    </row>
    <row r="3000">
      <c r="A3000" s="24">
        <f t="shared" si="1"/>
        <v>2998</v>
      </c>
      <c r="B3000" s="24" t="s">
        <v>1145</v>
      </c>
      <c r="C3000" s="275">
        <v>43603.0</v>
      </c>
      <c r="D3000" s="24" t="str">
        <f t="shared" ref="D3000:D3009" si="261">TEXT(C2992:C3000, "mmm") &amp; "-" &amp; TEXT(C2992:C3000, "yyyy") </f>
        <v>May-2019</v>
      </c>
      <c r="E3000" t="s">
        <v>149</v>
      </c>
      <c r="F3000" s="24" t="s">
        <v>35</v>
      </c>
      <c r="G3000" s="24" t="s">
        <v>94</v>
      </c>
      <c r="H3000" s="24" t="s">
        <v>44</v>
      </c>
      <c r="I3000" s="24" t="s">
        <v>9</v>
      </c>
      <c r="J3000" s="24" t="s">
        <v>24</v>
      </c>
      <c r="K3000" s="24"/>
      <c r="L3000" s="24" t="s">
        <v>106</v>
      </c>
    </row>
    <row r="3001">
      <c r="A3001" s="24">
        <f t="shared" si="1"/>
        <v>2999</v>
      </c>
      <c r="B3001" s="24" t="s">
        <v>1145</v>
      </c>
      <c r="C3001" s="275">
        <v>43603.0</v>
      </c>
      <c r="D3001" s="24" t="str">
        <f t="shared" si="261"/>
        <v>May-2019</v>
      </c>
      <c r="E3001" t="s">
        <v>222</v>
      </c>
      <c r="F3001" s="24" t="s">
        <v>35</v>
      </c>
      <c r="G3001" s="24" t="s">
        <v>94</v>
      </c>
      <c r="H3001" s="24" t="s">
        <v>44</v>
      </c>
      <c r="I3001" s="24" t="s">
        <v>9</v>
      </c>
      <c r="J3001" s="24" t="s">
        <v>24</v>
      </c>
      <c r="K3001" s="24"/>
      <c r="L3001" s="24" t="s">
        <v>69</v>
      </c>
    </row>
    <row r="3002">
      <c r="A3002" s="24">
        <f t="shared" si="1"/>
        <v>3000</v>
      </c>
      <c r="B3002" s="24" t="s">
        <v>1145</v>
      </c>
      <c r="C3002" s="275">
        <v>43603.0</v>
      </c>
      <c r="D3002" s="24" t="str">
        <f t="shared" si="261"/>
        <v>May-2019</v>
      </c>
      <c r="E3002" t="s">
        <v>146</v>
      </c>
      <c r="F3002" s="24" t="s">
        <v>35</v>
      </c>
      <c r="G3002" s="24" t="s">
        <v>184</v>
      </c>
      <c r="H3002" s="24" t="s">
        <v>27</v>
      </c>
      <c r="I3002" s="24" t="s">
        <v>9</v>
      </c>
      <c r="J3002" s="24" t="s">
        <v>24</v>
      </c>
      <c r="K3002" s="24" t="s">
        <v>30</v>
      </c>
      <c r="L3002" s="24" t="s">
        <v>69</v>
      </c>
    </row>
    <row r="3003">
      <c r="A3003" s="24">
        <f t="shared" si="1"/>
        <v>3001</v>
      </c>
      <c r="B3003" s="24" t="s">
        <v>1145</v>
      </c>
      <c r="C3003" s="275">
        <v>43603.0</v>
      </c>
      <c r="D3003" s="24" t="str">
        <f t="shared" si="261"/>
        <v>May-2019</v>
      </c>
      <c r="E3003" t="s">
        <v>149</v>
      </c>
      <c r="F3003" s="24" t="s">
        <v>35</v>
      </c>
      <c r="G3003" s="24" t="s">
        <v>184</v>
      </c>
      <c r="H3003" s="24" t="s">
        <v>27</v>
      </c>
      <c r="I3003" s="24" t="s">
        <v>9</v>
      </c>
      <c r="J3003" s="24" t="s">
        <v>30</v>
      </c>
      <c r="K3003" s="24"/>
      <c r="L3003" s="24" t="s">
        <v>106</v>
      </c>
    </row>
    <row r="3004">
      <c r="A3004" s="24">
        <f t="shared" si="1"/>
        <v>3002</v>
      </c>
      <c r="B3004" s="24" t="s">
        <v>1145</v>
      </c>
      <c r="C3004" s="275">
        <v>43603.0</v>
      </c>
      <c r="D3004" s="24" t="str">
        <f t="shared" si="261"/>
        <v>May-2019</v>
      </c>
      <c r="E3004" t="s">
        <v>222</v>
      </c>
      <c r="F3004" s="24" t="s">
        <v>35</v>
      </c>
      <c r="G3004" s="24" t="s">
        <v>184</v>
      </c>
      <c r="H3004" s="24" t="s">
        <v>44</v>
      </c>
      <c r="I3004" s="24" t="s">
        <v>9</v>
      </c>
      <c r="J3004" s="24" t="s">
        <v>30</v>
      </c>
      <c r="K3004" s="24"/>
      <c r="L3004" s="24" t="s">
        <v>29</v>
      </c>
    </row>
    <row r="3005">
      <c r="A3005" s="24">
        <f t="shared" si="1"/>
        <v>3003</v>
      </c>
      <c r="B3005" s="24" t="s">
        <v>1145</v>
      </c>
      <c r="C3005" s="275">
        <v>43603.0</v>
      </c>
      <c r="D3005" s="24" t="str">
        <f t="shared" si="261"/>
        <v>May-2019</v>
      </c>
      <c r="E3005" t="s">
        <v>467</v>
      </c>
      <c r="F3005" s="24" t="s">
        <v>35</v>
      </c>
      <c r="G3005" s="24" t="s">
        <v>184</v>
      </c>
      <c r="H3005" s="24" t="s">
        <v>9</v>
      </c>
      <c r="I3005" s="24" t="s">
        <v>9</v>
      </c>
      <c r="J3005" s="24" t="s">
        <v>30</v>
      </c>
      <c r="K3005" s="24"/>
      <c r="L3005" s="24" t="s">
        <v>69</v>
      </c>
    </row>
    <row r="3006">
      <c r="A3006" s="24">
        <f t="shared" si="1"/>
        <v>3004</v>
      </c>
      <c r="B3006" s="24" t="s">
        <v>1145</v>
      </c>
      <c r="C3006" s="275">
        <v>43603.0</v>
      </c>
      <c r="D3006" s="24" t="str">
        <f t="shared" si="261"/>
        <v>May-2019</v>
      </c>
      <c r="E3006" t="s">
        <v>146</v>
      </c>
      <c r="F3006" s="24" t="s">
        <v>35</v>
      </c>
      <c r="G3006" s="24" t="s">
        <v>94</v>
      </c>
      <c r="H3006" s="24" t="s">
        <v>44</v>
      </c>
      <c r="I3006" s="24" t="s">
        <v>9</v>
      </c>
      <c r="J3006" s="24" t="s">
        <v>30</v>
      </c>
      <c r="K3006" s="24" t="s">
        <v>24</v>
      </c>
      <c r="L3006" s="24" t="s">
        <v>69</v>
      </c>
    </row>
    <row r="3007">
      <c r="A3007" s="24">
        <f t="shared" si="1"/>
        <v>3005</v>
      </c>
      <c r="B3007" s="24" t="s">
        <v>1145</v>
      </c>
      <c r="C3007" s="275">
        <v>43603.0</v>
      </c>
      <c r="D3007" s="24" t="str">
        <f t="shared" si="261"/>
        <v>May-2019</v>
      </c>
      <c r="E3007" t="s">
        <v>149</v>
      </c>
      <c r="F3007" s="24" t="s">
        <v>35</v>
      </c>
      <c r="G3007" s="24" t="s">
        <v>94</v>
      </c>
      <c r="H3007" s="24" t="s">
        <v>44</v>
      </c>
      <c r="I3007" s="24" t="s">
        <v>9</v>
      </c>
      <c r="J3007" s="24" t="s">
        <v>24</v>
      </c>
      <c r="K3007" s="24"/>
      <c r="L3007" s="24" t="s">
        <v>29</v>
      </c>
    </row>
    <row r="3008">
      <c r="A3008" s="24">
        <f t="shared" si="1"/>
        <v>3006</v>
      </c>
      <c r="B3008" s="24" t="s">
        <v>1145</v>
      </c>
      <c r="C3008" s="275">
        <v>43603.0</v>
      </c>
      <c r="D3008" s="24" t="str">
        <f t="shared" si="261"/>
        <v>May-2019</v>
      </c>
      <c r="E3008" t="s">
        <v>222</v>
      </c>
      <c r="F3008" s="24" t="s">
        <v>35</v>
      </c>
      <c r="G3008" s="24" t="s">
        <v>94</v>
      </c>
      <c r="H3008" s="24" t="s">
        <v>44</v>
      </c>
      <c r="I3008" s="24" t="s">
        <v>9</v>
      </c>
      <c r="J3008" s="24" t="s">
        <v>24</v>
      </c>
      <c r="K3008" s="24"/>
      <c r="L3008" s="24" t="s">
        <v>106</v>
      </c>
    </row>
    <row r="3009">
      <c r="A3009" s="24">
        <f t="shared" si="1"/>
        <v>3007</v>
      </c>
      <c r="B3009" s="24" t="s">
        <v>1145</v>
      </c>
      <c r="C3009" s="275">
        <v>43603.0</v>
      </c>
      <c r="D3009" s="24" t="str">
        <f t="shared" si="261"/>
        <v>May-2019</v>
      </c>
      <c r="E3009" t="s">
        <v>467</v>
      </c>
      <c r="F3009" s="24" t="s">
        <v>35</v>
      </c>
      <c r="G3009" s="24" t="s">
        <v>94</v>
      </c>
      <c r="H3009" s="24" t="s">
        <v>44</v>
      </c>
      <c r="I3009" s="24" t="s">
        <v>9</v>
      </c>
      <c r="J3009" s="24" t="s">
        <v>24</v>
      </c>
      <c r="K3009" s="24"/>
      <c r="L3009" s="24" t="s">
        <v>37</v>
      </c>
    </row>
    <row r="3010">
      <c r="A3010" s="24">
        <f t="shared" si="1"/>
        <v>3008</v>
      </c>
      <c r="B3010" s="24" t="s">
        <v>1151</v>
      </c>
      <c r="C3010" s="275">
        <v>43613.0</v>
      </c>
      <c r="D3010" s="24" t="str">
        <f t="shared" ref="D3010:D3017" si="262">TEXT(C3003:C3010, "mmm") &amp; "-" &amp; TEXT(C3003:C3010, "yyyy") </f>
        <v>May-2019</v>
      </c>
      <c r="E3010" t="s">
        <v>20</v>
      </c>
      <c r="F3010" s="24" t="s">
        <v>1101</v>
      </c>
      <c r="G3010" s="24" t="s">
        <v>302</v>
      </c>
      <c r="H3010" s="24" t="s">
        <v>27</v>
      </c>
      <c r="I3010" s="24" t="s">
        <v>9</v>
      </c>
      <c r="J3010" s="24" t="s">
        <v>30</v>
      </c>
      <c r="K3010" s="24" t="s">
        <v>30</v>
      </c>
      <c r="L3010" s="24" t="s">
        <v>37</v>
      </c>
    </row>
    <row r="3011">
      <c r="A3011" s="24">
        <f t="shared" si="1"/>
        <v>3009</v>
      </c>
      <c r="B3011" s="24" t="s">
        <v>1151</v>
      </c>
      <c r="C3011" s="275">
        <v>43613.0</v>
      </c>
      <c r="D3011" s="24" t="str">
        <f t="shared" si="262"/>
        <v>May-2019</v>
      </c>
      <c r="E3011" t="s">
        <v>25</v>
      </c>
      <c r="F3011" s="24" t="s">
        <v>1101</v>
      </c>
      <c r="G3011" s="24" t="s">
        <v>302</v>
      </c>
      <c r="H3011" s="24" t="s">
        <v>27</v>
      </c>
      <c r="I3011" s="24" t="s">
        <v>9</v>
      </c>
      <c r="J3011" s="24" t="s">
        <v>30</v>
      </c>
      <c r="K3011" s="24"/>
      <c r="L3011" s="24" t="s">
        <v>29</v>
      </c>
    </row>
    <row r="3012">
      <c r="A3012" s="24">
        <f t="shared" si="1"/>
        <v>3010</v>
      </c>
      <c r="B3012" s="24" t="s">
        <v>1151</v>
      </c>
      <c r="C3012" s="275">
        <v>43613.0</v>
      </c>
      <c r="D3012" s="24" t="str">
        <f t="shared" si="262"/>
        <v>May-2019</v>
      </c>
      <c r="E3012" t="s">
        <v>20</v>
      </c>
      <c r="F3012" s="24" t="s">
        <v>1101</v>
      </c>
      <c r="G3012" s="24" t="s">
        <v>989</v>
      </c>
      <c r="H3012" s="24" t="s">
        <v>86</v>
      </c>
      <c r="I3012" s="24" t="s">
        <v>9</v>
      </c>
      <c r="J3012" s="24" t="s">
        <v>30</v>
      </c>
      <c r="K3012" s="24" t="s">
        <v>24</v>
      </c>
      <c r="L3012" s="24" t="s">
        <v>69</v>
      </c>
    </row>
    <row r="3013">
      <c r="A3013" s="24">
        <f t="shared" si="1"/>
        <v>3011</v>
      </c>
      <c r="B3013" s="24" t="s">
        <v>1151</v>
      </c>
      <c r="C3013" s="275">
        <v>43613.0</v>
      </c>
      <c r="D3013" s="24" t="str">
        <f t="shared" si="262"/>
        <v>May-2019</v>
      </c>
      <c r="E3013" t="s">
        <v>25</v>
      </c>
      <c r="F3013" s="24" t="s">
        <v>1101</v>
      </c>
      <c r="G3013" s="24" t="s">
        <v>989</v>
      </c>
      <c r="H3013" s="24" t="s">
        <v>86</v>
      </c>
      <c r="I3013" s="24" t="s">
        <v>9</v>
      </c>
      <c r="J3013" s="24" t="s">
        <v>24</v>
      </c>
      <c r="K3013" s="24"/>
      <c r="L3013" s="24" t="s">
        <v>98</v>
      </c>
    </row>
    <row r="3014">
      <c r="A3014" s="24">
        <f t="shared" si="1"/>
        <v>3012</v>
      </c>
      <c r="B3014" s="24" t="s">
        <v>1151</v>
      </c>
      <c r="C3014" s="275">
        <v>43613.0</v>
      </c>
      <c r="D3014" s="24" t="str">
        <f t="shared" si="262"/>
        <v>May-2019</v>
      </c>
      <c r="E3014" t="s">
        <v>32</v>
      </c>
      <c r="F3014" s="24" t="s">
        <v>1101</v>
      </c>
      <c r="G3014" s="24" t="s">
        <v>989</v>
      </c>
      <c r="H3014" s="24" t="s">
        <v>86</v>
      </c>
      <c r="I3014" s="24" t="s">
        <v>9</v>
      </c>
      <c r="J3014" s="24" t="s">
        <v>24</v>
      </c>
      <c r="K3014" s="24"/>
      <c r="L3014" s="24" t="s">
        <v>29</v>
      </c>
    </row>
    <row r="3015">
      <c r="A3015" s="24">
        <f t="shared" si="1"/>
        <v>3013</v>
      </c>
      <c r="B3015" s="24" t="s">
        <v>1151</v>
      </c>
      <c r="C3015" s="275">
        <v>43613.0</v>
      </c>
      <c r="D3015" s="24" t="str">
        <f t="shared" si="262"/>
        <v>May-2019</v>
      </c>
      <c r="E3015" t="s">
        <v>20</v>
      </c>
      <c r="F3015" s="24" t="s">
        <v>1101</v>
      </c>
      <c r="G3015" s="24" t="s">
        <v>1113</v>
      </c>
      <c r="H3015" s="24" t="s">
        <v>64</v>
      </c>
      <c r="I3015" s="24" t="s">
        <v>9</v>
      </c>
      <c r="J3015" s="24" t="s">
        <v>30</v>
      </c>
      <c r="K3015" s="24" t="s">
        <v>30</v>
      </c>
      <c r="L3015" s="24" t="s">
        <v>98</v>
      </c>
    </row>
    <row r="3016">
      <c r="A3016" s="24">
        <f t="shared" si="1"/>
        <v>3014</v>
      </c>
      <c r="B3016" s="24" t="s">
        <v>1151</v>
      </c>
      <c r="C3016" s="275">
        <v>43613.0</v>
      </c>
      <c r="D3016" s="24" t="str">
        <f t="shared" si="262"/>
        <v>May-2019</v>
      </c>
      <c r="E3016" t="s">
        <v>25</v>
      </c>
      <c r="F3016" s="24" t="s">
        <v>1101</v>
      </c>
      <c r="G3016" s="24" t="s">
        <v>1113</v>
      </c>
      <c r="H3016" s="24" t="s">
        <v>64</v>
      </c>
      <c r="I3016" s="24" t="s">
        <v>9</v>
      </c>
      <c r="J3016" s="24" t="s">
        <v>30</v>
      </c>
      <c r="K3016" s="24"/>
      <c r="L3016" s="24" t="s">
        <v>37</v>
      </c>
    </row>
    <row r="3017">
      <c r="A3017" s="24">
        <f t="shared" si="1"/>
        <v>3015</v>
      </c>
      <c r="B3017" s="24" t="s">
        <v>1151</v>
      </c>
      <c r="C3017" s="275">
        <v>43613.0</v>
      </c>
      <c r="D3017" s="24" t="str">
        <f t="shared" si="262"/>
        <v>May-2019</v>
      </c>
      <c r="E3017" t="s">
        <v>20</v>
      </c>
      <c r="F3017" s="24" t="s">
        <v>1101</v>
      </c>
      <c r="G3017" s="24" t="s">
        <v>452</v>
      </c>
      <c r="H3017" s="24" t="s">
        <v>27</v>
      </c>
      <c r="I3017" s="24" t="s">
        <v>9</v>
      </c>
      <c r="J3017" s="24" t="s">
        <v>30</v>
      </c>
      <c r="K3017" s="24" t="s">
        <v>30</v>
      </c>
      <c r="L3017" s="24" t="s">
        <v>37</v>
      </c>
    </row>
    <row r="3018">
      <c r="A3018" s="24">
        <f t="shared" si="1"/>
        <v>3016</v>
      </c>
      <c r="B3018" s="24" t="s">
        <v>1151</v>
      </c>
      <c r="C3018" s="275">
        <v>43613.0</v>
      </c>
      <c r="D3018" s="24" t="str">
        <f t="shared" ref="D3018:D3039" si="263">TEXT(C3010:C3018, "mmm") &amp; "-" &amp; TEXT(C3010:C3018, "yyyy") </f>
        <v>May-2019</v>
      </c>
      <c r="E3018" t="s">
        <v>25</v>
      </c>
      <c r="F3018" s="24" t="s">
        <v>1101</v>
      </c>
      <c r="G3018" s="24" t="s">
        <v>452</v>
      </c>
      <c r="H3018" s="24" t="s">
        <v>27</v>
      </c>
      <c r="I3018" s="24" t="s">
        <v>9</v>
      </c>
      <c r="J3018" s="24" t="s">
        <v>24</v>
      </c>
      <c r="K3018" s="24"/>
      <c r="L3018" s="24" t="s">
        <v>99</v>
      </c>
    </row>
    <row r="3019">
      <c r="A3019" s="24">
        <f t="shared" si="1"/>
        <v>3017</v>
      </c>
      <c r="B3019" s="24" t="s">
        <v>1151</v>
      </c>
      <c r="C3019" s="275">
        <v>43613.0</v>
      </c>
      <c r="D3019" s="24" t="str">
        <f t="shared" si="263"/>
        <v>May-2019</v>
      </c>
      <c r="E3019" t="s">
        <v>32</v>
      </c>
      <c r="F3019" s="24" t="s">
        <v>1101</v>
      </c>
      <c r="G3019" s="24" t="s">
        <v>452</v>
      </c>
      <c r="H3019" s="24" t="s">
        <v>27</v>
      </c>
      <c r="I3019" s="24" t="s">
        <v>9</v>
      </c>
      <c r="J3019" s="24" t="s">
        <v>30</v>
      </c>
      <c r="K3019" s="24"/>
      <c r="L3019" s="24" t="s">
        <v>106</v>
      </c>
    </row>
    <row r="3020">
      <c r="A3020" s="24">
        <f t="shared" si="1"/>
        <v>3018</v>
      </c>
      <c r="B3020" s="24" t="s">
        <v>1151</v>
      </c>
      <c r="C3020" s="275">
        <v>43613.0</v>
      </c>
      <c r="D3020" s="24" t="str">
        <f t="shared" si="263"/>
        <v>May-2019</v>
      </c>
      <c r="E3020" t="s">
        <v>20</v>
      </c>
      <c r="F3020" s="24" t="s">
        <v>35</v>
      </c>
      <c r="G3020" s="24" t="s">
        <v>989</v>
      </c>
      <c r="H3020" s="24" t="s">
        <v>86</v>
      </c>
      <c r="I3020" s="24" t="s">
        <v>9</v>
      </c>
      <c r="J3020" s="24" t="s">
        <v>30</v>
      </c>
      <c r="K3020" s="24" t="s">
        <v>30</v>
      </c>
      <c r="L3020" s="24" t="s">
        <v>69</v>
      </c>
    </row>
    <row r="3021">
      <c r="A3021" s="24">
        <f t="shared" si="1"/>
        <v>3019</v>
      </c>
      <c r="B3021" s="24" t="s">
        <v>1151</v>
      </c>
      <c r="C3021" s="275">
        <v>43613.0</v>
      </c>
      <c r="D3021" s="24" t="str">
        <f t="shared" si="263"/>
        <v>May-2019</v>
      </c>
      <c r="E3021" t="s">
        <v>25</v>
      </c>
      <c r="F3021" s="24" t="s">
        <v>35</v>
      </c>
      <c r="G3021" s="24" t="s">
        <v>989</v>
      </c>
      <c r="H3021" s="24" t="s">
        <v>86</v>
      </c>
      <c r="I3021" s="24" t="s">
        <v>9</v>
      </c>
      <c r="J3021" s="24" t="s">
        <v>30</v>
      </c>
      <c r="K3021" s="24"/>
      <c r="L3021" s="24" t="s">
        <v>98</v>
      </c>
    </row>
    <row r="3022">
      <c r="A3022" s="24">
        <f t="shared" si="1"/>
        <v>3020</v>
      </c>
      <c r="B3022" s="24" t="s">
        <v>1151</v>
      </c>
      <c r="C3022" s="275">
        <v>43613.0</v>
      </c>
      <c r="D3022" s="24" t="str">
        <f t="shared" si="263"/>
        <v>May-2019</v>
      </c>
      <c r="E3022" t="s">
        <v>146</v>
      </c>
      <c r="F3022" s="24" t="s">
        <v>35</v>
      </c>
      <c r="G3022" s="24" t="s">
        <v>81</v>
      </c>
      <c r="H3022" s="24" t="s">
        <v>9</v>
      </c>
      <c r="I3022" s="24" t="s">
        <v>9</v>
      </c>
      <c r="J3022" s="24" t="s">
        <v>30</v>
      </c>
      <c r="K3022" s="24" t="s">
        <v>24</v>
      </c>
      <c r="L3022" s="24" t="s">
        <v>69</v>
      </c>
    </row>
    <row r="3023">
      <c r="A3023" s="24">
        <f t="shared" si="1"/>
        <v>3021</v>
      </c>
      <c r="B3023" s="24" t="s">
        <v>1151</v>
      </c>
      <c r="C3023" s="275">
        <v>43613.0</v>
      </c>
      <c r="D3023" s="24" t="str">
        <f t="shared" si="263"/>
        <v>May-2019</v>
      </c>
      <c r="E3023" t="s">
        <v>149</v>
      </c>
      <c r="F3023" s="24" t="s">
        <v>35</v>
      </c>
      <c r="G3023" s="24" t="s">
        <v>81</v>
      </c>
      <c r="H3023" s="24" t="s">
        <v>9</v>
      </c>
      <c r="I3023" s="24" t="s">
        <v>9</v>
      </c>
      <c r="J3023" s="24" t="s">
        <v>30</v>
      </c>
      <c r="K3023" s="24"/>
      <c r="L3023" s="24" t="s">
        <v>69</v>
      </c>
    </row>
    <row r="3024">
      <c r="A3024" s="24">
        <f t="shared" si="1"/>
        <v>3022</v>
      </c>
      <c r="B3024" s="24" t="s">
        <v>1151</v>
      </c>
      <c r="C3024" s="275">
        <v>43613.0</v>
      </c>
      <c r="D3024" s="24" t="str">
        <f t="shared" si="263"/>
        <v>May-2019</v>
      </c>
      <c r="E3024" t="s">
        <v>222</v>
      </c>
      <c r="F3024" s="24" t="s">
        <v>35</v>
      </c>
      <c r="G3024" s="24" t="s">
        <v>81</v>
      </c>
      <c r="H3024" s="24" t="s">
        <v>9</v>
      </c>
      <c r="I3024" s="24" t="s">
        <v>9</v>
      </c>
      <c r="J3024" s="24" t="s">
        <v>24</v>
      </c>
      <c r="K3024" s="24"/>
      <c r="L3024" s="24" t="s">
        <v>98</v>
      </c>
    </row>
    <row r="3025">
      <c r="A3025" s="24">
        <f t="shared" si="1"/>
        <v>3023</v>
      </c>
      <c r="B3025" s="24" t="s">
        <v>1151</v>
      </c>
      <c r="C3025" s="275">
        <v>43613.0</v>
      </c>
      <c r="D3025" s="24" t="str">
        <f t="shared" si="263"/>
        <v>May-2019</v>
      </c>
      <c r="E3025" t="s">
        <v>467</v>
      </c>
      <c r="F3025" s="24" t="s">
        <v>35</v>
      </c>
      <c r="G3025" s="24" t="s">
        <v>81</v>
      </c>
      <c r="H3025" s="24" t="s">
        <v>9</v>
      </c>
      <c r="I3025" s="24" t="s">
        <v>9</v>
      </c>
      <c r="J3025" s="24" t="s">
        <v>24</v>
      </c>
      <c r="K3025" s="24"/>
      <c r="L3025" s="24" t="s">
        <v>106</v>
      </c>
    </row>
    <row r="3026">
      <c r="A3026" s="24">
        <f t="shared" si="1"/>
        <v>3024</v>
      </c>
      <c r="B3026" s="24" t="s">
        <v>1151</v>
      </c>
      <c r="C3026" s="275">
        <v>43613.0</v>
      </c>
      <c r="D3026" s="24" t="str">
        <f t="shared" si="263"/>
        <v>May-2019</v>
      </c>
      <c r="E3026" s="24" t="s">
        <v>480</v>
      </c>
      <c r="F3026" s="24" t="s">
        <v>35</v>
      </c>
      <c r="G3026" s="24" t="s">
        <v>81</v>
      </c>
      <c r="H3026" s="24" t="s">
        <v>9</v>
      </c>
      <c r="I3026" s="24" t="s">
        <v>9</v>
      </c>
      <c r="J3026" s="24" t="s">
        <v>24</v>
      </c>
      <c r="K3026" s="24"/>
      <c r="L3026" s="24" t="s">
        <v>106</v>
      </c>
    </row>
    <row r="3027">
      <c r="A3027" s="24">
        <f t="shared" si="1"/>
        <v>3025</v>
      </c>
      <c r="B3027" s="24" t="s">
        <v>1151</v>
      </c>
      <c r="C3027" s="275">
        <v>43613.0</v>
      </c>
      <c r="D3027" s="24" t="str">
        <f t="shared" si="263"/>
        <v>May-2019</v>
      </c>
      <c r="E3027" t="s">
        <v>146</v>
      </c>
      <c r="F3027" s="24" t="s">
        <v>35</v>
      </c>
      <c r="G3027" s="24" t="s">
        <v>302</v>
      </c>
      <c r="H3027" s="24" t="s">
        <v>27</v>
      </c>
      <c r="I3027" s="24" t="s">
        <v>9</v>
      </c>
      <c r="J3027" s="24" t="s">
        <v>30</v>
      </c>
      <c r="K3027" s="24" t="s">
        <v>30</v>
      </c>
      <c r="L3027" s="24" t="s">
        <v>37</v>
      </c>
    </row>
    <row r="3028">
      <c r="A3028" s="24">
        <f t="shared" si="1"/>
        <v>3026</v>
      </c>
      <c r="B3028" s="24" t="s">
        <v>1151</v>
      </c>
      <c r="C3028" s="275">
        <v>43613.0</v>
      </c>
      <c r="D3028" s="24" t="str">
        <f t="shared" si="263"/>
        <v>May-2019</v>
      </c>
      <c r="E3028" t="s">
        <v>149</v>
      </c>
      <c r="F3028" s="24" t="s">
        <v>35</v>
      </c>
      <c r="G3028" s="24" t="s">
        <v>302</v>
      </c>
      <c r="H3028" s="24" t="s">
        <v>27</v>
      </c>
      <c r="I3028" s="24" t="s">
        <v>9</v>
      </c>
      <c r="J3028" s="24" t="s">
        <v>30</v>
      </c>
      <c r="K3028" s="24"/>
      <c r="L3028" s="24" t="s">
        <v>29</v>
      </c>
    </row>
    <row r="3029">
      <c r="A3029" s="24">
        <f t="shared" si="1"/>
        <v>3027</v>
      </c>
      <c r="B3029" s="24" t="s">
        <v>1151</v>
      </c>
      <c r="C3029" s="275">
        <v>43613.0</v>
      </c>
      <c r="D3029" s="24" t="str">
        <f t="shared" si="263"/>
        <v>May-2019</v>
      </c>
      <c r="E3029" t="s">
        <v>222</v>
      </c>
      <c r="F3029" s="24" t="s">
        <v>35</v>
      </c>
      <c r="G3029" s="24" t="s">
        <v>302</v>
      </c>
      <c r="H3029" s="24" t="s">
        <v>27</v>
      </c>
      <c r="I3029" s="24" t="s">
        <v>9</v>
      </c>
      <c r="J3029" s="24" t="s">
        <v>24</v>
      </c>
      <c r="K3029" s="24"/>
      <c r="L3029" s="24" t="s">
        <v>69</v>
      </c>
    </row>
    <row r="3030">
      <c r="A3030" s="24">
        <f t="shared" si="1"/>
        <v>3028</v>
      </c>
      <c r="B3030" s="24" t="s">
        <v>1151</v>
      </c>
      <c r="C3030" s="275">
        <v>43613.0</v>
      </c>
      <c r="D3030" s="24" t="str">
        <f t="shared" si="263"/>
        <v>May-2019</v>
      </c>
      <c r="E3030" t="s">
        <v>467</v>
      </c>
      <c r="F3030" s="24" t="s">
        <v>35</v>
      </c>
      <c r="G3030" s="24" t="s">
        <v>302</v>
      </c>
      <c r="H3030" s="24" t="s">
        <v>27</v>
      </c>
      <c r="I3030" s="24" t="s">
        <v>9</v>
      </c>
      <c r="J3030" s="24" t="s">
        <v>30</v>
      </c>
      <c r="K3030" s="24"/>
      <c r="L3030" s="24" t="s">
        <v>98</v>
      </c>
    </row>
    <row r="3031">
      <c r="A3031" s="24">
        <f t="shared" si="1"/>
        <v>3029</v>
      </c>
      <c r="B3031" s="24" t="s">
        <v>1151</v>
      </c>
      <c r="C3031" s="275">
        <v>43613.0</v>
      </c>
      <c r="D3031" s="24" t="str">
        <f t="shared" si="263"/>
        <v>May-2019</v>
      </c>
      <c r="E3031" t="s">
        <v>146</v>
      </c>
      <c r="F3031" s="24" t="s">
        <v>35</v>
      </c>
      <c r="G3031" s="24" t="s">
        <v>452</v>
      </c>
      <c r="H3031" s="24" t="s">
        <v>27</v>
      </c>
      <c r="I3031" s="24" t="s">
        <v>9</v>
      </c>
      <c r="J3031" s="24" t="s">
        <v>30</v>
      </c>
      <c r="K3031" s="24" t="s">
        <v>30</v>
      </c>
      <c r="L3031" s="24" t="s">
        <v>98</v>
      </c>
    </row>
    <row r="3032">
      <c r="A3032" s="24">
        <f t="shared" si="1"/>
        <v>3030</v>
      </c>
      <c r="B3032" s="24" t="s">
        <v>1151</v>
      </c>
      <c r="C3032" s="275">
        <v>43613.0</v>
      </c>
      <c r="D3032" s="24" t="str">
        <f t="shared" si="263"/>
        <v>May-2019</v>
      </c>
      <c r="E3032" t="s">
        <v>149</v>
      </c>
      <c r="F3032" s="24" t="s">
        <v>35</v>
      </c>
      <c r="G3032" s="24" t="s">
        <v>452</v>
      </c>
      <c r="H3032" s="24" t="s">
        <v>27</v>
      </c>
      <c r="I3032" s="24" t="s">
        <v>9</v>
      </c>
      <c r="J3032" s="24" t="s">
        <v>24</v>
      </c>
      <c r="K3032" s="24"/>
      <c r="L3032" s="24" t="s">
        <v>99</v>
      </c>
    </row>
    <row r="3033">
      <c r="A3033" s="24">
        <f t="shared" si="1"/>
        <v>3031</v>
      </c>
      <c r="B3033" s="24" t="s">
        <v>1151</v>
      </c>
      <c r="C3033" s="275">
        <v>43613.0</v>
      </c>
      <c r="D3033" s="24" t="str">
        <f t="shared" si="263"/>
        <v>May-2019</v>
      </c>
      <c r="E3033" t="s">
        <v>222</v>
      </c>
      <c r="F3033" s="24" t="s">
        <v>35</v>
      </c>
      <c r="G3033" s="24" t="s">
        <v>452</v>
      </c>
      <c r="H3033" s="24" t="s">
        <v>27</v>
      </c>
      <c r="I3033" s="24" t="s">
        <v>9</v>
      </c>
      <c r="J3033" s="24" t="s">
        <v>30</v>
      </c>
      <c r="K3033" s="24"/>
      <c r="L3033" s="24" t="s">
        <v>106</v>
      </c>
    </row>
    <row r="3034">
      <c r="A3034" s="24">
        <f t="shared" si="1"/>
        <v>3032</v>
      </c>
      <c r="B3034" s="24" t="s">
        <v>1151</v>
      </c>
      <c r="C3034" s="275">
        <v>43613.0</v>
      </c>
      <c r="D3034" s="24" t="str">
        <f t="shared" si="263"/>
        <v>May-2019</v>
      </c>
      <c r="E3034" t="s">
        <v>467</v>
      </c>
      <c r="F3034" s="24" t="s">
        <v>35</v>
      </c>
      <c r="G3034" s="24" t="s">
        <v>452</v>
      </c>
      <c r="H3034" s="24" t="s">
        <v>27</v>
      </c>
      <c r="I3034" s="24" t="s">
        <v>9</v>
      </c>
      <c r="J3034" s="24" t="s">
        <v>24</v>
      </c>
      <c r="K3034" s="24"/>
      <c r="L3034" s="24" t="s">
        <v>69</v>
      </c>
    </row>
    <row r="3035">
      <c r="A3035" s="24">
        <f t="shared" si="1"/>
        <v>3033</v>
      </c>
      <c r="B3035" s="24" t="s">
        <v>1151</v>
      </c>
      <c r="C3035" s="275">
        <v>43613.0</v>
      </c>
      <c r="D3035" s="24" t="str">
        <f t="shared" si="263"/>
        <v>May-2019</v>
      </c>
      <c r="E3035" s="24" t="s">
        <v>480</v>
      </c>
      <c r="F3035" s="24" t="s">
        <v>35</v>
      </c>
      <c r="G3035" s="24" t="s">
        <v>452</v>
      </c>
      <c r="H3035" s="24" t="s">
        <v>27</v>
      </c>
      <c r="I3035" s="24" t="s">
        <v>9</v>
      </c>
      <c r="J3035" s="24" t="s">
        <v>30</v>
      </c>
      <c r="K3035" s="24"/>
      <c r="L3035" s="24" t="s">
        <v>37</v>
      </c>
    </row>
    <row r="3036">
      <c r="A3036" s="24">
        <f t="shared" si="1"/>
        <v>3034</v>
      </c>
      <c r="B3036" s="24" t="s">
        <v>1151</v>
      </c>
      <c r="C3036" s="275">
        <v>43613.0</v>
      </c>
      <c r="D3036" s="24" t="str">
        <f t="shared" si="263"/>
        <v>May-2019</v>
      </c>
      <c r="E3036" t="s">
        <v>146</v>
      </c>
      <c r="F3036" s="24" t="s">
        <v>35</v>
      </c>
      <c r="G3036" s="24" t="s">
        <v>81</v>
      </c>
      <c r="H3036" s="24" t="s">
        <v>9</v>
      </c>
      <c r="I3036" s="24" t="s">
        <v>9</v>
      </c>
      <c r="J3036" s="24" t="s">
        <v>30</v>
      </c>
      <c r="K3036" s="24" t="s">
        <v>24</v>
      </c>
      <c r="L3036" s="24" t="s">
        <v>98</v>
      </c>
    </row>
    <row r="3037">
      <c r="A3037" s="24">
        <f t="shared" si="1"/>
        <v>3035</v>
      </c>
      <c r="B3037" s="24" t="s">
        <v>1151</v>
      </c>
      <c r="C3037" s="275">
        <v>43613.0</v>
      </c>
      <c r="D3037" s="24" t="str">
        <f t="shared" si="263"/>
        <v>May-2019</v>
      </c>
      <c r="E3037" t="s">
        <v>149</v>
      </c>
      <c r="F3037" s="24" t="s">
        <v>35</v>
      </c>
      <c r="G3037" s="24" t="s">
        <v>81</v>
      </c>
      <c r="H3037" s="24" t="s">
        <v>9</v>
      </c>
      <c r="I3037" s="24" t="s">
        <v>9</v>
      </c>
      <c r="J3037" s="24" t="s">
        <v>24</v>
      </c>
      <c r="K3037" s="24"/>
      <c r="L3037" s="24" t="s">
        <v>29</v>
      </c>
    </row>
    <row r="3038">
      <c r="A3038" s="24">
        <f t="shared" si="1"/>
        <v>3036</v>
      </c>
      <c r="B3038" s="24" t="s">
        <v>1151</v>
      </c>
      <c r="C3038" s="275">
        <v>43613.0</v>
      </c>
      <c r="D3038" s="24" t="str">
        <f t="shared" si="263"/>
        <v>May-2019</v>
      </c>
      <c r="E3038" t="s">
        <v>222</v>
      </c>
      <c r="F3038" s="24" t="s">
        <v>35</v>
      </c>
      <c r="G3038" s="24" t="s">
        <v>81</v>
      </c>
      <c r="H3038" s="24" t="s">
        <v>9</v>
      </c>
      <c r="I3038" s="24" t="s">
        <v>9</v>
      </c>
      <c r="J3038" s="24" t="s">
        <v>24</v>
      </c>
      <c r="K3038" s="24"/>
      <c r="L3038" s="24" t="s">
        <v>69</v>
      </c>
    </row>
    <row r="3039">
      <c r="A3039" s="24">
        <f t="shared" si="1"/>
        <v>3037</v>
      </c>
      <c r="B3039" s="24" t="s">
        <v>1151</v>
      </c>
      <c r="C3039" s="275">
        <v>43613.0</v>
      </c>
      <c r="D3039" s="24" t="str">
        <f t="shared" si="263"/>
        <v>May-2019</v>
      </c>
      <c r="E3039" t="s">
        <v>467</v>
      </c>
      <c r="F3039" s="24" t="s">
        <v>35</v>
      </c>
      <c r="G3039" s="24" t="s">
        <v>81</v>
      </c>
      <c r="H3039" s="24" t="s">
        <v>9</v>
      </c>
      <c r="I3039" s="24" t="s">
        <v>9</v>
      </c>
      <c r="J3039" s="24" t="s">
        <v>24</v>
      </c>
      <c r="K3039" s="24"/>
      <c r="L3039" s="24" t="s">
        <v>69</v>
      </c>
    </row>
    <row r="3040">
      <c r="A3040" s="24">
        <f t="shared" si="1"/>
        <v>3038</v>
      </c>
      <c r="B3040" s="24" t="s">
        <v>1156</v>
      </c>
      <c r="C3040" s="275">
        <v>43630.0</v>
      </c>
      <c r="D3040" s="24" t="str">
        <f t="shared" ref="D3040:D3047" si="264">TEXT(C3033:C3040, "mmm") &amp; "-" &amp; TEXT(C3033:C3040, "yyyy") </f>
        <v>Jun-2019</v>
      </c>
      <c r="E3040" t="s">
        <v>20</v>
      </c>
      <c r="F3040" s="24" t="s">
        <v>35</v>
      </c>
      <c r="G3040" s="24" t="s">
        <v>839</v>
      </c>
      <c r="H3040" s="24" t="s">
        <v>27</v>
      </c>
      <c r="I3040" s="24" t="s">
        <v>9</v>
      </c>
      <c r="J3040" s="24" t="s">
        <v>30</v>
      </c>
      <c r="K3040" s="24" t="s">
        <v>30</v>
      </c>
      <c r="L3040" s="24" t="s">
        <v>69</v>
      </c>
    </row>
    <row r="3041">
      <c r="A3041" s="24">
        <f t="shared" si="1"/>
        <v>3039</v>
      </c>
      <c r="B3041" s="24" t="s">
        <v>1156</v>
      </c>
      <c r="C3041" s="275">
        <v>43630.0</v>
      </c>
      <c r="D3041" s="24" t="str">
        <f t="shared" si="264"/>
        <v>Jun-2019</v>
      </c>
      <c r="E3041" t="s">
        <v>25</v>
      </c>
      <c r="F3041" s="24" t="s">
        <v>35</v>
      </c>
      <c r="G3041" s="24" t="s">
        <v>839</v>
      </c>
      <c r="H3041" s="24" t="s">
        <v>27</v>
      </c>
      <c r="I3041" s="24" t="s">
        <v>9</v>
      </c>
      <c r="J3041" s="24" t="s">
        <v>30</v>
      </c>
      <c r="K3041" s="24"/>
      <c r="L3041" s="24" t="s">
        <v>106</v>
      </c>
    </row>
    <row r="3042">
      <c r="A3042" s="24">
        <f t="shared" si="1"/>
        <v>3040</v>
      </c>
      <c r="B3042" s="24" t="s">
        <v>1156</v>
      </c>
      <c r="C3042" s="275">
        <v>43630.0</v>
      </c>
      <c r="D3042" s="24" t="str">
        <f t="shared" si="264"/>
        <v>Jun-2019</v>
      </c>
      <c r="E3042" t="s">
        <v>20</v>
      </c>
      <c r="F3042" s="24" t="s">
        <v>35</v>
      </c>
      <c r="G3042" s="24" t="s">
        <v>184</v>
      </c>
      <c r="H3042" s="24" t="s">
        <v>86</v>
      </c>
      <c r="I3042" s="24" t="s">
        <v>9</v>
      </c>
      <c r="J3042" s="24" t="s">
        <v>30</v>
      </c>
      <c r="K3042" s="24" t="s">
        <v>24</v>
      </c>
      <c r="L3042" s="24" t="s">
        <v>98</v>
      </c>
    </row>
    <row r="3043">
      <c r="A3043" s="24">
        <f t="shared" si="1"/>
        <v>3041</v>
      </c>
      <c r="B3043" s="24" t="s">
        <v>1156</v>
      </c>
      <c r="C3043" s="275">
        <v>43630.0</v>
      </c>
      <c r="D3043" s="24" t="str">
        <f t="shared" si="264"/>
        <v>Jun-2019</v>
      </c>
      <c r="E3043" t="s">
        <v>25</v>
      </c>
      <c r="F3043" s="24" t="s">
        <v>35</v>
      </c>
      <c r="G3043" s="24" t="s">
        <v>184</v>
      </c>
      <c r="H3043" s="24" t="s">
        <v>9</v>
      </c>
      <c r="I3043" s="24" t="s">
        <v>9</v>
      </c>
      <c r="J3043" s="24" t="s">
        <v>24</v>
      </c>
      <c r="K3043" s="24"/>
      <c r="L3043" s="24" t="s">
        <v>69</v>
      </c>
    </row>
    <row r="3044">
      <c r="A3044" s="24">
        <f t="shared" si="1"/>
        <v>3042</v>
      </c>
      <c r="B3044" s="24" t="s">
        <v>1156</v>
      </c>
      <c r="C3044" s="275">
        <v>43630.0</v>
      </c>
      <c r="D3044" s="24" t="str">
        <f t="shared" si="264"/>
        <v>Jun-2019</v>
      </c>
      <c r="E3044" t="s">
        <v>32</v>
      </c>
      <c r="F3044" s="24" t="s">
        <v>35</v>
      </c>
      <c r="G3044" s="24" t="s">
        <v>184</v>
      </c>
      <c r="H3044" s="24" t="s">
        <v>9</v>
      </c>
      <c r="I3044" s="24" t="s">
        <v>9</v>
      </c>
      <c r="J3044" s="24" t="s">
        <v>24</v>
      </c>
      <c r="K3044" s="24"/>
      <c r="L3044" s="24" t="s">
        <v>106</v>
      </c>
    </row>
    <row r="3045">
      <c r="A3045" s="24">
        <f t="shared" si="1"/>
        <v>3043</v>
      </c>
      <c r="B3045" s="24" t="s">
        <v>1156</v>
      </c>
      <c r="C3045" s="275">
        <v>43630.0</v>
      </c>
      <c r="D3045" s="24" t="str">
        <f t="shared" si="264"/>
        <v>Jun-2019</v>
      </c>
      <c r="E3045" t="s">
        <v>20</v>
      </c>
      <c r="F3045" s="24" t="s">
        <v>35</v>
      </c>
      <c r="G3045" s="24" t="s">
        <v>1158</v>
      </c>
      <c r="H3045" s="24" t="s">
        <v>9</v>
      </c>
      <c r="I3045" s="24" t="s">
        <v>9</v>
      </c>
      <c r="J3045" s="24" t="s">
        <v>30</v>
      </c>
      <c r="K3045" s="24" t="s">
        <v>30</v>
      </c>
      <c r="L3045" s="24" t="s">
        <v>98</v>
      </c>
    </row>
    <row r="3046">
      <c r="A3046" s="24">
        <f t="shared" si="1"/>
        <v>3044</v>
      </c>
      <c r="B3046" s="24" t="s">
        <v>1156</v>
      </c>
      <c r="C3046" s="275">
        <v>43630.0</v>
      </c>
      <c r="D3046" s="24" t="str">
        <f t="shared" si="264"/>
        <v>Jun-2019</v>
      </c>
      <c r="E3046" t="s">
        <v>25</v>
      </c>
      <c r="F3046" s="24" t="s">
        <v>35</v>
      </c>
      <c r="G3046" s="24" t="s">
        <v>1158</v>
      </c>
      <c r="H3046" s="24" t="s">
        <v>9</v>
      </c>
      <c r="I3046" s="24" t="s">
        <v>9</v>
      </c>
      <c r="J3046" s="24" t="s">
        <v>30</v>
      </c>
      <c r="K3046" s="24"/>
      <c r="L3046" s="24" t="s">
        <v>98</v>
      </c>
    </row>
    <row r="3047">
      <c r="A3047" s="24">
        <f t="shared" si="1"/>
        <v>3045</v>
      </c>
      <c r="B3047" s="24" t="s">
        <v>1156</v>
      </c>
      <c r="C3047" s="275">
        <v>43630.0</v>
      </c>
      <c r="D3047" s="24" t="str">
        <f t="shared" si="264"/>
        <v>Jun-2019</v>
      </c>
      <c r="E3047" t="s">
        <v>20</v>
      </c>
      <c r="F3047" s="24" t="s">
        <v>35</v>
      </c>
      <c r="G3047" s="24" t="s">
        <v>989</v>
      </c>
      <c r="H3047" s="24" t="s">
        <v>86</v>
      </c>
      <c r="I3047" s="24" t="s">
        <v>9</v>
      </c>
      <c r="J3047" s="24" t="s">
        <v>30</v>
      </c>
      <c r="K3047" s="24" t="s">
        <v>24</v>
      </c>
      <c r="L3047" s="24" t="s">
        <v>69</v>
      </c>
    </row>
    <row r="3048">
      <c r="A3048" s="24">
        <f t="shared" si="1"/>
        <v>3046</v>
      </c>
      <c r="B3048" s="24" t="s">
        <v>1156</v>
      </c>
      <c r="C3048" s="275">
        <v>43630.0</v>
      </c>
      <c r="D3048" s="24" t="str">
        <f t="shared" ref="D3048:D3053" si="265">TEXT(C3040:C3048, "mmm") &amp; "-" &amp; TEXT(C3040:C3048, "yyyy") </f>
        <v>Jun-2019</v>
      </c>
      <c r="E3048" t="s">
        <v>25</v>
      </c>
      <c r="F3048" s="24" t="s">
        <v>35</v>
      </c>
      <c r="G3048" s="24" t="s">
        <v>989</v>
      </c>
      <c r="H3048" s="24" t="s">
        <v>86</v>
      </c>
      <c r="I3048" s="24" t="s">
        <v>9</v>
      </c>
      <c r="J3048" s="24" t="s">
        <v>24</v>
      </c>
      <c r="K3048" s="24"/>
      <c r="L3048" s="24" t="s">
        <v>98</v>
      </c>
    </row>
    <row r="3049">
      <c r="A3049" s="24">
        <f t="shared" si="1"/>
        <v>3047</v>
      </c>
      <c r="B3049" s="24" t="s">
        <v>1156</v>
      </c>
      <c r="C3049" s="275">
        <v>43630.0</v>
      </c>
      <c r="D3049" s="24" t="str">
        <f t="shared" si="265"/>
        <v>Jun-2019</v>
      </c>
      <c r="E3049" t="s">
        <v>32</v>
      </c>
      <c r="F3049" s="24" t="s">
        <v>35</v>
      </c>
      <c r="G3049" s="24" t="s">
        <v>989</v>
      </c>
      <c r="H3049" s="24" t="s">
        <v>86</v>
      </c>
      <c r="I3049" s="24" t="s">
        <v>9</v>
      </c>
      <c r="J3049" s="24" t="s">
        <v>24</v>
      </c>
      <c r="K3049" s="24"/>
      <c r="L3049" s="24" t="s">
        <v>99</v>
      </c>
    </row>
    <row r="3050">
      <c r="A3050" s="24">
        <f t="shared" si="1"/>
        <v>3048</v>
      </c>
      <c r="B3050" s="24" t="s">
        <v>1156</v>
      </c>
      <c r="C3050" s="275">
        <v>43630.0</v>
      </c>
      <c r="D3050" s="24" t="str">
        <f t="shared" si="265"/>
        <v>Jun-2019</v>
      </c>
      <c r="E3050" t="s">
        <v>146</v>
      </c>
      <c r="F3050" s="24" t="s">
        <v>35</v>
      </c>
      <c r="G3050" s="24" t="s">
        <v>771</v>
      </c>
      <c r="H3050" s="24" t="s">
        <v>64</v>
      </c>
      <c r="I3050" s="24" t="s">
        <v>9</v>
      </c>
      <c r="J3050" s="24" t="s">
        <v>24</v>
      </c>
      <c r="K3050" s="24" t="s">
        <v>24</v>
      </c>
      <c r="L3050" s="24" t="s">
        <v>98</v>
      </c>
    </row>
    <row r="3051">
      <c r="A3051" s="24">
        <f t="shared" si="1"/>
        <v>3049</v>
      </c>
      <c r="B3051" s="24" t="s">
        <v>1156</v>
      </c>
      <c r="C3051" s="275">
        <v>43630.0</v>
      </c>
      <c r="D3051" s="24" t="str">
        <f t="shared" si="265"/>
        <v>Jun-2019</v>
      </c>
      <c r="E3051" t="s">
        <v>149</v>
      </c>
      <c r="F3051" s="24" t="s">
        <v>35</v>
      </c>
      <c r="G3051" s="24" t="s">
        <v>771</v>
      </c>
      <c r="H3051" s="24" t="s">
        <v>64</v>
      </c>
      <c r="I3051" s="24" t="s">
        <v>9</v>
      </c>
      <c r="J3051" s="24" t="s">
        <v>24</v>
      </c>
      <c r="K3051" s="24"/>
      <c r="L3051" s="24" t="s">
        <v>106</v>
      </c>
    </row>
    <row r="3052">
      <c r="A3052" s="24">
        <f t="shared" si="1"/>
        <v>3050</v>
      </c>
      <c r="B3052" s="24" t="s">
        <v>1156</v>
      </c>
      <c r="C3052" s="275">
        <v>43630.0</v>
      </c>
      <c r="D3052" s="24" t="str">
        <f t="shared" si="265"/>
        <v>Jun-2019</v>
      </c>
      <c r="E3052" t="s">
        <v>222</v>
      </c>
      <c r="F3052" s="24" t="s">
        <v>35</v>
      </c>
      <c r="G3052" s="24" t="s">
        <v>771</v>
      </c>
      <c r="H3052" s="24" t="s">
        <v>64</v>
      </c>
      <c r="I3052" s="24" t="s">
        <v>9</v>
      </c>
      <c r="J3052" s="24" t="s">
        <v>30</v>
      </c>
      <c r="K3052" s="24"/>
      <c r="L3052" s="24" t="s">
        <v>29</v>
      </c>
    </row>
    <row r="3053">
      <c r="A3053" s="24">
        <f t="shared" si="1"/>
        <v>3051</v>
      </c>
      <c r="B3053" s="24" t="s">
        <v>1156</v>
      </c>
      <c r="C3053" s="275">
        <v>43630.0</v>
      </c>
      <c r="D3053" s="24" t="str">
        <f t="shared" si="265"/>
        <v>Jun-2019</v>
      </c>
      <c r="E3053" t="s">
        <v>467</v>
      </c>
      <c r="F3053" s="24" t="s">
        <v>35</v>
      </c>
      <c r="G3053" s="24" t="s">
        <v>771</v>
      </c>
      <c r="H3053" s="24" t="s">
        <v>64</v>
      </c>
      <c r="I3053" s="24" t="s">
        <v>9</v>
      </c>
      <c r="J3053" s="24" t="s">
        <v>24</v>
      </c>
      <c r="K3053" s="24"/>
      <c r="L3053" s="24" t="s">
        <v>69</v>
      </c>
    </row>
    <row r="3054">
      <c r="A3054" s="24">
        <f t="shared" si="1"/>
        <v>3052</v>
      </c>
      <c r="B3054" s="24" t="s">
        <v>1160</v>
      </c>
      <c r="C3054" s="275">
        <v>43633.0</v>
      </c>
      <c r="D3054" s="24" t="str">
        <f t="shared" ref="D3054:D3061" si="266">TEXT(C3047:C3054, "mmm") &amp; "-" &amp; TEXT(C3047:C3054, "yyyy") </f>
        <v>Jun-2019</v>
      </c>
      <c r="E3054" t="s">
        <v>20</v>
      </c>
      <c r="F3054" s="24" t="s">
        <v>35</v>
      </c>
      <c r="G3054" s="24" t="s">
        <v>296</v>
      </c>
      <c r="H3054" s="24" t="s">
        <v>9</v>
      </c>
      <c r="I3054" s="24" t="s">
        <v>9</v>
      </c>
      <c r="J3054" s="24" t="s">
        <v>24</v>
      </c>
      <c r="K3054" s="24" t="s">
        <v>24</v>
      </c>
      <c r="L3054" s="24" t="s">
        <v>98</v>
      </c>
    </row>
    <row r="3055">
      <c r="A3055" s="24">
        <f t="shared" si="1"/>
        <v>3053</v>
      </c>
      <c r="B3055" s="24" t="s">
        <v>1160</v>
      </c>
      <c r="C3055" s="275">
        <v>43633.0</v>
      </c>
      <c r="D3055" s="24" t="str">
        <f t="shared" si="266"/>
        <v>Jun-2019</v>
      </c>
      <c r="E3055" t="s">
        <v>25</v>
      </c>
      <c r="F3055" s="24" t="s">
        <v>35</v>
      </c>
      <c r="G3055" s="24" t="s">
        <v>296</v>
      </c>
      <c r="H3055" s="24" t="s">
        <v>9</v>
      </c>
      <c r="I3055" s="24" t="s">
        <v>9</v>
      </c>
      <c r="J3055" s="24" t="s">
        <v>30</v>
      </c>
      <c r="K3055" s="24"/>
      <c r="L3055" s="24" t="s">
        <v>99</v>
      </c>
    </row>
    <row r="3056">
      <c r="A3056" s="24">
        <f t="shared" si="1"/>
        <v>3054</v>
      </c>
      <c r="B3056" s="24" t="s">
        <v>1160</v>
      </c>
      <c r="C3056" s="275">
        <v>43633.0</v>
      </c>
      <c r="D3056" s="24" t="str">
        <f t="shared" si="266"/>
        <v>Jun-2019</v>
      </c>
      <c r="E3056" t="s">
        <v>32</v>
      </c>
      <c r="F3056" s="24" t="s">
        <v>35</v>
      </c>
      <c r="G3056" s="24" t="s">
        <v>296</v>
      </c>
      <c r="H3056" s="24" t="s">
        <v>9</v>
      </c>
      <c r="I3056" s="24" t="s">
        <v>9</v>
      </c>
      <c r="J3056" s="24" t="s">
        <v>24</v>
      </c>
      <c r="K3056" s="24"/>
      <c r="L3056" s="24" t="s">
        <v>37</v>
      </c>
    </row>
    <row r="3057">
      <c r="A3057" s="24">
        <f t="shared" si="1"/>
        <v>3055</v>
      </c>
      <c r="B3057" s="24" t="s">
        <v>1160</v>
      </c>
      <c r="C3057" s="275">
        <v>43633.0</v>
      </c>
      <c r="D3057" s="24" t="str">
        <f t="shared" si="266"/>
        <v>Jun-2019</v>
      </c>
      <c r="E3057" t="s">
        <v>20</v>
      </c>
      <c r="F3057" s="24" t="s">
        <v>35</v>
      </c>
      <c r="G3057" s="24" t="s">
        <v>1081</v>
      </c>
      <c r="H3057" s="24" t="s">
        <v>23</v>
      </c>
      <c r="I3057" s="24" t="s">
        <v>9</v>
      </c>
      <c r="J3057" s="24" t="s">
        <v>24</v>
      </c>
      <c r="K3057" s="24" t="s">
        <v>30</v>
      </c>
      <c r="L3057" s="24" t="s">
        <v>37</v>
      </c>
    </row>
    <row r="3058">
      <c r="A3058" s="24">
        <f t="shared" si="1"/>
        <v>3056</v>
      </c>
      <c r="B3058" s="24" t="s">
        <v>1160</v>
      </c>
      <c r="C3058" s="275">
        <v>43633.0</v>
      </c>
      <c r="D3058" s="24" t="str">
        <f t="shared" si="266"/>
        <v>Jun-2019</v>
      </c>
      <c r="E3058" t="s">
        <v>25</v>
      </c>
      <c r="F3058" s="24" t="s">
        <v>35</v>
      </c>
      <c r="G3058" s="24" t="s">
        <v>1081</v>
      </c>
      <c r="H3058" s="24" t="s">
        <v>23</v>
      </c>
      <c r="I3058" s="24" t="s">
        <v>9</v>
      </c>
      <c r="J3058" s="24" t="s">
        <v>30</v>
      </c>
      <c r="K3058" s="24"/>
      <c r="L3058" s="24" t="s">
        <v>106</v>
      </c>
    </row>
    <row r="3059">
      <c r="A3059" s="24">
        <f t="shared" si="1"/>
        <v>3057</v>
      </c>
      <c r="B3059" s="24" t="s">
        <v>1160</v>
      </c>
      <c r="C3059" s="275">
        <v>43633.0</v>
      </c>
      <c r="D3059" s="24" t="str">
        <f t="shared" si="266"/>
        <v>Jun-2019</v>
      </c>
      <c r="E3059" t="s">
        <v>32</v>
      </c>
      <c r="F3059" s="24" t="s">
        <v>35</v>
      </c>
      <c r="G3059" s="24" t="s">
        <v>1081</v>
      </c>
      <c r="H3059" s="24" t="s">
        <v>23</v>
      </c>
      <c r="I3059" s="24" t="s">
        <v>9</v>
      </c>
      <c r="J3059" s="24" t="s">
        <v>30</v>
      </c>
      <c r="K3059" s="24"/>
      <c r="L3059" s="24" t="s">
        <v>99</v>
      </c>
    </row>
    <row r="3060">
      <c r="A3060" s="24">
        <f t="shared" si="1"/>
        <v>3058</v>
      </c>
      <c r="B3060" s="24" t="s">
        <v>1160</v>
      </c>
      <c r="C3060" s="275">
        <v>43633.0</v>
      </c>
      <c r="D3060" s="24" t="str">
        <f t="shared" si="266"/>
        <v>Jun-2019</v>
      </c>
      <c r="E3060" t="s">
        <v>20</v>
      </c>
      <c r="F3060" s="24" t="s">
        <v>35</v>
      </c>
      <c r="G3060" s="24" t="s">
        <v>1111</v>
      </c>
      <c r="H3060" s="24" t="s">
        <v>44</v>
      </c>
      <c r="I3060" s="24" t="s">
        <v>9</v>
      </c>
      <c r="J3060" s="24" t="s">
        <v>30</v>
      </c>
      <c r="K3060" s="24" t="s">
        <v>24</v>
      </c>
      <c r="L3060" s="24" t="s">
        <v>69</v>
      </c>
    </row>
    <row r="3061">
      <c r="A3061" s="24">
        <f t="shared" si="1"/>
        <v>3059</v>
      </c>
      <c r="B3061" s="24" t="s">
        <v>1160</v>
      </c>
      <c r="C3061" s="275">
        <v>43633.0</v>
      </c>
      <c r="D3061" s="24" t="str">
        <f t="shared" si="266"/>
        <v>Jun-2019</v>
      </c>
      <c r="E3061" t="s">
        <v>25</v>
      </c>
      <c r="F3061" s="24" t="s">
        <v>35</v>
      </c>
      <c r="G3061" s="24" t="s">
        <v>1111</v>
      </c>
      <c r="H3061" s="24" t="s">
        <v>44</v>
      </c>
      <c r="I3061" s="24" t="s">
        <v>9</v>
      </c>
      <c r="J3061" s="24" t="s">
        <v>24</v>
      </c>
      <c r="K3061" s="24"/>
      <c r="L3061" s="24" t="s">
        <v>98</v>
      </c>
    </row>
    <row r="3062">
      <c r="A3062" s="24">
        <f t="shared" si="1"/>
        <v>3060</v>
      </c>
      <c r="B3062" s="24" t="s">
        <v>1160</v>
      </c>
      <c r="C3062" s="275">
        <v>43633.0</v>
      </c>
      <c r="D3062" s="24" t="str">
        <f t="shared" ref="D3062:D3074" si="267">TEXT(C3054:C3062, "mmm") &amp; "-" &amp; TEXT(C3054:C3062, "yyyy") </f>
        <v>Jun-2019</v>
      </c>
      <c r="E3062" t="s">
        <v>32</v>
      </c>
      <c r="F3062" s="24" t="s">
        <v>35</v>
      </c>
      <c r="G3062" s="24" t="s">
        <v>1111</v>
      </c>
      <c r="H3062" s="24" t="s">
        <v>44</v>
      </c>
      <c r="I3062" s="24" t="s">
        <v>9</v>
      </c>
      <c r="J3062" s="24" t="s">
        <v>24</v>
      </c>
      <c r="K3062" s="24"/>
      <c r="L3062" s="24" t="s">
        <v>37</v>
      </c>
    </row>
    <row r="3063">
      <c r="A3063" s="24">
        <f t="shared" si="1"/>
        <v>3061</v>
      </c>
      <c r="B3063" s="24" t="s">
        <v>1160</v>
      </c>
      <c r="C3063" s="275">
        <v>43633.0</v>
      </c>
      <c r="D3063" s="24" t="str">
        <f t="shared" si="267"/>
        <v>Jun-2019</v>
      </c>
      <c r="E3063" t="s">
        <v>20</v>
      </c>
      <c r="F3063" s="24" t="s">
        <v>277</v>
      </c>
      <c r="G3063" s="24" t="s">
        <v>726</v>
      </c>
      <c r="H3063" s="24" t="s">
        <v>216</v>
      </c>
      <c r="I3063" s="24" t="s">
        <v>9</v>
      </c>
      <c r="J3063" s="24" t="s">
        <v>30</v>
      </c>
      <c r="K3063" s="24" t="s">
        <v>30</v>
      </c>
      <c r="L3063" s="24" t="s">
        <v>37</v>
      </c>
    </row>
    <row r="3064">
      <c r="A3064" s="24">
        <f t="shared" si="1"/>
        <v>3062</v>
      </c>
      <c r="B3064" s="24" t="s">
        <v>1160</v>
      </c>
      <c r="C3064" s="275">
        <v>43633.0</v>
      </c>
      <c r="D3064" s="24" t="str">
        <f t="shared" si="267"/>
        <v>Jun-2019</v>
      </c>
      <c r="E3064" t="s">
        <v>25</v>
      </c>
      <c r="F3064" s="24" t="s">
        <v>277</v>
      </c>
      <c r="G3064" s="24" t="s">
        <v>726</v>
      </c>
      <c r="H3064" s="24" t="s">
        <v>216</v>
      </c>
      <c r="I3064" s="24" t="s">
        <v>9</v>
      </c>
      <c r="J3064" s="24" t="s">
        <v>30</v>
      </c>
      <c r="K3064" s="24"/>
      <c r="L3064" s="24" t="s">
        <v>99</v>
      </c>
    </row>
    <row r="3065">
      <c r="A3065" s="24">
        <f t="shared" si="1"/>
        <v>3063</v>
      </c>
      <c r="B3065" s="24" t="s">
        <v>1160</v>
      </c>
      <c r="C3065" s="275">
        <v>43633.0</v>
      </c>
      <c r="D3065" s="24" t="str">
        <f t="shared" si="267"/>
        <v>Jun-2019</v>
      </c>
      <c r="E3065" t="s">
        <v>20</v>
      </c>
      <c r="F3065" s="24" t="s">
        <v>277</v>
      </c>
      <c r="G3065" s="24" t="s">
        <v>100</v>
      </c>
      <c r="H3065" s="24" t="s">
        <v>9</v>
      </c>
      <c r="I3065" s="24" t="s">
        <v>9</v>
      </c>
      <c r="J3065" s="24" t="s">
        <v>30</v>
      </c>
      <c r="K3065" s="24" t="s">
        <v>30</v>
      </c>
      <c r="L3065" s="24" t="s">
        <v>69</v>
      </c>
    </row>
    <row r="3066">
      <c r="A3066" s="24">
        <f t="shared" si="1"/>
        <v>3064</v>
      </c>
      <c r="B3066" s="24" t="s">
        <v>1160</v>
      </c>
      <c r="C3066" s="275">
        <v>43633.0</v>
      </c>
      <c r="D3066" s="24" t="str">
        <f t="shared" si="267"/>
        <v>Jun-2019</v>
      </c>
      <c r="E3066" t="s">
        <v>25</v>
      </c>
      <c r="F3066" s="24" t="s">
        <v>277</v>
      </c>
      <c r="G3066" s="24" t="s">
        <v>100</v>
      </c>
      <c r="H3066" s="24" t="s">
        <v>9</v>
      </c>
      <c r="I3066" s="24" t="s">
        <v>9</v>
      </c>
      <c r="J3066" s="24" t="s">
        <v>30</v>
      </c>
      <c r="K3066" s="24"/>
      <c r="L3066" s="24" t="s">
        <v>99</v>
      </c>
    </row>
    <row r="3067">
      <c r="A3067" s="24">
        <f t="shared" si="1"/>
        <v>3065</v>
      </c>
      <c r="B3067" s="24" t="s">
        <v>1160</v>
      </c>
      <c r="C3067" s="275">
        <v>43633.0</v>
      </c>
      <c r="D3067" s="24" t="str">
        <f t="shared" si="267"/>
        <v>Jun-2019</v>
      </c>
      <c r="E3067" t="s">
        <v>146</v>
      </c>
      <c r="F3067" s="24" t="s">
        <v>277</v>
      </c>
      <c r="G3067" s="24" t="s">
        <v>464</v>
      </c>
      <c r="H3067" s="24" t="s">
        <v>27</v>
      </c>
      <c r="I3067" s="24" t="s">
        <v>9</v>
      </c>
      <c r="J3067" s="24" t="s">
        <v>24</v>
      </c>
      <c r="K3067" s="24" t="s">
        <v>30</v>
      </c>
      <c r="L3067" s="24" t="s">
        <v>37</v>
      </c>
    </row>
    <row r="3068">
      <c r="A3068" s="24">
        <f t="shared" si="1"/>
        <v>3066</v>
      </c>
      <c r="B3068" s="24" t="s">
        <v>1160</v>
      </c>
      <c r="C3068" s="275">
        <v>43633.0</v>
      </c>
      <c r="D3068" s="24" t="str">
        <f t="shared" si="267"/>
        <v>Jun-2019</v>
      </c>
      <c r="E3068" t="s">
        <v>149</v>
      </c>
      <c r="F3068" s="24" t="s">
        <v>277</v>
      </c>
      <c r="G3068" s="24" t="s">
        <v>464</v>
      </c>
      <c r="H3068" s="24" t="s">
        <v>27</v>
      </c>
      <c r="I3068" s="24" t="s">
        <v>9</v>
      </c>
      <c r="J3068" s="24" t="s">
        <v>24</v>
      </c>
      <c r="K3068" s="24"/>
      <c r="L3068" s="24" t="s">
        <v>98</v>
      </c>
    </row>
    <row r="3069">
      <c r="A3069" s="24">
        <f t="shared" si="1"/>
        <v>3067</v>
      </c>
      <c r="B3069" s="24" t="s">
        <v>1160</v>
      </c>
      <c r="C3069" s="275">
        <v>43633.0</v>
      </c>
      <c r="D3069" s="24" t="str">
        <f t="shared" si="267"/>
        <v>Jun-2019</v>
      </c>
      <c r="E3069" t="s">
        <v>222</v>
      </c>
      <c r="F3069" s="24" t="s">
        <v>277</v>
      </c>
      <c r="G3069" s="24" t="s">
        <v>464</v>
      </c>
      <c r="H3069" s="24" t="s">
        <v>27</v>
      </c>
      <c r="I3069" s="24" t="s">
        <v>9</v>
      </c>
      <c r="J3069" s="24" t="s">
        <v>30</v>
      </c>
      <c r="K3069" s="24"/>
      <c r="L3069" s="24" t="s">
        <v>29</v>
      </c>
    </row>
    <row r="3070">
      <c r="A3070" s="24">
        <f t="shared" si="1"/>
        <v>3068</v>
      </c>
      <c r="B3070" s="24" t="s">
        <v>1160</v>
      </c>
      <c r="C3070" s="275">
        <v>43633.0</v>
      </c>
      <c r="D3070" s="24" t="str">
        <f t="shared" si="267"/>
        <v>Jun-2019</v>
      </c>
      <c r="E3070" t="s">
        <v>467</v>
      </c>
      <c r="F3070" s="24" t="s">
        <v>277</v>
      </c>
      <c r="G3070" s="24" t="s">
        <v>464</v>
      </c>
      <c r="H3070" s="24" t="s">
        <v>27</v>
      </c>
      <c r="I3070" s="24" t="s">
        <v>9</v>
      </c>
      <c r="J3070" s="24" t="s">
        <v>30</v>
      </c>
      <c r="K3070" s="24"/>
      <c r="L3070" s="24" t="s">
        <v>99</v>
      </c>
    </row>
    <row r="3071">
      <c r="A3071" s="24">
        <f t="shared" si="1"/>
        <v>3069</v>
      </c>
      <c r="B3071" s="24" t="s">
        <v>1160</v>
      </c>
      <c r="C3071" s="275">
        <v>43633.0</v>
      </c>
      <c r="D3071" s="24" t="str">
        <f t="shared" si="267"/>
        <v>Jun-2019</v>
      </c>
      <c r="E3071" s="24" t="s">
        <v>480</v>
      </c>
      <c r="F3071" s="24" t="s">
        <v>277</v>
      </c>
      <c r="G3071" s="24" t="s">
        <v>464</v>
      </c>
      <c r="H3071" s="24" t="s">
        <v>27</v>
      </c>
      <c r="I3071" s="24" t="s">
        <v>9</v>
      </c>
      <c r="J3071" s="24" t="s">
        <v>30</v>
      </c>
      <c r="K3071" s="24"/>
      <c r="L3071" s="24" t="s">
        <v>29</v>
      </c>
    </row>
    <row r="3072">
      <c r="A3072" s="24">
        <f t="shared" si="1"/>
        <v>3070</v>
      </c>
      <c r="B3072" s="24" t="s">
        <v>1160</v>
      </c>
      <c r="C3072" s="275">
        <v>43633.0</v>
      </c>
      <c r="D3072" s="24" t="str">
        <f t="shared" si="267"/>
        <v>Jun-2019</v>
      </c>
      <c r="E3072" t="s">
        <v>146</v>
      </c>
      <c r="F3072" s="24" t="s">
        <v>277</v>
      </c>
      <c r="G3072" s="24" t="s">
        <v>464</v>
      </c>
      <c r="H3072" s="24" t="s">
        <v>27</v>
      </c>
      <c r="I3072" s="24" t="s">
        <v>9</v>
      </c>
      <c r="J3072" s="24" t="s">
        <v>30</v>
      </c>
      <c r="K3072" s="24" t="s">
        <v>30</v>
      </c>
      <c r="L3072" s="24" t="s">
        <v>37</v>
      </c>
    </row>
    <row r="3073">
      <c r="A3073" s="24">
        <f t="shared" si="1"/>
        <v>3071</v>
      </c>
      <c r="B3073" s="24" t="s">
        <v>1160</v>
      </c>
      <c r="C3073" s="275">
        <v>43633.0</v>
      </c>
      <c r="D3073" s="24" t="str">
        <f t="shared" si="267"/>
        <v>Jun-2019</v>
      </c>
      <c r="E3073" t="s">
        <v>149</v>
      </c>
      <c r="F3073" s="24" t="s">
        <v>277</v>
      </c>
      <c r="G3073" s="24" t="s">
        <v>464</v>
      </c>
      <c r="H3073" s="24" t="s">
        <v>27</v>
      </c>
      <c r="I3073" s="24" t="s">
        <v>9</v>
      </c>
      <c r="J3073" s="24" t="s">
        <v>30</v>
      </c>
      <c r="K3073" s="24"/>
      <c r="L3073" s="24" t="s">
        <v>69</v>
      </c>
    </row>
    <row r="3074">
      <c r="A3074" s="24">
        <f t="shared" si="1"/>
        <v>3072</v>
      </c>
      <c r="B3074" s="24" t="s">
        <v>1160</v>
      </c>
      <c r="C3074" s="275">
        <v>43633.0</v>
      </c>
      <c r="D3074" s="24" t="str">
        <f t="shared" si="267"/>
        <v>Jun-2019</v>
      </c>
      <c r="E3074" t="s">
        <v>222</v>
      </c>
      <c r="F3074" s="24" t="s">
        <v>277</v>
      </c>
      <c r="G3074" s="24" t="s">
        <v>464</v>
      </c>
      <c r="H3074" s="24" t="s">
        <v>27</v>
      </c>
      <c r="I3074" s="24" t="s">
        <v>9</v>
      </c>
      <c r="J3074" s="24" t="s">
        <v>30</v>
      </c>
      <c r="K3074" s="24"/>
      <c r="L3074" s="24" t="s">
        <v>29</v>
      </c>
    </row>
    <row r="3075">
      <c r="A3075" s="24">
        <f t="shared" si="1"/>
        <v>3073</v>
      </c>
      <c r="B3075" s="24" t="s">
        <v>1163</v>
      </c>
      <c r="C3075" s="275">
        <v>43635.0</v>
      </c>
      <c r="D3075" s="24" t="str">
        <f t="shared" ref="D3075:D3082" si="268">TEXT(C3068:C3075, "mmm") &amp; "-" &amp; TEXT(C3068:C3075, "yyyy") </f>
        <v>Jun-2019</v>
      </c>
      <c r="E3075" t="s">
        <v>20</v>
      </c>
      <c r="F3075" s="24" t="s">
        <v>35</v>
      </c>
      <c r="G3075" s="24" t="s">
        <v>726</v>
      </c>
      <c r="H3075" s="24" t="s">
        <v>216</v>
      </c>
      <c r="I3075" s="24" t="s">
        <v>9</v>
      </c>
      <c r="J3075" s="24" t="s">
        <v>30</v>
      </c>
      <c r="K3075" s="24" t="s">
        <v>30</v>
      </c>
      <c r="L3075" s="24" t="s">
        <v>37</v>
      </c>
    </row>
    <row r="3076">
      <c r="A3076" s="24">
        <f t="shared" si="1"/>
        <v>3074</v>
      </c>
      <c r="B3076" s="24" t="s">
        <v>1163</v>
      </c>
      <c r="C3076" s="275">
        <v>43635.0</v>
      </c>
      <c r="D3076" s="24" t="str">
        <f t="shared" si="268"/>
        <v>Jun-2019</v>
      </c>
      <c r="E3076" t="s">
        <v>25</v>
      </c>
      <c r="F3076" s="24" t="s">
        <v>35</v>
      </c>
      <c r="G3076" s="24" t="s">
        <v>726</v>
      </c>
      <c r="H3076" s="24" t="s">
        <v>216</v>
      </c>
      <c r="I3076" s="24" t="s">
        <v>9</v>
      </c>
      <c r="J3076" s="24" t="s">
        <v>30</v>
      </c>
      <c r="K3076" s="24"/>
      <c r="L3076" s="24" t="s">
        <v>99</v>
      </c>
    </row>
    <row r="3077">
      <c r="A3077" s="24">
        <f t="shared" si="1"/>
        <v>3075</v>
      </c>
      <c r="B3077" s="24" t="s">
        <v>1163</v>
      </c>
      <c r="C3077" s="275">
        <v>43635.0</v>
      </c>
      <c r="D3077" s="24" t="str">
        <f t="shared" si="268"/>
        <v>Jun-2019</v>
      </c>
      <c r="E3077" t="s">
        <v>20</v>
      </c>
      <c r="F3077" s="24" t="s">
        <v>35</v>
      </c>
      <c r="G3077" s="24" t="s">
        <v>94</v>
      </c>
      <c r="H3077" s="24" t="s">
        <v>44</v>
      </c>
      <c r="I3077" s="24" t="s">
        <v>9</v>
      </c>
      <c r="J3077" s="24" t="s">
        <v>24</v>
      </c>
      <c r="K3077" s="24" t="s">
        <v>24</v>
      </c>
      <c r="L3077" s="24" t="s">
        <v>99</v>
      </c>
    </row>
    <row r="3078">
      <c r="A3078" s="24">
        <f t="shared" si="1"/>
        <v>3076</v>
      </c>
      <c r="B3078" s="24" t="s">
        <v>1163</v>
      </c>
      <c r="C3078" s="275">
        <v>43635.0</v>
      </c>
      <c r="D3078" s="24" t="str">
        <f t="shared" si="268"/>
        <v>Jun-2019</v>
      </c>
      <c r="E3078" t="s">
        <v>25</v>
      </c>
      <c r="F3078" s="24" t="s">
        <v>35</v>
      </c>
      <c r="G3078" s="24" t="s">
        <v>94</v>
      </c>
      <c r="H3078" s="24" t="s">
        <v>44</v>
      </c>
      <c r="I3078" s="24" t="s">
        <v>9</v>
      </c>
      <c r="J3078" s="24" t="s">
        <v>24</v>
      </c>
      <c r="K3078" s="24"/>
      <c r="L3078" s="24" t="s">
        <v>69</v>
      </c>
    </row>
    <row r="3079">
      <c r="A3079" s="24">
        <f t="shared" si="1"/>
        <v>3077</v>
      </c>
      <c r="B3079" s="24" t="s">
        <v>1163</v>
      </c>
      <c r="C3079" s="275">
        <v>43635.0</v>
      </c>
      <c r="D3079" s="24" t="str">
        <f t="shared" si="268"/>
        <v>Jun-2019</v>
      </c>
      <c r="E3079" t="s">
        <v>20</v>
      </c>
      <c r="F3079" s="24" t="s">
        <v>35</v>
      </c>
      <c r="G3079" s="24" t="s">
        <v>665</v>
      </c>
      <c r="H3079" s="24" t="s">
        <v>86</v>
      </c>
      <c r="I3079" s="24" t="s">
        <v>9</v>
      </c>
      <c r="J3079" s="24" t="s">
        <v>30</v>
      </c>
      <c r="K3079" s="24" t="s">
        <v>30</v>
      </c>
      <c r="L3079" s="24" t="s">
        <v>69</v>
      </c>
    </row>
    <row r="3080">
      <c r="A3080" s="24">
        <f t="shared" si="1"/>
        <v>3078</v>
      </c>
      <c r="B3080" s="24" t="s">
        <v>1163</v>
      </c>
      <c r="C3080" s="275">
        <v>43635.0</v>
      </c>
      <c r="D3080" s="24" t="str">
        <f t="shared" si="268"/>
        <v>Jun-2019</v>
      </c>
      <c r="E3080" t="s">
        <v>25</v>
      </c>
      <c r="F3080" s="24" t="s">
        <v>35</v>
      </c>
      <c r="G3080" s="24" t="s">
        <v>665</v>
      </c>
      <c r="H3080" s="24" t="s">
        <v>86</v>
      </c>
      <c r="I3080" s="24" t="s">
        <v>9</v>
      </c>
      <c r="J3080" s="24" t="s">
        <v>30</v>
      </c>
      <c r="K3080" s="24"/>
      <c r="L3080" s="24" t="s">
        <v>98</v>
      </c>
    </row>
    <row r="3081">
      <c r="A3081" s="24">
        <f t="shared" si="1"/>
        <v>3079</v>
      </c>
      <c r="B3081" s="24" t="s">
        <v>1163</v>
      </c>
      <c r="C3081" s="275">
        <v>43635.0</v>
      </c>
      <c r="D3081" s="24" t="str">
        <f t="shared" si="268"/>
        <v>Jun-2019</v>
      </c>
      <c r="E3081" t="s">
        <v>146</v>
      </c>
      <c r="F3081" s="24" t="s">
        <v>35</v>
      </c>
      <c r="G3081" s="24" t="s">
        <v>1138</v>
      </c>
      <c r="H3081" s="24" t="s">
        <v>27</v>
      </c>
      <c r="I3081" s="24" t="s">
        <v>9</v>
      </c>
      <c r="J3081" s="24" t="s">
        <v>30</v>
      </c>
      <c r="K3081" s="24" t="s">
        <v>24</v>
      </c>
      <c r="L3081" s="24" t="s">
        <v>69</v>
      </c>
    </row>
    <row r="3082">
      <c r="A3082" s="24">
        <f t="shared" si="1"/>
        <v>3080</v>
      </c>
      <c r="B3082" s="24" t="s">
        <v>1163</v>
      </c>
      <c r="C3082" s="275">
        <v>43635.0</v>
      </c>
      <c r="D3082" s="24" t="str">
        <f t="shared" si="268"/>
        <v>Jun-2019</v>
      </c>
      <c r="E3082" t="s">
        <v>149</v>
      </c>
      <c r="F3082" s="24" t="s">
        <v>35</v>
      </c>
      <c r="G3082" s="24" t="s">
        <v>1138</v>
      </c>
      <c r="H3082" s="24" t="s">
        <v>23</v>
      </c>
      <c r="I3082" s="24" t="s">
        <v>9</v>
      </c>
      <c r="J3082" s="24" t="s">
        <v>24</v>
      </c>
      <c r="K3082" s="24"/>
      <c r="L3082" s="24" t="s">
        <v>98</v>
      </c>
    </row>
    <row r="3083">
      <c r="A3083" s="24">
        <f t="shared" si="1"/>
        <v>3081</v>
      </c>
      <c r="B3083" s="24" t="s">
        <v>1163</v>
      </c>
      <c r="C3083" s="275">
        <v>43635.0</v>
      </c>
      <c r="D3083" s="24" t="str">
        <f t="shared" ref="D3083:D3085" si="269">TEXT(C3075:C3083, "mmm") &amp; "-" &amp; TEXT(C3075:C3083, "yyyy") </f>
        <v>Jun-2019</v>
      </c>
      <c r="E3083" t="s">
        <v>222</v>
      </c>
      <c r="F3083" s="24" t="s">
        <v>35</v>
      </c>
      <c r="G3083" s="24" t="s">
        <v>1138</v>
      </c>
      <c r="H3083" s="24" t="s">
        <v>23</v>
      </c>
      <c r="I3083" s="24" t="s">
        <v>9</v>
      </c>
      <c r="J3083" s="24" t="s">
        <v>24</v>
      </c>
      <c r="K3083" s="24"/>
      <c r="L3083" s="24" t="s">
        <v>106</v>
      </c>
    </row>
    <row r="3084">
      <c r="A3084" s="24">
        <f t="shared" si="1"/>
        <v>3082</v>
      </c>
      <c r="B3084" s="24" t="s">
        <v>1163</v>
      </c>
      <c r="C3084" s="275">
        <v>43635.0</v>
      </c>
      <c r="D3084" s="24" t="str">
        <f t="shared" si="269"/>
        <v>Jun-2019</v>
      </c>
      <c r="E3084" t="s">
        <v>467</v>
      </c>
      <c r="F3084" s="24" t="s">
        <v>35</v>
      </c>
      <c r="G3084" s="24" t="s">
        <v>1138</v>
      </c>
      <c r="H3084" s="24" t="s">
        <v>23</v>
      </c>
      <c r="I3084" s="24" t="s">
        <v>9</v>
      </c>
      <c r="J3084" s="24" t="s">
        <v>30</v>
      </c>
      <c r="K3084" s="24"/>
      <c r="L3084" s="24" t="s">
        <v>99</v>
      </c>
    </row>
    <row r="3085">
      <c r="A3085" s="24">
        <f t="shared" si="1"/>
        <v>3083</v>
      </c>
      <c r="B3085" s="24" t="s">
        <v>1163</v>
      </c>
      <c r="C3085" s="275">
        <v>43635.0</v>
      </c>
      <c r="D3085" s="24" t="str">
        <f t="shared" si="269"/>
        <v>Jun-2019</v>
      </c>
      <c r="E3085" s="24" t="s">
        <v>480</v>
      </c>
      <c r="F3085" s="24" t="s">
        <v>35</v>
      </c>
      <c r="G3085" s="24" t="s">
        <v>1138</v>
      </c>
      <c r="H3085" s="24" t="s">
        <v>23</v>
      </c>
      <c r="I3085" s="24" t="s">
        <v>9</v>
      </c>
      <c r="J3085" s="24" t="s">
        <v>24</v>
      </c>
      <c r="K3085" s="24"/>
      <c r="L3085" s="24" t="s">
        <v>99</v>
      </c>
    </row>
    <row r="3086">
      <c r="A3086" s="24">
        <f t="shared" si="1"/>
        <v>3084</v>
      </c>
      <c r="B3086" s="24" t="s">
        <v>1167</v>
      </c>
      <c r="C3086" s="275">
        <v>43637.0</v>
      </c>
      <c r="D3086" s="24" t="str">
        <f t="shared" ref="D3086:D3093" si="270">TEXT(C3079:C3086, "mmm") &amp; "-" &amp; TEXT(C3079:C3086, "yyyy") </f>
        <v>Jun-2019</v>
      </c>
      <c r="E3086" t="s">
        <v>20</v>
      </c>
      <c r="F3086" s="24" t="s">
        <v>35</v>
      </c>
      <c r="G3086" s="24" t="s">
        <v>980</v>
      </c>
      <c r="H3086" s="24" t="s">
        <v>9</v>
      </c>
      <c r="I3086" s="24" t="s">
        <v>9</v>
      </c>
      <c r="J3086" s="24" t="s">
        <v>30</v>
      </c>
      <c r="K3086" s="24" t="s">
        <v>30</v>
      </c>
      <c r="L3086" s="24" t="s">
        <v>69</v>
      </c>
    </row>
    <row r="3087">
      <c r="A3087" s="24">
        <f t="shared" si="1"/>
        <v>3085</v>
      </c>
      <c r="B3087" s="24" t="s">
        <v>1167</v>
      </c>
      <c r="C3087" s="275">
        <v>43637.0</v>
      </c>
      <c r="D3087" s="24" t="str">
        <f t="shared" si="270"/>
        <v>Jun-2019</v>
      </c>
      <c r="E3087" t="s">
        <v>25</v>
      </c>
      <c r="F3087" s="24" t="s">
        <v>35</v>
      </c>
      <c r="G3087" s="24" t="s">
        <v>980</v>
      </c>
      <c r="H3087" s="24" t="s">
        <v>9</v>
      </c>
      <c r="I3087" s="24" t="s">
        <v>9</v>
      </c>
      <c r="J3087" s="24" t="s">
        <v>30</v>
      </c>
      <c r="K3087" s="24"/>
      <c r="L3087" s="24" t="s">
        <v>69</v>
      </c>
    </row>
    <row r="3088">
      <c r="A3088" s="24">
        <f t="shared" si="1"/>
        <v>3086</v>
      </c>
      <c r="B3088" s="24" t="s">
        <v>1167</v>
      </c>
      <c r="C3088" s="275">
        <v>43637.0</v>
      </c>
      <c r="D3088" s="24" t="str">
        <f t="shared" si="270"/>
        <v>Jun-2019</v>
      </c>
      <c r="E3088" t="s">
        <v>20</v>
      </c>
      <c r="F3088" s="24" t="s">
        <v>35</v>
      </c>
      <c r="G3088" s="24" t="s">
        <v>407</v>
      </c>
      <c r="H3088" s="24" t="s">
        <v>44</v>
      </c>
      <c r="I3088" s="24" t="s">
        <v>9</v>
      </c>
      <c r="J3088" s="24" t="s">
        <v>24</v>
      </c>
      <c r="K3088" s="24" t="s">
        <v>24</v>
      </c>
      <c r="L3088" s="24" t="s">
        <v>69</v>
      </c>
    </row>
    <row r="3089">
      <c r="A3089" s="24">
        <f t="shared" si="1"/>
        <v>3087</v>
      </c>
      <c r="B3089" s="24" t="s">
        <v>1167</v>
      </c>
      <c r="C3089" s="275">
        <v>43637.0</v>
      </c>
      <c r="D3089" s="24" t="str">
        <f t="shared" si="270"/>
        <v>Jun-2019</v>
      </c>
      <c r="E3089" t="s">
        <v>25</v>
      </c>
      <c r="F3089" s="24" t="s">
        <v>35</v>
      </c>
      <c r="G3089" s="24" t="s">
        <v>407</v>
      </c>
      <c r="H3089" s="24" t="s">
        <v>44</v>
      </c>
      <c r="I3089" s="24" t="s">
        <v>9</v>
      </c>
      <c r="J3089" s="24" t="s">
        <v>30</v>
      </c>
      <c r="K3089" s="24"/>
      <c r="L3089" s="24" t="s">
        <v>106</v>
      </c>
    </row>
    <row r="3090">
      <c r="A3090" s="24">
        <f t="shared" si="1"/>
        <v>3088</v>
      </c>
      <c r="B3090" s="24" t="s">
        <v>1167</v>
      </c>
      <c r="C3090" s="275">
        <v>43637.0</v>
      </c>
      <c r="D3090" s="24" t="str">
        <f t="shared" si="270"/>
        <v>Jun-2019</v>
      </c>
      <c r="E3090" t="s">
        <v>32</v>
      </c>
      <c r="F3090" s="24" t="s">
        <v>35</v>
      </c>
      <c r="G3090" s="24" t="s">
        <v>407</v>
      </c>
      <c r="H3090" s="24" t="s">
        <v>44</v>
      </c>
      <c r="I3090" s="24" t="s">
        <v>9</v>
      </c>
      <c r="J3090" s="24" t="s">
        <v>24</v>
      </c>
      <c r="K3090" s="24"/>
      <c r="L3090" s="24" t="s">
        <v>99</v>
      </c>
    </row>
    <row r="3091">
      <c r="A3091" s="24">
        <f t="shared" si="1"/>
        <v>3089</v>
      </c>
      <c r="B3091" s="24" t="s">
        <v>1167</v>
      </c>
      <c r="C3091" s="275">
        <v>43637.0</v>
      </c>
      <c r="D3091" s="24" t="str">
        <f t="shared" si="270"/>
        <v>Jun-2019</v>
      </c>
      <c r="E3091" t="s">
        <v>20</v>
      </c>
      <c r="F3091" s="24" t="s">
        <v>35</v>
      </c>
      <c r="G3091" s="24" t="s">
        <v>839</v>
      </c>
      <c r="H3091" s="24" t="s">
        <v>27</v>
      </c>
      <c r="I3091" s="24" t="s">
        <v>9</v>
      </c>
      <c r="J3091" s="24" t="s">
        <v>30</v>
      </c>
      <c r="K3091" s="24" t="s">
        <v>30</v>
      </c>
      <c r="L3091" s="24" t="s">
        <v>69</v>
      </c>
    </row>
    <row r="3092">
      <c r="A3092" s="24">
        <f t="shared" si="1"/>
        <v>3090</v>
      </c>
      <c r="B3092" s="24" t="s">
        <v>1167</v>
      </c>
      <c r="C3092" s="275">
        <v>43637.0</v>
      </c>
      <c r="D3092" s="24" t="str">
        <f t="shared" si="270"/>
        <v>Jun-2019</v>
      </c>
      <c r="E3092" t="s">
        <v>25</v>
      </c>
      <c r="F3092" s="24" t="s">
        <v>35</v>
      </c>
      <c r="G3092" s="24" t="s">
        <v>839</v>
      </c>
      <c r="H3092" s="24" t="s">
        <v>27</v>
      </c>
      <c r="I3092" s="24" t="s">
        <v>9</v>
      </c>
      <c r="J3092" s="24" t="s">
        <v>30</v>
      </c>
      <c r="K3092" s="24"/>
      <c r="L3092" s="24" t="s">
        <v>69</v>
      </c>
    </row>
    <row r="3093">
      <c r="A3093" s="24">
        <f t="shared" si="1"/>
        <v>3091</v>
      </c>
      <c r="B3093" s="24" t="s">
        <v>1167</v>
      </c>
      <c r="C3093" s="275">
        <v>43637.0</v>
      </c>
      <c r="D3093" s="24" t="str">
        <f t="shared" si="270"/>
        <v>Jun-2019</v>
      </c>
      <c r="E3093" t="s">
        <v>20</v>
      </c>
      <c r="F3093" s="24" t="s">
        <v>35</v>
      </c>
      <c r="G3093" s="24" t="s">
        <v>360</v>
      </c>
      <c r="H3093" s="24" t="s">
        <v>216</v>
      </c>
      <c r="I3093" s="24" t="s">
        <v>9</v>
      </c>
      <c r="J3093" s="24" t="s">
        <v>24</v>
      </c>
      <c r="K3093" s="24" t="s">
        <v>24</v>
      </c>
      <c r="L3093" s="24" t="s">
        <v>37</v>
      </c>
    </row>
    <row r="3094">
      <c r="A3094" s="24">
        <f t="shared" si="1"/>
        <v>3092</v>
      </c>
      <c r="B3094" s="24" t="s">
        <v>1167</v>
      </c>
      <c r="C3094" s="275">
        <v>43637.0</v>
      </c>
      <c r="D3094" s="24" t="str">
        <f>TEXT(C3086:C3094, "mmm") &amp; "-" &amp; TEXT(C3086:C3094, "yyyy") </f>
        <v>Jun-2019</v>
      </c>
      <c r="E3094" t="s">
        <v>25</v>
      </c>
      <c r="F3094" s="24" t="s">
        <v>35</v>
      </c>
      <c r="G3094" s="24" t="s">
        <v>360</v>
      </c>
      <c r="H3094" s="24" t="s">
        <v>216</v>
      </c>
      <c r="I3094" s="24" t="s">
        <v>9</v>
      </c>
      <c r="J3094" s="24" t="s">
        <v>24</v>
      </c>
      <c r="K3094" s="24"/>
      <c r="L3094" s="24" t="s">
        <v>69</v>
      </c>
    </row>
    <row r="3095">
      <c r="A3095" s="24">
        <f t="shared" si="1"/>
        <v>3093</v>
      </c>
      <c r="B3095" s="24" t="s">
        <v>1169</v>
      </c>
      <c r="C3095" s="275">
        <v>43644.0</v>
      </c>
      <c r="D3095" s="24" t="str">
        <f t="shared" ref="D3095:D3102" si="271">TEXT(C3088:C3095, "mmm") &amp; "-" &amp; TEXT(C3088:C3095, "yyyy") </f>
        <v>Jun-2019</v>
      </c>
      <c r="E3095" t="s">
        <v>20</v>
      </c>
      <c r="F3095" s="24" t="s">
        <v>273</v>
      </c>
      <c r="G3095" s="24" t="s">
        <v>1172</v>
      </c>
      <c r="H3095" s="24" t="s">
        <v>139</v>
      </c>
      <c r="I3095" s="24" t="s">
        <v>9</v>
      </c>
      <c r="J3095" s="24" t="s">
        <v>24</v>
      </c>
      <c r="K3095" s="24" t="s">
        <v>30</v>
      </c>
      <c r="L3095" s="24" t="s">
        <v>37</v>
      </c>
    </row>
    <row r="3096">
      <c r="A3096" s="24">
        <f t="shared" si="1"/>
        <v>3094</v>
      </c>
      <c r="B3096" s="24" t="s">
        <v>1169</v>
      </c>
      <c r="C3096" s="275">
        <v>43644.0</v>
      </c>
      <c r="D3096" s="24" t="str">
        <f t="shared" si="271"/>
        <v>Jun-2019</v>
      </c>
      <c r="E3096" t="s">
        <v>25</v>
      </c>
      <c r="F3096" s="24" t="s">
        <v>273</v>
      </c>
      <c r="G3096" s="24" t="s">
        <v>1172</v>
      </c>
      <c r="H3096" s="24" t="s">
        <v>139</v>
      </c>
      <c r="I3096" s="24" t="s">
        <v>9</v>
      </c>
      <c r="J3096" s="24" t="s">
        <v>30</v>
      </c>
      <c r="K3096" s="24"/>
      <c r="L3096" s="24" t="s">
        <v>69</v>
      </c>
    </row>
    <row r="3097">
      <c r="A3097" s="24">
        <f t="shared" si="1"/>
        <v>3095</v>
      </c>
      <c r="B3097" s="24" t="s">
        <v>1169</v>
      </c>
      <c r="C3097" s="275">
        <v>43644.0</v>
      </c>
      <c r="D3097" s="24" t="str">
        <f t="shared" si="271"/>
        <v>Jun-2019</v>
      </c>
      <c r="E3097" t="s">
        <v>32</v>
      </c>
      <c r="F3097" s="24" t="s">
        <v>273</v>
      </c>
      <c r="G3097" s="24" t="s">
        <v>1172</v>
      </c>
      <c r="H3097" s="24" t="s">
        <v>139</v>
      </c>
      <c r="I3097" s="24" t="s">
        <v>9</v>
      </c>
      <c r="J3097" s="24" t="s">
        <v>30</v>
      </c>
      <c r="K3097" s="24"/>
      <c r="L3097" s="24" t="s">
        <v>99</v>
      </c>
    </row>
    <row r="3098">
      <c r="A3098" s="24">
        <f t="shared" si="1"/>
        <v>3096</v>
      </c>
      <c r="B3098" s="24" t="s">
        <v>1169</v>
      </c>
      <c r="C3098" s="275">
        <v>43644.0</v>
      </c>
      <c r="D3098" s="24" t="str">
        <f t="shared" si="271"/>
        <v>Jun-2019</v>
      </c>
      <c r="E3098" t="s">
        <v>20</v>
      </c>
      <c r="F3098" s="24" t="s">
        <v>273</v>
      </c>
      <c r="G3098" s="24" t="s">
        <v>1175</v>
      </c>
      <c r="H3098" s="24" t="s">
        <v>216</v>
      </c>
      <c r="I3098" s="24" t="s">
        <v>9</v>
      </c>
      <c r="J3098" s="24" t="s">
        <v>24</v>
      </c>
      <c r="K3098" s="24" t="s">
        <v>24</v>
      </c>
      <c r="L3098" s="24" t="s">
        <v>98</v>
      </c>
    </row>
    <row r="3099">
      <c r="A3099" s="24">
        <f t="shared" si="1"/>
        <v>3097</v>
      </c>
      <c r="B3099" s="24" t="s">
        <v>1169</v>
      </c>
      <c r="C3099" s="275">
        <v>43644.0</v>
      </c>
      <c r="D3099" s="24" t="str">
        <f t="shared" si="271"/>
        <v>Jun-2019</v>
      </c>
      <c r="E3099" t="s">
        <v>25</v>
      </c>
      <c r="F3099" s="24" t="s">
        <v>273</v>
      </c>
      <c r="G3099" s="24" t="s">
        <v>1175</v>
      </c>
      <c r="H3099" s="24" t="s">
        <v>216</v>
      </c>
      <c r="I3099" s="24" t="s">
        <v>9</v>
      </c>
      <c r="J3099" s="24" t="s">
        <v>24</v>
      </c>
      <c r="K3099" s="24"/>
      <c r="L3099" s="24" t="s">
        <v>98</v>
      </c>
    </row>
    <row r="3100">
      <c r="A3100" s="24">
        <f t="shared" si="1"/>
        <v>3098</v>
      </c>
      <c r="B3100" s="24" t="s">
        <v>1169</v>
      </c>
      <c r="C3100" s="275">
        <v>43644.0</v>
      </c>
      <c r="D3100" s="24" t="str">
        <f t="shared" si="271"/>
        <v>Jun-2019</v>
      </c>
      <c r="E3100" t="s">
        <v>20</v>
      </c>
      <c r="F3100" s="24" t="s">
        <v>273</v>
      </c>
      <c r="G3100" s="24" t="s">
        <v>1179</v>
      </c>
      <c r="H3100" s="24" t="s">
        <v>23</v>
      </c>
      <c r="I3100" s="24" t="s">
        <v>9</v>
      </c>
      <c r="J3100" s="24" t="s">
        <v>30</v>
      </c>
      <c r="K3100" s="24" t="s">
        <v>30</v>
      </c>
      <c r="L3100" s="24" t="s">
        <v>37</v>
      </c>
    </row>
    <row r="3101">
      <c r="A3101" s="24">
        <f t="shared" si="1"/>
        <v>3099</v>
      </c>
      <c r="B3101" s="24" t="s">
        <v>1169</v>
      </c>
      <c r="C3101" s="275">
        <v>43644.0</v>
      </c>
      <c r="D3101" s="24" t="str">
        <f t="shared" si="271"/>
        <v>Jun-2019</v>
      </c>
      <c r="E3101" t="s">
        <v>25</v>
      </c>
      <c r="F3101" s="24" t="s">
        <v>273</v>
      </c>
      <c r="G3101" s="24" t="s">
        <v>1179</v>
      </c>
      <c r="H3101" s="24" t="s">
        <v>23</v>
      </c>
      <c r="I3101" s="24" t="s">
        <v>9</v>
      </c>
      <c r="J3101" s="24" t="s">
        <v>30</v>
      </c>
      <c r="K3101" s="24"/>
      <c r="L3101" s="24" t="s">
        <v>37</v>
      </c>
    </row>
    <row r="3102">
      <c r="A3102" s="24">
        <f t="shared" si="1"/>
        <v>3100</v>
      </c>
      <c r="B3102" s="24" t="s">
        <v>1169</v>
      </c>
      <c r="C3102" s="275">
        <v>43644.0</v>
      </c>
      <c r="D3102" s="24" t="str">
        <f t="shared" si="271"/>
        <v>Jun-2019</v>
      </c>
      <c r="E3102" t="s">
        <v>20</v>
      </c>
      <c r="F3102" s="24" t="s">
        <v>273</v>
      </c>
      <c r="G3102" s="24" t="s">
        <v>1181</v>
      </c>
      <c r="H3102" s="24" t="s">
        <v>86</v>
      </c>
      <c r="I3102" s="24" t="s">
        <v>9</v>
      </c>
      <c r="J3102" s="24" t="s">
        <v>24</v>
      </c>
      <c r="K3102" s="24" t="s">
        <v>24</v>
      </c>
      <c r="L3102" s="24" t="s">
        <v>69</v>
      </c>
    </row>
    <row r="3103">
      <c r="A3103" s="24">
        <f t="shared" si="1"/>
        <v>3101</v>
      </c>
      <c r="B3103" s="24" t="s">
        <v>1169</v>
      </c>
      <c r="C3103" s="275">
        <v>43644.0</v>
      </c>
      <c r="D3103" s="24" t="str">
        <f>TEXT(C3095:C3103, "mmm") &amp; "-" &amp; TEXT(C3095:C3103, "yyyy") </f>
        <v>Jun-2019</v>
      </c>
      <c r="E3103" t="s">
        <v>25</v>
      </c>
      <c r="F3103" s="24" t="s">
        <v>273</v>
      </c>
      <c r="G3103" s="24" t="s">
        <v>1181</v>
      </c>
      <c r="H3103" s="24" t="s">
        <v>86</v>
      </c>
      <c r="I3103" s="24" t="s">
        <v>9</v>
      </c>
      <c r="J3103" s="24" t="s">
        <v>24</v>
      </c>
      <c r="K3103" s="24"/>
      <c r="L3103" s="24" t="s">
        <v>99</v>
      </c>
    </row>
    <row r="3104">
      <c r="A3104" s="24">
        <f t="shared" si="1"/>
        <v>3102</v>
      </c>
      <c r="B3104" s="24" t="s">
        <v>1183</v>
      </c>
      <c r="C3104" s="275">
        <v>43660.0</v>
      </c>
      <c r="D3104" s="24" t="str">
        <f t="shared" ref="D3104:D3111" si="272">TEXT(C3097:C3104, "mmm") &amp; "-" &amp; TEXT(C3097:C3104, "yyyy") </f>
        <v>Jul-2019</v>
      </c>
      <c r="E3104" t="s">
        <v>20</v>
      </c>
      <c r="F3104" s="24" t="s">
        <v>35</v>
      </c>
      <c r="G3104" s="24" t="s">
        <v>100</v>
      </c>
      <c r="H3104" s="24" t="s">
        <v>9</v>
      </c>
      <c r="I3104" s="24" t="s">
        <v>9</v>
      </c>
      <c r="J3104" s="24" t="s">
        <v>30</v>
      </c>
      <c r="K3104" s="24" t="s">
        <v>30</v>
      </c>
      <c r="L3104" s="24" t="s">
        <v>69</v>
      </c>
    </row>
    <row r="3105">
      <c r="A3105" s="24">
        <f t="shared" si="1"/>
        <v>3103</v>
      </c>
      <c r="B3105" s="24" t="s">
        <v>1183</v>
      </c>
      <c r="C3105" s="275">
        <v>43660.0</v>
      </c>
      <c r="D3105" s="24" t="str">
        <f t="shared" si="272"/>
        <v>Jul-2019</v>
      </c>
      <c r="E3105" t="s">
        <v>25</v>
      </c>
      <c r="F3105" s="24" t="s">
        <v>35</v>
      </c>
      <c r="G3105" s="24" t="s">
        <v>100</v>
      </c>
      <c r="H3105" s="24" t="s">
        <v>9</v>
      </c>
      <c r="I3105" s="24" t="s">
        <v>9</v>
      </c>
      <c r="J3105" s="24" t="s">
        <v>30</v>
      </c>
      <c r="K3105" s="24"/>
      <c r="L3105" s="24" t="s">
        <v>37</v>
      </c>
    </row>
    <row r="3106">
      <c r="A3106" s="24">
        <f t="shared" si="1"/>
        <v>3104</v>
      </c>
      <c r="B3106" s="24" t="s">
        <v>1183</v>
      </c>
      <c r="C3106" s="275">
        <v>43660.0</v>
      </c>
      <c r="D3106" s="24" t="str">
        <f t="shared" si="272"/>
        <v>Jul-2019</v>
      </c>
      <c r="E3106" t="s">
        <v>20</v>
      </c>
      <c r="F3106" s="24" t="s">
        <v>35</v>
      </c>
      <c r="G3106" s="24" t="s">
        <v>1186</v>
      </c>
      <c r="H3106" s="24" t="s">
        <v>48</v>
      </c>
      <c r="I3106" s="24" t="s">
        <v>9</v>
      </c>
      <c r="J3106" s="24" t="s">
        <v>24</v>
      </c>
      <c r="K3106" s="24" t="s">
        <v>24</v>
      </c>
      <c r="L3106" s="24" t="s">
        <v>98</v>
      </c>
    </row>
    <row r="3107">
      <c r="A3107" s="24">
        <f t="shared" si="1"/>
        <v>3105</v>
      </c>
      <c r="B3107" s="24" t="s">
        <v>1183</v>
      </c>
      <c r="C3107" s="275">
        <v>43660.0</v>
      </c>
      <c r="D3107" s="24" t="str">
        <f t="shared" si="272"/>
        <v>Jul-2019</v>
      </c>
      <c r="E3107" t="s">
        <v>25</v>
      </c>
      <c r="F3107" s="24" t="s">
        <v>35</v>
      </c>
      <c r="G3107" s="24" t="s">
        <v>1186</v>
      </c>
      <c r="H3107" s="24" t="s">
        <v>48</v>
      </c>
      <c r="I3107" s="24" t="s">
        <v>9</v>
      </c>
      <c r="J3107" s="24" t="s">
        <v>24</v>
      </c>
      <c r="K3107" s="24"/>
      <c r="L3107" s="24" t="s">
        <v>106</v>
      </c>
    </row>
    <row r="3108">
      <c r="A3108" s="24">
        <f t="shared" si="1"/>
        <v>3106</v>
      </c>
      <c r="B3108" s="24" t="s">
        <v>1183</v>
      </c>
      <c r="C3108" s="275">
        <v>43660.0</v>
      </c>
      <c r="D3108" s="24" t="str">
        <f t="shared" si="272"/>
        <v>Jul-2019</v>
      </c>
      <c r="E3108" t="s">
        <v>20</v>
      </c>
      <c r="F3108" s="24" t="s">
        <v>35</v>
      </c>
      <c r="G3108" s="24" t="s">
        <v>943</v>
      </c>
      <c r="H3108" s="24" t="s">
        <v>27</v>
      </c>
      <c r="I3108" s="24" t="s">
        <v>9</v>
      </c>
      <c r="J3108" s="24" t="s">
        <v>30</v>
      </c>
      <c r="K3108" s="24" t="s">
        <v>30</v>
      </c>
      <c r="L3108" s="24" t="s">
        <v>98</v>
      </c>
    </row>
    <row r="3109">
      <c r="A3109" s="24">
        <f t="shared" si="1"/>
        <v>3107</v>
      </c>
      <c r="B3109" s="24" t="s">
        <v>1183</v>
      </c>
      <c r="C3109" s="275">
        <v>43660.0</v>
      </c>
      <c r="D3109" s="24" t="str">
        <f t="shared" si="272"/>
        <v>Jul-2019</v>
      </c>
      <c r="E3109" t="s">
        <v>25</v>
      </c>
      <c r="F3109" s="24" t="s">
        <v>35</v>
      </c>
      <c r="G3109" s="24" t="s">
        <v>943</v>
      </c>
      <c r="H3109" s="24" t="s">
        <v>27</v>
      </c>
      <c r="I3109" s="24" t="s">
        <v>9</v>
      </c>
      <c r="J3109" s="24" t="s">
        <v>30</v>
      </c>
      <c r="K3109" s="24"/>
      <c r="L3109" s="24" t="s">
        <v>69</v>
      </c>
    </row>
    <row r="3110">
      <c r="A3110" s="24">
        <f t="shared" si="1"/>
        <v>3108</v>
      </c>
      <c r="B3110" s="24" t="s">
        <v>1183</v>
      </c>
      <c r="C3110" s="275">
        <v>43660.0</v>
      </c>
      <c r="D3110" s="24" t="str">
        <f t="shared" si="272"/>
        <v>Jul-2019</v>
      </c>
      <c r="E3110" t="s">
        <v>146</v>
      </c>
      <c r="F3110" s="24" t="s">
        <v>35</v>
      </c>
      <c r="G3110" s="24" t="s">
        <v>1138</v>
      </c>
      <c r="H3110" s="24" t="s">
        <v>27</v>
      </c>
      <c r="I3110" s="24" t="s">
        <v>9</v>
      </c>
      <c r="J3110" s="24" t="s">
        <v>24</v>
      </c>
      <c r="K3110" s="24" t="s">
        <v>24</v>
      </c>
      <c r="L3110" s="24" t="s">
        <v>69</v>
      </c>
    </row>
    <row r="3111">
      <c r="A3111" s="24">
        <f t="shared" si="1"/>
        <v>3109</v>
      </c>
      <c r="B3111" s="24" t="s">
        <v>1183</v>
      </c>
      <c r="C3111" s="275">
        <v>43660.0</v>
      </c>
      <c r="D3111" s="24" t="str">
        <f t="shared" si="272"/>
        <v>Jul-2019</v>
      </c>
      <c r="E3111" t="s">
        <v>149</v>
      </c>
      <c r="F3111" s="24" t="s">
        <v>35</v>
      </c>
      <c r="G3111" s="24" t="s">
        <v>1138</v>
      </c>
      <c r="H3111" s="24" t="s">
        <v>27</v>
      </c>
      <c r="I3111" s="24" t="s">
        <v>9</v>
      </c>
      <c r="J3111" s="24" t="s">
        <v>24</v>
      </c>
      <c r="K3111" s="24"/>
      <c r="L3111" s="24" t="s">
        <v>106</v>
      </c>
    </row>
    <row r="3112">
      <c r="A3112" s="24">
        <f t="shared" si="1"/>
        <v>3110</v>
      </c>
      <c r="B3112" s="24" t="s">
        <v>1183</v>
      </c>
      <c r="C3112" s="275">
        <v>43660.0</v>
      </c>
      <c r="D3112" s="24" t="str">
        <f>TEXT(C3104:C3112, "mmm") &amp; "-" &amp; TEXT(C3104:C3112, "yyyy") </f>
        <v>Jul-2019</v>
      </c>
      <c r="E3112" t="s">
        <v>222</v>
      </c>
      <c r="F3112" s="24" t="s">
        <v>35</v>
      </c>
      <c r="G3112" s="24" t="s">
        <v>1138</v>
      </c>
      <c r="H3112" s="24" t="s">
        <v>27</v>
      </c>
      <c r="I3112" s="24" t="s">
        <v>9</v>
      </c>
      <c r="J3112" s="24" t="s">
        <v>24</v>
      </c>
      <c r="K3112" s="24"/>
      <c r="L3112" s="24" t="s">
        <v>29</v>
      </c>
    </row>
    <row r="3113">
      <c r="A3113" s="24">
        <f t="shared" si="1"/>
        <v>3111</v>
      </c>
      <c r="B3113" s="24" t="s">
        <v>1190</v>
      </c>
      <c r="C3113" s="275">
        <v>43665.0</v>
      </c>
      <c r="D3113" s="24" t="str">
        <f t="shared" ref="D3113:D3120" si="273">TEXT(C3106:C3113, "mmm") &amp; "-" &amp; TEXT(C3106:C3113, "yyyy") </f>
        <v>Jul-2019</v>
      </c>
      <c r="E3113" t="s">
        <v>20</v>
      </c>
      <c r="F3113" s="24" t="s">
        <v>35</v>
      </c>
      <c r="G3113" s="24" t="s">
        <v>871</v>
      </c>
      <c r="H3113" s="24" t="s">
        <v>138</v>
      </c>
      <c r="I3113" s="24" t="s">
        <v>9</v>
      </c>
      <c r="J3113" s="24" t="s">
        <v>30</v>
      </c>
      <c r="K3113" s="24" t="s">
        <v>30</v>
      </c>
      <c r="L3113" s="24" t="s">
        <v>98</v>
      </c>
    </row>
    <row r="3114">
      <c r="A3114" s="24">
        <f t="shared" si="1"/>
        <v>3112</v>
      </c>
      <c r="B3114" s="24" t="s">
        <v>1190</v>
      </c>
      <c r="C3114" s="275">
        <v>43665.0</v>
      </c>
      <c r="D3114" s="24" t="str">
        <f t="shared" si="273"/>
        <v>Jul-2019</v>
      </c>
      <c r="E3114" t="s">
        <v>25</v>
      </c>
      <c r="F3114" s="24" t="s">
        <v>35</v>
      </c>
      <c r="G3114" s="24" t="s">
        <v>871</v>
      </c>
      <c r="H3114" s="24" t="s">
        <v>138</v>
      </c>
      <c r="I3114" s="24" t="s">
        <v>9</v>
      </c>
      <c r="J3114" s="24" t="s">
        <v>24</v>
      </c>
      <c r="K3114" s="24"/>
      <c r="L3114" s="24" t="s">
        <v>106</v>
      </c>
    </row>
    <row r="3115">
      <c r="A3115" s="24">
        <f t="shared" si="1"/>
        <v>3113</v>
      </c>
      <c r="B3115" s="24" t="s">
        <v>1190</v>
      </c>
      <c r="C3115" s="275">
        <v>43665.0</v>
      </c>
      <c r="D3115" s="24" t="str">
        <f t="shared" si="273"/>
        <v>Jul-2019</v>
      </c>
      <c r="E3115" t="s">
        <v>32</v>
      </c>
      <c r="F3115" s="24" t="s">
        <v>35</v>
      </c>
      <c r="G3115" s="24" t="s">
        <v>871</v>
      </c>
      <c r="H3115" s="24" t="s">
        <v>138</v>
      </c>
      <c r="I3115" s="24" t="s">
        <v>9</v>
      </c>
      <c r="J3115" s="24" t="s">
        <v>30</v>
      </c>
      <c r="K3115" s="24"/>
      <c r="L3115" s="24" t="s">
        <v>106</v>
      </c>
    </row>
    <row r="3116">
      <c r="A3116" s="24">
        <f t="shared" si="1"/>
        <v>3114</v>
      </c>
      <c r="B3116" s="24" t="s">
        <v>1190</v>
      </c>
      <c r="C3116" s="275">
        <v>43665.0</v>
      </c>
      <c r="D3116" s="24" t="str">
        <f t="shared" si="273"/>
        <v>Jul-2019</v>
      </c>
      <c r="E3116" t="s">
        <v>20</v>
      </c>
      <c r="F3116" s="24" t="s">
        <v>35</v>
      </c>
      <c r="G3116" s="24" t="s">
        <v>1191</v>
      </c>
      <c r="H3116" s="24" t="s">
        <v>139</v>
      </c>
      <c r="I3116" s="24" t="s">
        <v>9</v>
      </c>
      <c r="J3116" s="24" t="s">
        <v>30</v>
      </c>
      <c r="K3116" s="24" t="s">
        <v>30</v>
      </c>
      <c r="L3116" s="24" t="s">
        <v>37</v>
      </c>
    </row>
    <row r="3117">
      <c r="A3117" s="24">
        <f t="shared" si="1"/>
        <v>3115</v>
      </c>
      <c r="B3117" s="24" t="s">
        <v>1190</v>
      </c>
      <c r="C3117" s="275">
        <v>43665.0</v>
      </c>
      <c r="D3117" s="24" t="str">
        <f t="shared" si="273"/>
        <v>Jul-2019</v>
      </c>
      <c r="E3117" t="s">
        <v>25</v>
      </c>
      <c r="F3117" s="24" t="s">
        <v>35</v>
      </c>
      <c r="G3117" s="24" t="s">
        <v>1191</v>
      </c>
      <c r="H3117" s="24" t="s">
        <v>139</v>
      </c>
      <c r="I3117" s="24" t="s">
        <v>9</v>
      </c>
      <c r="J3117" s="24" t="s">
        <v>24</v>
      </c>
      <c r="K3117" s="24"/>
      <c r="L3117" s="24" t="s">
        <v>37</v>
      </c>
    </row>
    <row r="3118">
      <c r="A3118" s="24">
        <f t="shared" si="1"/>
        <v>3116</v>
      </c>
      <c r="B3118" s="24" t="s">
        <v>1190</v>
      </c>
      <c r="C3118" s="275">
        <v>43665.0</v>
      </c>
      <c r="D3118" s="24" t="str">
        <f t="shared" si="273"/>
        <v>Jul-2019</v>
      </c>
      <c r="E3118" t="s">
        <v>32</v>
      </c>
      <c r="F3118" s="24" t="s">
        <v>35</v>
      </c>
      <c r="G3118" s="24" t="s">
        <v>1191</v>
      </c>
      <c r="H3118" s="24" t="s">
        <v>139</v>
      </c>
      <c r="I3118" s="24" t="s">
        <v>9</v>
      </c>
      <c r="J3118" s="24" t="s">
        <v>30</v>
      </c>
      <c r="K3118" s="24"/>
      <c r="L3118" s="24" t="s">
        <v>106</v>
      </c>
    </row>
    <row r="3119">
      <c r="A3119" s="24">
        <f t="shared" si="1"/>
        <v>3117</v>
      </c>
      <c r="B3119" s="24" t="s">
        <v>1190</v>
      </c>
      <c r="C3119" s="275">
        <v>43665.0</v>
      </c>
      <c r="D3119" s="24" t="str">
        <f t="shared" si="273"/>
        <v>Jul-2019</v>
      </c>
      <c r="E3119" t="s">
        <v>146</v>
      </c>
      <c r="F3119" s="24" t="s">
        <v>35</v>
      </c>
      <c r="G3119" s="24" t="s">
        <v>393</v>
      </c>
      <c r="H3119" s="24" t="s">
        <v>102</v>
      </c>
      <c r="I3119" s="24" t="s">
        <v>9</v>
      </c>
      <c r="J3119" s="24" t="s">
        <v>30</v>
      </c>
      <c r="K3119" s="24" t="s">
        <v>30</v>
      </c>
      <c r="L3119" s="24" t="s">
        <v>99</v>
      </c>
    </row>
    <row r="3120">
      <c r="A3120" s="24">
        <f t="shared" si="1"/>
        <v>3118</v>
      </c>
      <c r="B3120" s="24" t="s">
        <v>1190</v>
      </c>
      <c r="C3120" s="275">
        <v>43665.0</v>
      </c>
      <c r="D3120" s="24" t="str">
        <f t="shared" si="273"/>
        <v>Jul-2019</v>
      </c>
      <c r="E3120" t="s">
        <v>149</v>
      </c>
      <c r="F3120" s="24" t="s">
        <v>35</v>
      </c>
      <c r="G3120" s="24" t="s">
        <v>393</v>
      </c>
      <c r="H3120" s="24" t="s">
        <v>102</v>
      </c>
      <c r="I3120" s="24" t="s">
        <v>9</v>
      </c>
      <c r="J3120" s="24" t="s">
        <v>30</v>
      </c>
      <c r="K3120" s="24"/>
      <c r="L3120" s="24" t="s">
        <v>29</v>
      </c>
    </row>
    <row r="3121">
      <c r="A3121" s="24">
        <f t="shared" si="1"/>
        <v>3119</v>
      </c>
      <c r="B3121" s="24" t="s">
        <v>1190</v>
      </c>
      <c r="C3121" s="275">
        <v>43665.0</v>
      </c>
      <c r="D3121" s="24" t="str">
        <f t="shared" ref="D3121:D3127" si="274">TEXT(C3113:C3121, "mmm") &amp; "-" &amp; TEXT(C3113:C3121, "yyyy") </f>
        <v>Jul-2019</v>
      </c>
      <c r="E3121" t="s">
        <v>222</v>
      </c>
      <c r="F3121" s="24" t="s">
        <v>35</v>
      </c>
      <c r="G3121" s="24" t="s">
        <v>393</v>
      </c>
      <c r="H3121" s="24" t="s">
        <v>102</v>
      </c>
      <c r="I3121" s="24" t="s">
        <v>9</v>
      </c>
      <c r="J3121" s="24" t="s">
        <v>30</v>
      </c>
      <c r="K3121" s="24"/>
      <c r="L3121" s="24" t="s">
        <v>29</v>
      </c>
    </row>
    <row r="3122">
      <c r="A3122" s="24">
        <f t="shared" si="1"/>
        <v>3120</v>
      </c>
      <c r="B3122" s="24" t="s">
        <v>1190</v>
      </c>
      <c r="C3122" s="275">
        <v>43665.0</v>
      </c>
      <c r="D3122" s="24" t="str">
        <f t="shared" si="274"/>
        <v>Jul-2019</v>
      </c>
      <c r="E3122" t="s">
        <v>146</v>
      </c>
      <c r="F3122" s="24" t="s">
        <v>35</v>
      </c>
      <c r="G3122" s="24" t="s">
        <v>394</v>
      </c>
      <c r="H3122" s="24" t="s">
        <v>27</v>
      </c>
      <c r="I3122" s="24" t="s">
        <v>9</v>
      </c>
      <c r="J3122" s="24" t="s">
        <v>24</v>
      </c>
      <c r="K3122" s="24" t="s">
        <v>24</v>
      </c>
      <c r="L3122" s="24" t="s">
        <v>37</v>
      </c>
    </row>
    <row r="3123">
      <c r="A3123" s="24">
        <f t="shared" si="1"/>
        <v>3121</v>
      </c>
      <c r="B3123" s="24" t="s">
        <v>1190</v>
      </c>
      <c r="C3123" s="275">
        <v>43665.0</v>
      </c>
      <c r="D3123" s="24" t="str">
        <f t="shared" si="274"/>
        <v>Jul-2019</v>
      </c>
      <c r="E3123" t="s">
        <v>149</v>
      </c>
      <c r="F3123" s="24" t="s">
        <v>35</v>
      </c>
      <c r="G3123" s="24" t="s">
        <v>394</v>
      </c>
      <c r="H3123" s="24" t="s">
        <v>27</v>
      </c>
      <c r="I3123" s="24" t="s">
        <v>9</v>
      </c>
      <c r="J3123" s="24" t="s">
        <v>24</v>
      </c>
      <c r="K3123" s="24"/>
      <c r="L3123" s="24" t="s">
        <v>98</v>
      </c>
    </row>
    <row r="3124">
      <c r="A3124" s="24">
        <f t="shared" si="1"/>
        <v>3122</v>
      </c>
      <c r="B3124" s="24" t="s">
        <v>1190</v>
      </c>
      <c r="C3124" s="275">
        <v>43665.0</v>
      </c>
      <c r="D3124" s="24" t="str">
        <f t="shared" si="274"/>
        <v>Jul-2019</v>
      </c>
      <c r="E3124" t="s">
        <v>222</v>
      </c>
      <c r="F3124" s="24" t="s">
        <v>35</v>
      </c>
      <c r="G3124" s="24" t="s">
        <v>394</v>
      </c>
      <c r="H3124" s="24" t="s">
        <v>27</v>
      </c>
      <c r="I3124" s="24" t="s">
        <v>9</v>
      </c>
      <c r="J3124" s="24" t="s">
        <v>24</v>
      </c>
      <c r="K3124" s="24"/>
      <c r="L3124" s="24" t="s">
        <v>98</v>
      </c>
    </row>
    <row r="3125">
      <c r="A3125" s="24">
        <f t="shared" si="1"/>
        <v>3123</v>
      </c>
      <c r="B3125" s="24" t="s">
        <v>1190</v>
      </c>
      <c r="C3125" s="275">
        <v>43665.0</v>
      </c>
      <c r="D3125" s="24" t="str">
        <f t="shared" si="274"/>
        <v>Jul-2019</v>
      </c>
      <c r="E3125" t="s">
        <v>146</v>
      </c>
      <c r="F3125" s="24" t="s">
        <v>35</v>
      </c>
      <c r="G3125" s="24" t="s">
        <v>393</v>
      </c>
      <c r="H3125" s="24" t="s">
        <v>102</v>
      </c>
      <c r="I3125" s="24" t="s">
        <v>9</v>
      </c>
      <c r="J3125" s="24" t="s">
        <v>24</v>
      </c>
      <c r="K3125" s="24" t="s">
        <v>24</v>
      </c>
      <c r="L3125" s="24" t="s">
        <v>98</v>
      </c>
    </row>
    <row r="3126">
      <c r="A3126" s="24">
        <f t="shared" si="1"/>
        <v>3124</v>
      </c>
      <c r="B3126" s="24" t="s">
        <v>1190</v>
      </c>
      <c r="C3126" s="275">
        <v>43665.0</v>
      </c>
      <c r="D3126" s="24" t="str">
        <f t="shared" si="274"/>
        <v>Jul-2019</v>
      </c>
      <c r="E3126" t="s">
        <v>149</v>
      </c>
      <c r="F3126" s="24" t="s">
        <v>35</v>
      </c>
      <c r="G3126" s="24" t="s">
        <v>393</v>
      </c>
      <c r="H3126" s="24" t="s">
        <v>102</v>
      </c>
      <c r="I3126" s="24" t="s">
        <v>9</v>
      </c>
      <c r="J3126" s="24" t="s">
        <v>24</v>
      </c>
      <c r="K3126" s="24"/>
      <c r="L3126" s="24" t="s">
        <v>69</v>
      </c>
    </row>
    <row r="3127">
      <c r="A3127" s="24">
        <f t="shared" si="1"/>
        <v>3125</v>
      </c>
      <c r="B3127" s="24" t="s">
        <v>1190</v>
      </c>
      <c r="C3127" s="275">
        <v>43665.0</v>
      </c>
      <c r="D3127" s="24" t="str">
        <f t="shared" si="274"/>
        <v>Jul-2019</v>
      </c>
      <c r="E3127" t="s">
        <v>222</v>
      </c>
      <c r="F3127" s="24" t="s">
        <v>35</v>
      </c>
      <c r="G3127" s="24" t="s">
        <v>393</v>
      </c>
      <c r="H3127" s="24" t="s">
        <v>102</v>
      </c>
      <c r="I3127" s="24" t="s">
        <v>9</v>
      </c>
      <c r="J3127" s="24" t="s">
        <v>24</v>
      </c>
      <c r="K3127" s="24"/>
      <c r="L3127" s="24" t="s">
        <v>106</v>
      </c>
    </row>
    <row r="3128">
      <c r="A3128" s="24">
        <f t="shared" si="1"/>
        <v>3126</v>
      </c>
      <c r="B3128" s="24" t="s">
        <v>1193</v>
      </c>
      <c r="C3128" s="275">
        <v>43672.0</v>
      </c>
      <c r="D3128" s="24" t="str">
        <f t="shared" ref="D3128:D3135" si="275">TEXT(C3121:C3128, "mmm") &amp; "-" &amp; TEXT(C3121:C3128, "yyyy") </f>
        <v>Jul-2019</v>
      </c>
      <c r="E3128" t="s">
        <v>20</v>
      </c>
      <c r="F3128" s="24" t="s">
        <v>35</v>
      </c>
      <c r="G3128" s="24" t="s">
        <v>1194</v>
      </c>
      <c r="H3128" s="24" t="s">
        <v>9</v>
      </c>
      <c r="I3128" s="24" t="s">
        <v>9</v>
      </c>
      <c r="J3128" s="24" t="s">
        <v>30</v>
      </c>
      <c r="K3128" s="24" t="s">
        <v>30</v>
      </c>
      <c r="L3128" s="24" t="s">
        <v>98</v>
      </c>
    </row>
    <row r="3129">
      <c r="A3129" s="24">
        <f t="shared" si="1"/>
        <v>3127</v>
      </c>
      <c r="B3129" s="24" t="s">
        <v>1193</v>
      </c>
      <c r="C3129" s="275">
        <v>43672.0</v>
      </c>
      <c r="D3129" s="24" t="str">
        <f t="shared" si="275"/>
        <v>Jul-2019</v>
      </c>
      <c r="E3129" t="s">
        <v>25</v>
      </c>
      <c r="F3129" s="24" t="s">
        <v>35</v>
      </c>
      <c r="G3129" s="24" t="s">
        <v>1194</v>
      </c>
      <c r="H3129" s="24" t="s">
        <v>9</v>
      </c>
      <c r="I3129" s="24" t="s">
        <v>9</v>
      </c>
      <c r="J3129" s="24" t="s">
        <v>24</v>
      </c>
      <c r="K3129" s="24"/>
      <c r="L3129" s="24" t="s">
        <v>106</v>
      </c>
    </row>
    <row r="3130">
      <c r="A3130" s="24">
        <f t="shared" si="1"/>
        <v>3128</v>
      </c>
      <c r="B3130" s="24" t="s">
        <v>1193</v>
      </c>
      <c r="C3130" s="275">
        <v>43672.0</v>
      </c>
      <c r="D3130" s="24" t="str">
        <f t="shared" si="275"/>
        <v>Jul-2019</v>
      </c>
      <c r="E3130" t="s">
        <v>32</v>
      </c>
      <c r="F3130" s="24" t="s">
        <v>35</v>
      </c>
      <c r="G3130" s="24" t="s">
        <v>1194</v>
      </c>
      <c r="H3130" s="24" t="s">
        <v>9</v>
      </c>
      <c r="I3130" s="24" t="s">
        <v>9</v>
      </c>
      <c r="J3130" s="24" t="s">
        <v>30</v>
      </c>
      <c r="K3130" s="24"/>
      <c r="L3130" s="24" t="s">
        <v>69</v>
      </c>
    </row>
    <row r="3131">
      <c r="A3131" s="24">
        <f t="shared" si="1"/>
        <v>3129</v>
      </c>
      <c r="B3131" s="24" t="s">
        <v>1193</v>
      </c>
      <c r="C3131" s="275">
        <v>43672.0</v>
      </c>
      <c r="D3131" s="24" t="str">
        <f t="shared" si="275"/>
        <v>Jul-2019</v>
      </c>
      <c r="E3131" t="s">
        <v>20</v>
      </c>
      <c r="F3131" s="24" t="s">
        <v>35</v>
      </c>
      <c r="G3131" s="24" t="s">
        <v>407</v>
      </c>
      <c r="H3131" s="24" t="s">
        <v>44</v>
      </c>
      <c r="I3131" s="24" t="s">
        <v>9</v>
      </c>
      <c r="J3131" s="24" t="s">
        <v>30</v>
      </c>
      <c r="K3131" s="24" t="s">
        <v>30</v>
      </c>
      <c r="L3131" s="24" t="s">
        <v>69</v>
      </c>
    </row>
    <row r="3132">
      <c r="A3132" s="24">
        <f t="shared" si="1"/>
        <v>3130</v>
      </c>
      <c r="B3132" s="24" t="s">
        <v>1193</v>
      </c>
      <c r="C3132" s="275">
        <v>43672.0</v>
      </c>
      <c r="D3132" s="24" t="str">
        <f t="shared" si="275"/>
        <v>Jul-2019</v>
      </c>
      <c r="E3132" t="s">
        <v>25</v>
      </c>
      <c r="F3132" s="24" t="s">
        <v>35</v>
      </c>
      <c r="G3132" s="24" t="s">
        <v>407</v>
      </c>
      <c r="H3132" s="24" t="s">
        <v>44</v>
      </c>
      <c r="I3132" s="24" t="s">
        <v>9</v>
      </c>
      <c r="J3132" s="24" t="s">
        <v>30</v>
      </c>
      <c r="K3132" s="24"/>
      <c r="L3132" s="24" t="s">
        <v>99</v>
      </c>
    </row>
    <row r="3133">
      <c r="A3133" s="24">
        <f t="shared" si="1"/>
        <v>3131</v>
      </c>
      <c r="B3133" s="24" t="s">
        <v>1193</v>
      </c>
      <c r="C3133" s="275">
        <v>43672.0</v>
      </c>
      <c r="D3133" s="24" t="str">
        <f t="shared" si="275"/>
        <v>Jul-2019</v>
      </c>
      <c r="E3133" t="s">
        <v>20</v>
      </c>
      <c r="F3133" s="24" t="s">
        <v>35</v>
      </c>
      <c r="G3133" s="24" t="s">
        <v>947</v>
      </c>
      <c r="H3133" s="24" t="s">
        <v>71</v>
      </c>
      <c r="I3133" s="24" t="s">
        <v>9</v>
      </c>
      <c r="J3133" s="24" t="s">
        <v>30</v>
      </c>
      <c r="K3133" s="24" t="s">
        <v>24</v>
      </c>
      <c r="L3133" s="24" t="s">
        <v>98</v>
      </c>
    </row>
    <row r="3134">
      <c r="A3134" s="24">
        <f t="shared" si="1"/>
        <v>3132</v>
      </c>
      <c r="B3134" s="24" t="s">
        <v>1193</v>
      </c>
      <c r="C3134" s="275">
        <v>43672.0</v>
      </c>
      <c r="D3134" s="24" t="str">
        <f t="shared" si="275"/>
        <v>Jul-2019</v>
      </c>
      <c r="E3134" t="s">
        <v>25</v>
      </c>
      <c r="F3134" s="24" t="s">
        <v>35</v>
      </c>
      <c r="G3134" s="24" t="s">
        <v>947</v>
      </c>
      <c r="H3134" s="24" t="s">
        <v>71</v>
      </c>
      <c r="I3134" s="24" t="s">
        <v>9</v>
      </c>
      <c r="J3134" s="24" t="s">
        <v>24</v>
      </c>
      <c r="K3134" s="24"/>
      <c r="L3134" s="24" t="s">
        <v>99</v>
      </c>
    </row>
    <row r="3135">
      <c r="A3135" s="24">
        <f t="shared" si="1"/>
        <v>3133</v>
      </c>
      <c r="B3135" s="24" t="s">
        <v>1193</v>
      </c>
      <c r="C3135" s="275">
        <v>43672.0</v>
      </c>
      <c r="D3135" s="24" t="str">
        <f t="shared" si="275"/>
        <v>Jul-2019</v>
      </c>
      <c r="E3135" t="s">
        <v>32</v>
      </c>
      <c r="F3135" s="24" t="s">
        <v>35</v>
      </c>
      <c r="G3135" s="24" t="s">
        <v>947</v>
      </c>
      <c r="H3135" s="24" t="s">
        <v>71</v>
      </c>
      <c r="I3135" s="24" t="s">
        <v>9</v>
      </c>
      <c r="J3135" s="24" t="s">
        <v>24</v>
      </c>
      <c r="K3135" s="24"/>
      <c r="L3135" s="24" t="s">
        <v>106</v>
      </c>
    </row>
    <row r="3136">
      <c r="A3136" s="24">
        <f t="shared" si="1"/>
        <v>3134</v>
      </c>
      <c r="B3136" s="24" t="s">
        <v>1193</v>
      </c>
      <c r="C3136" s="275">
        <v>43672.0</v>
      </c>
      <c r="D3136" s="24" t="str">
        <f t="shared" ref="D3136:D3143" si="276">TEXT(C3128:C3136, "mmm") &amp; "-" &amp; TEXT(C3128:C3136, "yyyy") </f>
        <v>Jul-2019</v>
      </c>
      <c r="E3136" t="s">
        <v>20</v>
      </c>
      <c r="F3136" s="24" t="s">
        <v>35</v>
      </c>
      <c r="G3136" s="24" t="s">
        <v>360</v>
      </c>
      <c r="H3136" s="24" t="s">
        <v>216</v>
      </c>
      <c r="I3136" s="24" t="s">
        <v>9</v>
      </c>
      <c r="J3136" s="24" t="s">
        <v>24</v>
      </c>
      <c r="K3136" s="24" t="s">
        <v>30</v>
      </c>
      <c r="L3136" s="24" t="s">
        <v>37</v>
      </c>
    </row>
    <row r="3137">
      <c r="A3137" s="24">
        <f t="shared" si="1"/>
        <v>3135</v>
      </c>
      <c r="B3137" s="24" t="s">
        <v>1193</v>
      </c>
      <c r="C3137" s="275">
        <v>43672.0</v>
      </c>
      <c r="D3137" s="24" t="str">
        <f t="shared" si="276"/>
        <v>Jul-2019</v>
      </c>
      <c r="E3137" t="s">
        <v>25</v>
      </c>
      <c r="F3137" s="24" t="s">
        <v>35</v>
      </c>
      <c r="G3137" s="24" t="s">
        <v>360</v>
      </c>
      <c r="H3137" s="24" t="s">
        <v>216</v>
      </c>
      <c r="I3137" s="24" t="s">
        <v>9</v>
      </c>
      <c r="J3137" s="24" t="s">
        <v>30</v>
      </c>
      <c r="K3137" s="24"/>
      <c r="L3137" s="24" t="s">
        <v>69</v>
      </c>
    </row>
    <row r="3138">
      <c r="A3138" s="24">
        <f t="shared" si="1"/>
        <v>3136</v>
      </c>
      <c r="B3138" s="24" t="s">
        <v>1193</v>
      </c>
      <c r="C3138" s="275">
        <v>43672.0</v>
      </c>
      <c r="D3138" s="24" t="str">
        <f t="shared" si="276"/>
        <v>Jul-2019</v>
      </c>
      <c r="E3138" t="s">
        <v>32</v>
      </c>
      <c r="F3138" s="24" t="s">
        <v>35</v>
      </c>
      <c r="G3138" s="24" t="s">
        <v>360</v>
      </c>
      <c r="H3138" s="24" t="s">
        <v>216</v>
      </c>
      <c r="I3138" s="24" t="s">
        <v>9</v>
      </c>
      <c r="J3138" s="24" t="s">
        <v>30</v>
      </c>
      <c r="K3138" s="24"/>
      <c r="L3138" s="24" t="s">
        <v>99</v>
      </c>
    </row>
    <row r="3139">
      <c r="A3139" s="24">
        <f t="shared" si="1"/>
        <v>3137</v>
      </c>
      <c r="B3139" s="24" t="s">
        <v>1193</v>
      </c>
      <c r="C3139" s="275">
        <v>43672.0</v>
      </c>
      <c r="D3139" s="24" t="str">
        <f t="shared" si="276"/>
        <v>Jul-2019</v>
      </c>
      <c r="E3139" t="s">
        <v>146</v>
      </c>
      <c r="F3139" s="24" t="s">
        <v>35</v>
      </c>
      <c r="G3139" s="24" t="s">
        <v>1138</v>
      </c>
      <c r="H3139" s="24" t="s">
        <v>27</v>
      </c>
      <c r="I3139" s="24" t="s">
        <v>9</v>
      </c>
      <c r="J3139" s="24" t="s">
        <v>24</v>
      </c>
      <c r="K3139" s="24" t="s">
        <v>24</v>
      </c>
      <c r="L3139" s="24" t="s">
        <v>69</v>
      </c>
    </row>
    <row r="3140">
      <c r="A3140" s="24">
        <f t="shared" si="1"/>
        <v>3138</v>
      </c>
      <c r="B3140" s="24" t="s">
        <v>1193</v>
      </c>
      <c r="C3140" s="275">
        <v>43672.0</v>
      </c>
      <c r="D3140" s="24" t="str">
        <f t="shared" si="276"/>
        <v>Jul-2019</v>
      </c>
      <c r="E3140" t="s">
        <v>149</v>
      </c>
      <c r="F3140" s="24" t="s">
        <v>35</v>
      </c>
      <c r="G3140" s="24" t="s">
        <v>1138</v>
      </c>
      <c r="H3140" s="24" t="s">
        <v>27</v>
      </c>
      <c r="I3140" s="24" t="s">
        <v>9</v>
      </c>
      <c r="J3140" s="24" t="s">
        <v>30</v>
      </c>
      <c r="K3140" s="24"/>
      <c r="L3140" s="24" t="s">
        <v>98</v>
      </c>
    </row>
    <row r="3141">
      <c r="A3141" s="24">
        <f t="shared" si="1"/>
        <v>3139</v>
      </c>
      <c r="B3141" s="24" t="s">
        <v>1193</v>
      </c>
      <c r="C3141" s="275">
        <v>43672.0</v>
      </c>
      <c r="D3141" s="24" t="str">
        <f t="shared" si="276"/>
        <v>Jul-2019</v>
      </c>
      <c r="E3141" t="s">
        <v>222</v>
      </c>
      <c r="F3141" s="24" t="s">
        <v>35</v>
      </c>
      <c r="G3141" s="24" t="s">
        <v>1138</v>
      </c>
      <c r="H3141" s="24" t="s">
        <v>27</v>
      </c>
      <c r="I3141" s="24" t="s">
        <v>9</v>
      </c>
      <c r="J3141" s="24" t="s">
        <v>30</v>
      </c>
      <c r="K3141" s="24"/>
      <c r="L3141" s="24" t="s">
        <v>29</v>
      </c>
    </row>
    <row r="3142">
      <c r="A3142" s="24">
        <f t="shared" si="1"/>
        <v>3140</v>
      </c>
      <c r="B3142" s="24" t="s">
        <v>1193</v>
      </c>
      <c r="C3142" s="275">
        <v>43672.0</v>
      </c>
      <c r="D3142" s="24" t="str">
        <f t="shared" si="276"/>
        <v>Jul-2019</v>
      </c>
      <c r="E3142" t="s">
        <v>467</v>
      </c>
      <c r="F3142" s="24" t="s">
        <v>35</v>
      </c>
      <c r="G3142" s="24" t="s">
        <v>1138</v>
      </c>
      <c r="H3142" s="24" t="s">
        <v>27</v>
      </c>
      <c r="I3142" s="24" t="s">
        <v>9</v>
      </c>
      <c r="J3142" s="24" t="s">
        <v>24</v>
      </c>
      <c r="K3142" s="24"/>
      <c r="L3142" s="24" t="s">
        <v>37</v>
      </c>
    </row>
    <row r="3143">
      <c r="A3143" s="24">
        <f t="shared" si="1"/>
        <v>3141</v>
      </c>
      <c r="B3143" s="24" t="s">
        <v>1193</v>
      </c>
      <c r="C3143" s="275">
        <v>43672.0</v>
      </c>
      <c r="D3143" s="24" t="str">
        <f t="shared" si="276"/>
        <v>Jul-2019</v>
      </c>
      <c r="E3143" s="24" t="s">
        <v>480</v>
      </c>
      <c r="F3143" s="24" t="s">
        <v>35</v>
      </c>
      <c r="G3143" s="24" t="s">
        <v>1138</v>
      </c>
      <c r="H3143" s="24" t="s">
        <v>27</v>
      </c>
      <c r="I3143" s="24" t="s">
        <v>9</v>
      </c>
      <c r="J3143" s="24" t="s">
        <v>24</v>
      </c>
      <c r="K3143" s="24"/>
      <c r="L3143" s="24" t="s">
        <v>106</v>
      </c>
    </row>
    <row r="3144">
      <c r="A3144" s="24">
        <f t="shared" si="1"/>
        <v>3142</v>
      </c>
      <c r="B3144" s="24" t="s">
        <v>1196</v>
      </c>
      <c r="C3144" s="275">
        <v>43673.0</v>
      </c>
      <c r="D3144" s="24" t="str">
        <f t="shared" ref="D3144:D3151" si="277">TEXT(C3137:C3144, "mmm") &amp; "-" &amp; TEXT(C3137:C3144, "yyyy") </f>
        <v>Jul-2019</v>
      </c>
      <c r="E3144" t="s">
        <v>20</v>
      </c>
      <c r="F3144" s="24" t="s">
        <v>35</v>
      </c>
      <c r="G3144" s="24" t="s">
        <v>167</v>
      </c>
      <c r="H3144" s="24" t="s">
        <v>27</v>
      </c>
      <c r="I3144" s="24" t="s">
        <v>9</v>
      </c>
      <c r="J3144" s="24" t="s">
        <v>30</v>
      </c>
      <c r="K3144" s="24" t="s">
        <v>30</v>
      </c>
      <c r="L3144" s="24" t="s">
        <v>98</v>
      </c>
    </row>
    <row r="3145">
      <c r="A3145" s="24">
        <f t="shared" si="1"/>
        <v>3143</v>
      </c>
      <c r="B3145" s="24" t="s">
        <v>1196</v>
      </c>
      <c r="C3145" s="275">
        <v>43673.0</v>
      </c>
      <c r="D3145" s="24" t="str">
        <f t="shared" si="277"/>
        <v>Jul-2019</v>
      </c>
      <c r="E3145" t="s">
        <v>25</v>
      </c>
      <c r="F3145" s="24" t="s">
        <v>35</v>
      </c>
      <c r="G3145" s="24" t="s">
        <v>167</v>
      </c>
      <c r="H3145" s="24" t="s">
        <v>27</v>
      </c>
      <c r="I3145" s="24" t="s">
        <v>9</v>
      </c>
      <c r="J3145" s="24" t="s">
        <v>30</v>
      </c>
      <c r="K3145" s="24"/>
      <c r="L3145" s="24" t="s">
        <v>37</v>
      </c>
    </row>
    <row r="3146">
      <c r="A3146" s="24">
        <f t="shared" si="1"/>
        <v>3144</v>
      </c>
      <c r="B3146" s="24" t="s">
        <v>1196</v>
      </c>
      <c r="C3146" s="275">
        <v>43673.0</v>
      </c>
      <c r="D3146" s="24" t="str">
        <f t="shared" si="277"/>
        <v>Jul-2019</v>
      </c>
      <c r="E3146" t="s">
        <v>20</v>
      </c>
      <c r="F3146" s="24" t="s">
        <v>35</v>
      </c>
      <c r="G3146" s="24" t="s">
        <v>911</v>
      </c>
      <c r="H3146" s="24" t="s">
        <v>44</v>
      </c>
      <c r="I3146" s="24" t="s">
        <v>9</v>
      </c>
      <c r="J3146" s="24" t="s">
        <v>30</v>
      </c>
      <c r="K3146" s="24" t="s">
        <v>24</v>
      </c>
      <c r="L3146" s="24" t="s">
        <v>69</v>
      </c>
    </row>
    <row r="3147">
      <c r="A3147" s="24">
        <f t="shared" si="1"/>
        <v>3145</v>
      </c>
      <c r="B3147" s="24" t="s">
        <v>1196</v>
      </c>
      <c r="C3147" s="275">
        <v>43673.0</v>
      </c>
      <c r="D3147" s="24" t="str">
        <f t="shared" si="277"/>
        <v>Jul-2019</v>
      </c>
      <c r="E3147" t="s">
        <v>25</v>
      </c>
      <c r="F3147" s="24" t="s">
        <v>35</v>
      </c>
      <c r="G3147" s="24" t="s">
        <v>911</v>
      </c>
      <c r="H3147" s="24" t="s">
        <v>44</v>
      </c>
      <c r="I3147" s="24" t="s">
        <v>9</v>
      </c>
      <c r="J3147" s="24" t="s">
        <v>24</v>
      </c>
      <c r="K3147" s="24"/>
      <c r="L3147" s="24" t="s">
        <v>98</v>
      </c>
    </row>
    <row r="3148">
      <c r="A3148" s="24">
        <f t="shared" si="1"/>
        <v>3146</v>
      </c>
      <c r="B3148" s="24" t="s">
        <v>1196</v>
      </c>
      <c r="C3148" s="275">
        <v>43673.0</v>
      </c>
      <c r="D3148" s="24" t="str">
        <f t="shared" si="277"/>
        <v>Jul-2019</v>
      </c>
      <c r="E3148" t="s">
        <v>32</v>
      </c>
      <c r="F3148" s="24" t="s">
        <v>35</v>
      </c>
      <c r="G3148" s="24" t="s">
        <v>911</v>
      </c>
      <c r="H3148" s="24" t="s">
        <v>44</v>
      </c>
      <c r="I3148" s="24" t="s">
        <v>9</v>
      </c>
      <c r="J3148" s="24" t="s">
        <v>24</v>
      </c>
      <c r="K3148" s="24"/>
      <c r="L3148" s="24" t="s">
        <v>106</v>
      </c>
    </row>
    <row r="3149">
      <c r="A3149" s="24">
        <f t="shared" si="1"/>
        <v>3147</v>
      </c>
      <c r="B3149" s="24" t="s">
        <v>1196</v>
      </c>
      <c r="C3149" s="275">
        <v>43673.0</v>
      </c>
      <c r="D3149" s="24" t="str">
        <f t="shared" si="277"/>
        <v>Jul-2019</v>
      </c>
      <c r="E3149" t="s">
        <v>20</v>
      </c>
      <c r="F3149" s="24" t="s">
        <v>35</v>
      </c>
      <c r="G3149" s="24" t="s">
        <v>233</v>
      </c>
      <c r="H3149" s="24" t="s">
        <v>27</v>
      </c>
      <c r="I3149" s="24" t="s">
        <v>9</v>
      </c>
      <c r="J3149" s="24" t="s">
        <v>30</v>
      </c>
      <c r="K3149" s="24" t="s">
        <v>30</v>
      </c>
      <c r="L3149" s="24" t="s">
        <v>98</v>
      </c>
    </row>
    <row r="3150">
      <c r="A3150" s="24">
        <f t="shared" si="1"/>
        <v>3148</v>
      </c>
      <c r="B3150" s="24" t="s">
        <v>1196</v>
      </c>
      <c r="C3150" s="275">
        <v>43673.0</v>
      </c>
      <c r="D3150" s="24" t="str">
        <f t="shared" si="277"/>
        <v>Jul-2019</v>
      </c>
      <c r="E3150" t="s">
        <v>25</v>
      </c>
      <c r="F3150" s="24" t="s">
        <v>35</v>
      </c>
      <c r="G3150" s="24" t="s">
        <v>233</v>
      </c>
      <c r="H3150" s="24" t="s">
        <v>27</v>
      </c>
      <c r="I3150" s="24" t="s">
        <v>9</v>
      </c>
      <c r="J3150" s="24" t="s">
        <v>30</v>
      </c>
      <c r="K3150" s="24"/>
      <c r="L3150" s="24" t="s">
        <v>37</v>
      </c>
    </row>
    <row r="3151">
      <c r="A3151" s="24">
        <f t="shared" si="1"/>
        <v>3149</v>
      </c>
      <c r="B3151" s="24" t="s">
        <v>1196</v>
      </c>
      <c r="C3151" s="275">
        <v>43673.0</v>
      </c>
      <c r="D3151" s="24" t="str">
        <f t="shared" si="277"/>
        <v>Jul-2019</v>
      </c>
      <c r="E3151" t="s">
        <v>20</v>
      </c>
      <c r="F3151" s="24" t="s">
        <v>35</v>
      </c>
      <c r="G3151" s="24" t="s">
        <v>726</v>
      </c>
      <c r="H3151" s="24" t="s">
        <v>216</v>
      </c>
      <c r="I3151" s="24" t="s">
        <v>9</v>
      </c>
      <c r="J3151" s="24" t="s">
        <v>30</v>
      </c>
      <c r="K3151" s="24" t="s">
        <v>24</v>
      </c>
      <c r="L3151" s="24" t="s">
        <v>37</v>
      </c>
    </row>
    <row r="3152">
      <c r="A3152" s="24">
        <f t="shared" si="1"/>
        <v>3150</v>
      </c>
      <c r="B3152" s="24" t="s">
        <v>1196</v>
      </c>
      <c r="C3152" s="275">
        <v>43673.0</v>
      </c>
      <c r="D3152" s="24" t="str">
        <f t="shared" ref="D3152:D3167" si="278">TEXT(C3144:C3152, "mmm") &amp; "-" &amp; TEXT(C3144:C3152, "yyyy") </f>
        <v>Jul-2019</v>
      </c>
      <c r="E3152" t="s">
        <v>25</v>
      </c>
      <c r="F3152" s="24" t="s">
        <v>35</v>
      </c>
      <c r="G3152" s="24" t="s">
        <v>726</v>
      </c>
      <c r="H3152" s="24" t="s">
        <v>216</v>
      </c>
      <c r="I3152" s="24" t="s">
        <v>9</v>
      </c>
      <c r="J3152" s="24" t="s">
        <v>24</v>
      </c>
      <c r="K3152" s="24"/>
      <c r="L3152" s="24" t="s">
        <v>99</v>
      </c>
    </row>
    <row r="3153">
      <c r="A3153" s="24">
        <f t="shared" si="1"/>
        <v>3151</v>
      </c>
      <c r="B3153" s="24" t="s">
        <v>1196</v>
      </c>
      <c r="C3153" s="275">
        <v>43673.0</v>
      </c>
      <c r="D3153" s="24" t="str">
        <f t="shared" si="278"/>
        <v>Jul-2019</v>
      </c>
      <c r="E3153" t="s">
        <v>32</v>
      </c>
      <c r="F3153" s="24" t="s">
        <v>35</v>
      </c>
      <c r="G3153" s="24" t="s">
        <v>726</v>
      </c>
      <c r="H3153" s="24" t="s">
        <v>216</v>
      </c>
      <c r="I3153" s="24" t="s">
        <v>9</v>
      </c>
      <c r="J3153" s="24" t="s">
        <v>24</v>
      </c>
      <c r="K3153" s="24"/>
      <c r="L3153" s="24" t="s">
        <v>98</v>
      </c>
    </row>
    <row r="3154">
      <c r="A3154" s="24">
        <f t="shared" si="1"/>
        <v>3152</v>
      </c>
      <c r="B3154" s="24" t="s">
        <v>1196</v>
      </c>
      <c r="C3154" s="275">
        <v>43673.0</v>
      </c>
      <c r="D3154" s="24" t="str">
        <f t="shared" si="278"/>
        <v>Jul-2019</v>
      </c>
      <c r="E3154" t="s">
        <v>20</v>
      </c>
      <c r="F3154" s="24" t="s">
        <v>35</v>
      </c>
      <c r="G3154" s="24" t="s">
        <v>1200</v>
      </c>
      <c r="H3154" s="24" t="s">
        <v>9</v>
      </c>
      <c r="I3154" s="24" t="s">
        <v>9</v>
      </c>
      <c r="J3154" s="24" t="s">
        <v>30</v>
      </c>
      <c r="K3154" s="24" t="s">
        <v>30</v>
      </c>
      <c r="L3154" s="24" t="s">
        <v>69</v>
      </c>
    </row>
    <row r="3155">
      <c r="A3155" s="24">
        <f t="shared" si="1"/>
        <v>3153</v>
      </c>
      <c r="B3155" s="24" t="s">
        <v>1196</v>
      </c>
      <c r="C3155" s="275">
        <v>43673.0</v>
      </c>
      <c r="D3155" s="24" t="str">
        <f t="shared" si="278"/>
        <v>Jul-2019</v>
      </c>
      <c r="E3155" t="s">
        <v>25</v>
      </c>
      <c r="F3155" s="24" t="s">
        <v>35</v>
      </c>
      <c r="G3155" s="24" t="s">
        <v>1200</v>
      </c>
      <c r="H3155" s="24" t="s">
        <v>9</v>
      </c>
      <c r="I3155" s="24" t="s">
        <v>9</v>
      </c>
      <c r="J3155" s="24" t="s">
        <v>30</v>
      </c>
      <c r="K3155" s="24"/>
      <c r="L3155" s="24" t="s">
        <v>37</v>
      </c>
    </row>
    <row r="3156">
      <c r="A3156" s="24">
        <f t="shared" si="1"/>
        <v>3154</v>
      </c>
      <c r="B3156" s="24" t="s">
        <v>1196</v>
      </c>
      <c r="C3156" s="275">
        <v>43673.0</v>
      </c>
      <c r="D3156" s="24" t="str">
        <f t="shared" si="278"/>
        <v>Jul-2019</v>
      </c>
      <c r="E3156" t="s">
        <v>20</v>
      </c>
      <c r="F3156" s="24" t="s">
        <v>35</v>
      </c>
      <c r="G3156" s="24" t="s">
        <v>655</v>
      </c>
      <c r="H3156" s="24" t="s">
        <v>655</v>
      </c>
      <c r="I3156" s="24" t="s">
        <v>9</v>
      </c>
      <c r="J3156" s="24" t="s">
        <v>30</v>
      </c>
      <c r="K3156" s="24" t="s">
        <v>30</v>
      </c>
      <c r="L3156" s="24" t="s">
        <v>29</v>
      </c>
    </row>
    <row r="3157">
      <c r="A3157" s="24">
        <f t="shared" si="1"/>
        <v>3155</v>
      </c>
      <c r="B3157" s="24" t="s">
        <v>1196</v>
      </c>
      <c r="C3157" s="275">
        <v>43673.0</v>
      </c>
      <c r="D3157" s="24" t="str">
        <f t="shared" si="278"/>
        <v>Jul-2019</v>
      </c>
      <c r="E3157" t="s">
        <v>25</v>
      </c>
      <c r="F3157" s="24" t="s">
        <v>35</v>
      </c>
      <c r="G3157" s="24" t="s">
        <v>655</v>
      </c>
      <c r="H3157" s="24" t="s">
        <v>655</v>
      </c>
      <c r="I3157" s="24" t="s">
        <v>9</v>
      </c>
      <c r="J3157" s="24" t="s">
        <v>30</v>
      </c>
      <c r="K3157" s="24"/>
      <c r="L3157" s="24" t="s">
        <v>98</v>
      </c>
    </row>
    <row r="3158">
      <c r="A3158" s="24">
        <f t="shared" si="1"/>
        <v>3156</v>
      </c>
      <c r="B3158" s="24" t="s">
        <v>1196</v>
      </c>
      <c r="C3158" s="275">
        <v>43673.0</v>
      </c>
      <c r="D3158" s="24" t="str">
        <f t="shared" si="278"/>
        <v>Jul-2019</v>
      </c>
      <c r="E3158" t="s">
        <v>20</v>
      </c>
      <c r="F3158" s="24" t="s">
        <v>35</v>
      </c>
      <c r="G3158" s="24" t="s">
        <v>1138</v>
      </c>
      <c r="H3158" s="24" t="s">
        <v>27</v>
      </c>
      <c r="I3158" s="24" t="s">
        <v>9</v>
      </c>
      <c r="J3158" s="24" t="s">
        <v>30</v>
      </c>
      <c r="K3158" s="24" t="s">
        <v>24</v>
      </c>
      <c r="L3158" s="24" t="s">
        <v>37</v>
      </c>
    </row>
    <row r="3159">
      <c r="A3159" s="24">
        <f t="shared" si="1"/>
        <v>3157</v>
      </c>
      <c r="B3159" s="24" t="s">
        <v>1196</v>
      </c>
      <c r="C3159" s="275">
        <v>43673.0</v>
      </c>
      <c r="D3159" s="24" t="str">
        <f t="shared" si="278"/>
        <v>Jul-2019</v>
      </c>
      <c r="E3159" t="s">
        <v>25</v>
      </c>
      <c r="F3159" s="24" t="s">
        <v>35</v>
      </c>
      <c r="G3159" s="24" t="s">
        <v>1138</v>
      </c>
      <c r="H3159" s="24" t="s">
        <v>27</v>
      </c>
      <c r="I3159" s="24" t="s">
        <v>9</v>
      </c>
      <c r="J3159" s="24" t="s">
        <v>24</v>
      </c>
      <c r="K3159" s="24"/>
      <c r="L3159" s="24" t="s">
        <v>69</v>
      </c>
    </row>
    <row r="3160">
      <c r="A3160" s="24">
        <f t="shared" si="1"/>
        <v>3158</v>
      </c>
      <c r="B3160" s="24" t="s">
        <v>1196</v>
      </c>
      <c r="C3160" s="275">
        <v>43673.0</v>
      </c>
      <c r="D3160" s="24" t="str">
        <f t="shared" si="278"/>
        <v>Jul-2019</v>
      </c>
      <c r="E3160" t="s">
        <v>32</v>
      </c>
      <c r="F3160" s="24" t="s">
        <v>35</v>
      </c>
      <c r="G3160" s="24" t="s">
        <v>1138</v>
      </c>
      <c r="H3160" s="24" t="s">
        <v>27</v>
      </c>
      <c r="I3160" s="24" t="s">
        <v>9</v>
      </c>
      <c r="J3160" s="24" t="s">
        <v>24</v>
      </c>
      <c r="K3160" s="24"/>
      <c r="L3160" s="24" t="s">
        <v>106</v>
      </c>
    </row>
    <row r="3161">
      <c r="A3161" s="24">
        <f t="shared" si="1"/>
        <v>3159</v>
      </c>
      <c r="B3161" s="24" t="s">
        <v>1196</v>
      </c>
      <c r="C3161" s="275">
        <v>43673.0</v>
      </c>
      <c r="D3161" s="24" t="str">
        <f t="shared" si="278"/>
        <v>Jul-2019</v>
      </c>
      <c r="E3161" t="s">
        <v>20</v>
      </c>
      <c r="F3161" s="24" t="s">
        <v>35</v>
      </c>
      <c r="G3161" s="24" t="s">
        <v>233</v>
      </c>
      <c r="H3161" s="24" t="s">
        <v>27</v>
      </c>
      <c r="I3161" s="24" t="s">
        <v>9</v>
      </c>
      <c r="J3161" s="24" t="s">
        <v>30</v>
      </c>
      <c r="K3161" s="24" t="s">
        <v>30</v>
      </c>
      <c r="L3161" s="24" t="s">
        <v>98</v>
      </c>
    </row>
    <row r="3162">
      <c r="A3162" s="24">
        <f t="shared" si="1"/>
        <v>3160</v>
      </c>
      <c r="B3162" s="24" t="s">
        <v>1196</v>
      </c>
      <c r="C3162" s="275">
        <v>43673.0</v>
      </c>
      <c r="D3162" s="24" t="str">
        <f t="shared" si="278"/>
        <v>Jul-2019</v>
      </c>
      <c r="E3162" t="s">
        <v>25</v>
      </c>
      <c r="F3162" s="24" t="s">
        <v>35</v>
      </c>
      <c r="G3162" s="24" t="s">
        <v>233</v>
      </c>
      <c r="H3162" s="24" t="s">
        <v>27</v>
      </c>
      <c r="I3162" s="24" t="s">
        <v>9</v>
      </c>
      <c r="J3162" s="24" t="s">
        <v>30</v>
      </c>
      <c r="K3162" s="24"/>
      <c r="L3162" s="24" t="s">
        <v>37</v>
      </c>
    </row>
    <row r="3163">
      <c r="A3163" s="24">
        <f t="shared" si="1"/>
        <v>3161</v>
      </c>
      <c r="B3163" s="24" t="s">
        <v>1196</v>
      </c>
      <c r="C3163" s="275">
        <v>43673.0</v>
      </c>
      <c r="D3163" s="24" t="str">
        <f t="shared" si="278"/>
        <v>Jul-2019</v>
      </c>
      <c r="E3163" t="s">
        <v>146</v>
      </c>
      <c r="F3163" s="24" t="s">
        <v>35</v>
      </c>
      <c r="G3163" s="24" t="s">
        <v>1201</v>
      </c>
      <c r="H3163" s="24" t="s">
        <v>140</v>
      </c>
      <c r="I3163" s="24" t="s">
        <v>9</v>
      </c>
      <c r="J3163" s="24" t="s">
        <v>30</v>
      </c>
      <c r="K3163" s="24" t="s">
        <v>24</v>
      </c>
      <c r="L3163" s="24" t="s">
        <v>37</v>
      </c>
    </row>
    <row r="3164">
      <c r="A3164" s="24">
        <f t="shared" si="1"/>
        <v>3162</v>
      </c>
      <c r="B3164" s="24" t="s">
        <v>1196</v>
      </c>
      <c r="C3164" s="275">
        <v>43673.0</v>
      </c>
      <c r="D3164" s="24" t="str">
        <f t="shared" si="278"/>
        <v>Jul-2019</v>
      </c>
      <c r="E3164" t="s">
        <v>149</v>
      </c>
      <c r="F3164" s="24" t="s">
        <v>35</v>
      </c>
      <c r="G3164" s="24" t="s">
        <v>1201</v>
      </c>
      <c r="H3164" s="24" t="s">
        <v>140</v>
      </c>
      <c r="I3164" s="24" t="s">
        <v>9</v>
      </c>
      <c r="J3164" s="24" t="s">
        <v>24</v>
      </c>
      <c r="K3164" s="24"/>
      <c r="L3164" s="24" t="s">
        <v>29</v>
      </c>
    </row>
    <row r="3165">
      <c r="A3165" s="24">
        <f t="shared" si="1"/>
        <v>3163</v>
      </c>
      <c r="B3165" s="24" t="s">
        <v>1196</v>
      </c>
      <c r="C3165" s="275">
        <v>43673.0</v>
      </c>
      <c r="D3165" s="24" t="str">
        <f t="shared" si="278"/>
        <v>Jul-2019</v>
      </c>
      <c r="E3165" t="s">
        <v>222</v>
      </c>
      <c r="F3165" s="24" t="s">
        <v>35</v>
      </c>
      <c r="G3165" s="24" t="s">
        <v>1201</v>
      </c>
      <c r="H3165" s="24" t="s">
        <v>140</v>
      </c>
      <c r="I3165" s="24" t="s">
        <v>9</v>
      </c>
      <c r="J3165" s="24" t="s">
        <v>24</v>
      </c>
      <c r="K3165" s="24"/>
      <c r="L3165" s="24" t="s">
        <v>69</v>
      </c>
    </row>
    <row r="3166">
      <c r="A3166" s="24">
        <f t="shared" si="1"/>
        <v>3164</v>
      </c>
      <c r="B3166" s="24" t="s">
        <v>1196</v>
      </c>
      <c r="C3166" s="275">
        <v>43673.0</v>
      </c>
      <c r="D3166" s="24" t="str">
        <f t="shared" si="278"/>
        <v>Jul-2019</v>
      </c>
      <c r="E3166" t="s">
        <v>467</v>
      </c>
      <c r="F3166" s="24" t="s">
        <v>35</v>
      </c>
      <c r="G3166" s="24" t="s">
        <v>1201</v>
      </c>
      <c r="H3166" s="24" t="s">
        <v>140</v>
      </c>
      <c r="I3166" s="24" t="s">
        <v>9</v>
      </c>
      <c r="J3166" s="24" t="s">
        <v>30</v>
      </c>
      <c r="K3166" s="24"/>
      <c r="L3166" s="24" t="s">
        <v>69</v>
      </c>
    </row>
    <row r="3167">
      <c r="A3167" s="24">
        <f t="shared" si="1"/>
        <v>3165</v>
      </c>
      <c r="B3167" s="24" t="s">
        <v>1196</v>
      </c>
      <c r="C3167" s="275">
        <v>43673.0</v>
      </c>
      <c r="D3167" s="24" t="str">
        <f t="shared" si="278"/>
        <v>Jul-2019</v>
      </c>
      <c r="E3167" s="24" t="s">
        <v>480</v>
      </c>
      <c r="F3167" s="24" t="s">
        <v>35</v>
      </c>
      <c r="G3167" s="24" t="s">
        <v>1201</v>
      </c>
      <c r="H3167" s="24" t="s">
        <v>140</v>
      </c>
      <c r="I3167" s="24" t="s">
        <v>9</v>
      </c>
      <c r="J3167" s="24" t="s">
        <v>24</v>
      </c>
      <c r="K3167" s="24"/>
      <c r="L3167" s="24" t="s">
        <v>106</v>
      </c>
    </row>
    <row r="3168">
      <c r="A3168" s="24">
        <f t="shared" si="1"/>
        <v>3166</v>
      </c>
      <c r="B3168" s="24" t="s">
        <v>1202</v>
      </c>
      <c r="C3168" s="275">
        <v>43679.0</v>
      </c>
      <c r="D3168" s="24" t="str">
        <f t="shared" ref="D3168:D3175" si="279">TEXT(C3161:C3168, "mmm") &amp; "-" &amp; TEXT(C3161:C3168, "yyyy") </f>
        <v>Aug-2019</v>
      </c>
      <c r="E3168" t="s">
        <v>20</v>
      </c>
      <c r="F3168" s="24" t="s">
        <v>35</v>
      </c>
      <c r="G3168" s="24" t="s">
        <v>1113</v>
      </c>
      <c r="H3168" s="24" t="s">
        <v>64</v>
      </c>
      <c r="I3168" s="24" t="s">
        <v>9</v>
      </c>
      <c r="J3168" s="24" t="s">
        <v>30</v>
      </c>
      <c r="K3168" s="24" t="s">
        <v>30</v>
      </c>
      <c r="L3168" s="24" t="s">
        <v>98</v>
      </c>
    </row>
    <row r="3169">
      <c r="A3169" s="24">
        <f t="shared" si="1"/>
        <v>3167</v>
      </c>
      <c r="B3169" s="24" t="s">
        <v>1202</v>
      </c>
      <c r="C3169" s="275">
        <v>43679.0</v>
      </c>
      <c r="D3169" s="24" t="str">
        <f t="shared" si="279"/>
        <v>Aug-2019</v>
      </c>
      <c r="E3169" t="s">
        <v>25</v>
      </c>
      <c r="F3169" s="24" t="s">
        <v>35</v>
      </c>
      <c r="G3169" s="24" t="s">
        <v>1113</v>
      </c>
      <c r="H3169" s="24" t="s">
        <v>64</v>
      </c>
      <c r="I3169" s="24" t="s">
        <v>9</v>
      </c>
      <c r="J3169" s="24" t="s">
        <v>30</v>
      </c>
      <c r="K3169" s="24"/>
      <c r="L3169" s="24" t="s">
        <v>99</v>
      </c>
    </row>
    <row r="3170">
      <c r="A3170" s="24">
        <f t="shared" si="1"/>
        <v>3168</v>
      </c>
      <c r="B3170" s="24" t="s">
        <v>1202</v>
      </c>
      <c r="C3170" s="275">
        <v>43679.0</v>
      </c>
      <c r="D3170" s="24" t="str">
        <f t="shared" si="279"/>
        <v>Aug-2019</v>
      </c>
      <c r="E3170" t="s">
        <v>20</v>
      </c>
      <c r="F3170" s="24" t="s">
        <v>35</v>
      </c>
      <c r="G3170" s="24" t="s">
        <v>393</v>
      </c>
      <c r="H3170" s="24" t="s">
        <v>102</v>
      </c>
      <c r="I3170" s="24" t="s">
        <v>9</v>
      </c>
      <c r="J3170" s="24" t="s">
        <v>24</v>
      </c>
      <c r="K3170" s="24" t="s">
        <v>30</v>
      </c>
      <c r="L3170" s="24" t="s">
        <v>98</v>
      </c>
    </row>
    <row r="3171">
      <c r="A3171" s="24">
        <f t="shared" si="1"/>
        <v>3169</v>
      </c>
      <c r="B3171" s="24" t="s">
        <v>1202</v>
      </c>
      <c r="C3171" s="275">
        <v>43679.0</v>
      </c>
      <c r="D3171" s="24" t="str">
        <f t="shared" si="279"/>
        <v>Aug-2019</v>
      </c>
      <c r="E3171" t="s">
        <v>25</v>
      </c>
      <c r="F3171" s="24" t="s">
        <v>35</v>
      </c>
      <c r="G3171" s="24" t="s">
        <v>393</v>
      </c>
      <c r="H3171" s="24" t="s">
        <v>102</v>
      </c>
      <c r="I3171" s="24" t="s">
        <v>9</v>
      </c>
      <c r="J3171" s="24" t="s">
        <v>30</v>
      </c>
      <c r="K3171" s="24"/>
      <c r="L3171" s="24" t="s">
        <v>106</v>
      </c>
    </row>
    <row r="3172">
      <c r="A3172" s="24">
        <f t="shared" si="1"/>
        <v>3170</v>
      </c>
      <c r="B3172" s="24" t="s">
        <v>1202</v>
      </c>
      <c r="C3172" s="275">
        <v>43679.0</v>
      </c>
      <c r="D3172" s="24" t="str">
        <f t="shared" si="279"/>
        <v>Aug-2019</v>
      </c>
      <c r="E3172" t="s">
        <v>32</v>
      </c>
      <c r="F3172" s="24" t="s">
        <v>35</v>
      </c>
      <c r="G3172" s="24" t="s">
        <v>393</v>
      </c>
      <c r="H3172" s="24" t="s">
        <v>102</v>
      </c>
      <c r="I3172" s="24" t="s">
        <v>9</v>
      </c>
      <c r="J3172" s="24" t="s">
        <v>30</v>
      </c>
      <c r="K3172" s="24"/>
      <c r="L3172" s="24" t="s">
        <v>37</v>
      </c>
    </row>
    <row r="3173">
      <c r="A3173" s="24">
        <f t="shared" si="1"/>
        <v>3171</v>
      </c>
      <c r="B3173" s="24" t="s">
        <v>1202</v>
      </c>
      <c r="C3173" s="275">
        <v>43679.0</v>
      </c>
      <c r="D3173" s="24" t="str">
        <f t="shared" si="279"/>
        <v>Aug-2019</v>
      </c>
      <c r="E3173" t="s">
        <v>146</v>
      </c>
      <c r="F3173" s="24" t="s">
        <v>35</v>
      </c>
      <c r="G3173" s="24" t="s">
        <v>90</v>
      </c>
      <c r="H3173" s="24" t="s">
        <v>9</v>
      </c>
      <c r="I3173" s="24" t="s">
        <v>9</v>
      </c>
      <c r="J3173" s="24" t="s">
        <v>24</v>
      </c>
      <c r="K3173" s="24" t="s">
        <v>24</v>
      </c>
      <c r="L3173" s="24" t="s">
        <v>69</v>
      </c>
    </row>
    <row r="3174">
      <c r="A3174" s="24">
        <f t="shared" si="1"/>
        <v>3172</v>
      </c>
      <c r="B3174" s="24" t="s">
        <v>1202</v>
      </c>
      <c r="C3174" s="275">
        <v>43679.0</v>
      </c>
      <c r="D3174" s="24" t="str">
        <f t="shared" si="279"/>
        <v>Aug-2019</v>
      </c>
      <c r="E3174" t="s">
        <v>149</v>
      </c>
      <c r="F3174" s="24" t="s">
        <v>35</v>
      </c>
      <c r="G3174" s="24" t="s">
        <v>90</v>
      </c>
      <c r="H3174" s="24" t="s">
        <v>9</v>
      </c>
      <c r="I3174" s="24" t="s">
        <v>9</v>
      </c>
      <c r="J3174" s="24" t="s">
        <v>24</v>
      </c>
      <c r="K3174" s="24"/>
      <c r="L3174" s="24" t="s">
        <v>99</v>
      </c>
    </row>
    <row r="3175">
      <c r="A3175" s="24">
        <f t="shared" si="1"/>
        <v>3173</v>
      </c>
      <c r="B3175" s="24" t="s">
        <v>1202</v>
      </c>
      <c r="C3175" s="275">
        <v>43679.0</v>
      </c>
      <c r="D3175" s="24" t="str">
        <f t="shared" si="279"/>
        <v>Aug-2019</v>
      </c>
      <c r="E3175" t="s">
        <v>222</v>
      </c>
      <c r="F3175" s="24" t="s">
        <v>35</v>
      </c>
      <c r="G3175" s="24" t="s">
        <v>90</v>
      </c>
      <c r="H3175" s="24" t="s">
        <v>9</v>
      </c>
      <c r="I3175" s="24" t="s">
        <v>9</v>
      </c>
      <c r="J3175" s="24" t="s">
        <v>24</v>
      </c>
      <c r="K3175" s="24"/>
      <c r="L3175" s="24" t="s">
        <v>69</v>
      </c>
    </row>
    <row r="3176">
      <c r="A3176" s="24">
        <f t="shared" si="1"/>
        <v>3174</v>
      </c>
      <c r="B3176" s="24" t="s">
        <v>1202</v>
      </c>
      <c r="C3176" s="275">
        <v>43679.0</v>
      </c>
      <c r="D3176" s="24" t="str">
        <f t="shared" ref="D3176:D3180" si="280">TEXT(C3168:C3176, "mmm") &amp; "-" &amp; TEXT(C3168:C3176, "yyyy") </f>
        <v>Aug-2019</v>
      </c>
      <c r="E3176" t="s">
        <v>146</v>
      </c>
      <c r="F3176" s="24" t="s">
        <v>35</v>
      </c>
      <c r="G3176" s="24" t="s">
        <v>452</v>
      </c>
      <c r="H3176" s="24" t="s">
        <v>27</v>
      </c>
      <c r="I3176" s="24" t="s">
        <v>9</v>
      </c>
      <c r="J3176" s="24" t="s">
        <v>24</v>
      </c>
      <c r="K3176" s="24" t="s">
        <v>24</v>
      </c>
      <c r="L3176" s="24" t="s">
        <v>98</v>
      </c>
    </row>
    <row r="3177">
      <c r="A3177" s="24">
        <f t="shared" si="1"/>
        <v>3175</v>
      </c>
      <c r="B3177" s="24" t="s">
        <v>1202</v>
      </c>
      <c r="C3177" s="275">
        <v>43679.0</v>
      </c>
      <c r="D3177" s="24" t="str">
        <f t="shared" si="280"/>
        <v>Aug-2019</v>
      </c>
      <c r="E3177" t="s">
        <v>149</v>
      </c>
      <c r="F3177" s="24" t="s">
        <v>35</v>
      </c>
      <c r="G3177" s="24" t="s">
        <v>452</v>
      </c>
      <c r="H3177" s="24" t="s">
        <v>27</v>
      </c>
      <c r="I3177" s="24" t="s">
        <v>9</v>
      </c>
      <c r="J3177" s="24" t="s">
        <v>30</v>
      </c>
      <c r="K3177" s="24"/>
      <c r="L3177" s="24" t="s">
        <v>37</v>
      </c>
    </row>
    <row r="3178">
      <c r="A3178" s="24">
        <f t="shared" si="1"/>
        <v>3176</v>
      </c>
      <c r="B3178" s="24" t="s">
        <v>1202</v>
      </c>
      <c r="C3178" s="275">
        <v>43679.0</v>
      </c>
      <c r="D3178" s="24" t="str">
        <f t="shared" si="280"/>
        <v>Aug-2019</v>
      </c>
      <c r="E3178" t="s">
        <v>222</v>
      </c>
      <c r="F3178" s="24" t="s">
        <v>35</v>
      </c>
      <c r="G3178" s="24" t="s">
        <v>452</v>
      </c>
      <c r="H3178" s="24" t="s">
        <v>27</v>
      </c>
      <c r="I3178" s="24" t="s">
        <v>9</v>
      </c>
      <c r="J3178" s="24" t="s">
        <v>30</v>
      </c>
      <c r="K3178" s="24"/>
      <c r="L3178" s="24" t="s">
        <v>29</v>
      </c>
    </row>
    <row r="3179">
      <c r="A3179" s="24">
        <f t="shared" si="1"/>
        <v>3177</v>
      </c>
      <c r="B3179" s="24" t="s">
        <v>1202</v>
      </c>
      <c r="C3179" s="275">
        <v>43679.0</v>
      </c>
      <c r="D3179" s="24" t="str">
        <f t="shared" si="280"/>
        <v>Aug-2019</v>
      </c>
      <c r="E3179" t="s">
        <v>467</v>
      </c>
      <c r="F3179" s="24" t="s">
        <v>35</v>
      </c>
      <c r="G3179" s="24" t="s">
        <v>452</v>
      </c>
      <c r="H3179" s="24" t="s">
        <v>27</v>
      </c>
      <c r="I3179" s="24" t="s">
        <v>9</v>
      </c>
      <c r="J3179" s="24" t="s">
        <v>24</v>
      </c>
      <c r="K3179" s="24"/>
      <c r="L3179" s="24" t="s">
        <v>99</v>
      </c>
    </row>
    <row r="3180">
      <c r="A3180" s="24">
        <f t="shared" si="1"/>
        <v>3178</v>
      </c>
      <c r="B3180" s="24" t="s">
        <v>1202</v>
      </c>
      <c r="C3180" s="275">
        <v>43679.0</v>
      </c>
      <c r="D3180" s="24" t="str">
        <f t="shared" si="280"/>
        <v>Aug-2019</v>
      </c>
      <c r="E3180" s="24" t="s">
        <v>480</v>
      </c>
      <c r="F3180" s="24" t="s">
        <v>35</v>
      </c>
      <c r="G3180" s="24" t="s">
        <v>452</v>
      </c>
      <c r="H3180" s="24" t="s">
        <v>27</v>
      </c>
      <c r="I3180" s="24" t="s">
        <v>9</v>
      </c>
      <c r="J3180" s="24" t="s">
        <v>24</v>
      </c>
      <c r="K3180" s="24"/>
      <c r="L3180" s="24" t="s">
        <v>98</v>
      </c>
    </row>
    <row r="3181">
      <c r="A3181" s="24">
        <f t="shared" si="1"/>
        <v>3179</v>
      </c>
      <c r="B3181" s="24" t="s">
        <v>1204</v>
      </c>
      <c r="C3181" s="275">
        <v>43687.0</v>
      </c>
      <c r="D3181" s="24" t="str">
        <f t="shared" ref="D3181:D3195" si="281">TEXT(C3174:C3181, "mmm") &amp; "-" &amp; TEXT(C3174:C3181, "yyyy") </f>
        <v>Aug-2019</v>
      </c>
      <c r="E3181" t="s">
        <v>20</v>
      </c>
      <c r="F3181" s="24" t="s">
        <v>35</v>
      </c>
      <c r="G3181" s="24" t="s">
        <v>1205</v>
      </c>
      <c r="H3181" s="24" t="s">
        <v>97</v>
      </c>
      <c r="I3181" s="24" t="s">
        <v>9</v>
      </c>
      <c r="J3181" s="24" t="s">
        <v>30</v>
      </c>
      <c r="K3181" s="24" t="s">
        <v>30</v>
      </c>
      <c r="L3181" s="24" t="s">
        <v>98</v>
      </c>
    </row>
    <row r="3182">
      <c r="A3182" s="24">
        <f t="shared" si="1"/>
        <v>3180</v>
      </c>
      <c r="B3182" s="24" t="s">
        <v>1204</v>
      </c>
      <c r="C3182" s="275">
        <v>43687.0</v>
      </c>
      <c r="D3182" s="24" t="str">
        <f t="shared" si="281"/>
        <v>Aug-2019</v>
      </c>
      <c r="E3182" t="s">
        <v>25</v>
      </c>
      <c r="F3182" s="24" t="s">
        <v>35</v>
      </c>
      <c r="G3182" s="24" t="s">
        <v>1205</v>
      </c>
      <c r="H3182" s="24" t="s">
        <v>97</v>
      </c>
      <c r="I3182" s="24" t="s">
        <v>9</v>
      </c>
      <c r="J3182" s="24" t="s">
        <v>30</v>
      </c>
      <c r="K3182" s="24"/>
      <c r="L3182" s="24" t="s">
        <v>99</v>
      </c>
    </row>
    <row r="3183">
      <c r="A3183" s="24">
        <f t="shared" si="1"/>
        <v>3181</v>
      </c>
      <c r="B3183" s="24" t="s">
        <v>1204</v>
      </c>
      <c r="C3183" s="275">
        <v>43687.0</v>
      </c>
      <c r="D3183" s="24" t="str">
        <f t="shared" si="281"/>
        <v>Aug-2019</v>
      </c>
      <c r="E3183" t="s">
        <v>20</v>
      </c>
      <c r="F3183" s="24" t="s">
        <v>35</v>
      </c>
      <c r="G3183" s="24" t="s">
        <v>871</v>
      </c>
      <c r="H3183" s="24" t="s">
        <v>138</v>
      </c>
      <c r="I3183" s="24" t="s">
        <v>9</v>
      </c>
      <c r="J3183" s="24" t="s">
        <v>24</v>
      </c>
      <c r="K3183" s="24" t="s">
        <v>24</v>
      </c>
      <c r="L3183" s="24" t="s">
        <v>98</v>
      </c>
    </row>
    <row r="3184">
      <c r="A3184" s="24">
        <f t="shared" si="1"/>
        <v>3182</v>
      </c>
      <c r="B3184" s="24" t="s">
        <v>1204</v>
      </c>
      <c r="C3184" s="275">
        <v>43687.0</v>
      </c>
      <c r="D3184" s="24" t="str">
        <f t="shared" si="281"/>
        <v>Aug-2019</v>
      </c>
      <c r="E3184" t="s">
        <v>25</v>
      </c>
      <c r="F3184" s="24" t="s">
        <v>35</v>
      </c>
      <c r="G3184" s="24" t="s">
        <v>871</v>
      </c>
      <c r="H3184" s="24" t="s">
        <v>138</v>
      </c>
      <c r="I3184" s="24" t="s">
        <v>9</v>
      </c>
      <c r="J3184" s="24" t="s">
        <v>30</v>
      </c>
      <c r="K3184" s="24"/>
      <c r="L3184" s="24" t="s">
        <v>106</v>
      </c>
    </row>
    <row r="3185">
      <c r="A3185" s="24">
        <f t="shared" si="1"/>
        <v>3183</v>
      </c>
      <c r="B3185" s="24" t="s">
        <v>1204</v>
      </c>
      <c r="C3185" s="275">
        <v>43687.0</v>
      </c>
      <c r="D3185" s="24" t="str">
        <f t="shared" si="281"/>
        <v>Aug-2019</v>
      </c>
      <c r="E3185" t="s">
        <v>32</v>
      </c>
      <c r="F3185" s="24" t="s">
        <v>35</v>
      </c>
      <c r="G3185" s="24" t="s">
        <v>871</v>
      </c>
      <c r="H3185" s="24" t="s">
        <v>138</v>
      </c>
      <c r="I3185" s="24" t="s">
        <v>9</v>
      </c>
      <c r="J3185" s="24" t="s">
        <v>24</v>
      </c>
      <c r="K3185" s="24"/>
      <c r="L3185" s="24" t="s">
        <v>37</v>
      </c>
    </row>
    <row r="3186">
      <c r="A3186" s="24">
        <f t="shared" si="1"/>
        <v>3184</v>
      </c>
      <c r="B3186" s="24" t="s">
        <v>1204</v>
      </c>
      <c r="C3186" s="275">
        <v>43687.0</v>
      </c>
      <c r="D3186" s="24" t="str">
        <f t="shared" si="281"/>
        <v>Aug-2019</v>
      </c>
      <c r="E3186" t="s">
        <v>20</v>
      </c>
      <c r="F3186" s="24" t="s">
        <v>35</v>
      </c>
      <c r="G3186" s="24" t="s">
        <v>726</v>
      </c>
      <c r="H3186" s="24" t="s">
        <v>216</v>
      </c>
      <c r="I3186" s="24" t="s">
        <v>9</v>
      </c>
      <c r="J3186" s="24" t="s">
        <v>24</v>
      </c>
      <c r="K3186" s="24" t="s">
        <v>24</v>
      </c>
      <c r="L3186" s="24" t="s">
        <v>37</v>
      </c>
    </row>
    <row r="3187">
      <c r="A3187" s="24">
        <f t="shared" si="1"/>
        <v>3185</v>
      </c>
      <c r="B3187" s="24" t="s">
        <v>1204</v>
      </c>
      <c r="C3187" s="275">
        <v>43687.0</v>
      </c>
      <c r="D3187" s="24" t="str">
        <f t="shared" si="281"/>
        <v>Aug-2019</v>
      </c>
      <c r="E3187" t="s">
        <v>25</v>
      </c>
      <c r="F3187" s="24" t="s">
        <v>35</v>
      </c>
      <c r="G3187" s="24" t="s">
        <v>726</v>
      </c>
      <c r="H3187" s="24" t="s">
        <v>216</v>
      </c>
      <c r="I3187" s="24" t="s">
        <v>9</v>
      </c>
      <c r="J3187" s="24" t="s">
        <v>24</v>
      </c>
      <c r="K3187" s="24"/>
      <c r="L3187" s="24" t="s">
        <v>106</v>
      </c>
    </row>
    <row r="3188">
      <c r="A3188" s="24">
        <f t="shared" si="1"/>
        <v>3186</v>
      </c>
      <c r="B3188" s="24" t="s">
        <v>1207</v>
      </c>
      <c r="C3188" s="275">
        <v>43693.0</v>
      </c>
      <c r="D3188" s="24" t="str">
        <f t="shared" si="281"/>
        <v>Aug-2019</v>
      </c>
      <c r="E3188" t="s">
        <v>20</v>
      </c>
      <c r="F3188" s="24" t="s">
        <v>35</v>
      </c>
      <c r="G3188" s="24" t="s">
        <v>1208</v>
      </c>
      <c r="H3188" s="24" t="s">
        <v>9</v>
      </c>
      <c r="I3188" s="24" t="s">
        <v>9</v>
      </c>
      <c r="J3188" s="24" t="s">
        <v>30</v>
      </c>
      <c r="K3188" s="24" t="s">
        <v>30</v>
      </c>
      <c r="L3188" s="24" t="s">
        <v>98</v>
      </c>
    </row>
    <row r="3189">
      <c r="A3189" s="24">
        <f t="shared" si="1"/>
        <v>3187</v>
      </c>
      <c r="B3189" s="24" t="s">
        <v>1207</v>
      </c>
      <c r="C3189" s="275">
        <v>43693.0</v>
      </c>
      <c r="D3189" s="24" t="str">
        <f t="shared" si="281"/>
        <v>Aug-2019</v>
      </c>
      <c r="E3189" t="s">
        <v>25</v>
      </c>
      <c r="F3189" s="24" t="s">
        <v>35</v>
      </c>
      <c r="G3189" s="24" t="s">
        <v>1208</v>
      </c>
      <c r="H3189" s="24" t="s">
        <v>9</v>
      </c>
      <c r="I3189" s="24" t="s">
        <v>9</v>
      </c>
      <c r="J3189" s="24" t="s">
        <v>30</v>
      </c>
      <c r="K3189" s="24"/>
      <c r="L3189" s="24" t="s">
        <v>69</v>
      </c>
    </row>
    <row r="3190">
      <c r="A3190" s="24">
        <f t="shared" si="1"/>
        <v>3188</v>
      </c>
      <c r="B3190" s="24" t="s">
        <v>1207</v>
      </c>
      <c r="C3190" s="275">
        <v>43693.0</v>
      </c>
      <c r="D3190" s="24" t="str">
        <f t="shared" si="281"/>
        <v>Aug-2019</v>
      </c>
      <c r="E3190" t="s">
        <v>20</v>
      </c>
      <c r="F3190" s="24" t="s">
        <v>35</v>
      </c>
      <c r="G3190" s="24" t="s">
        <v>394</v>
      </c>
      <c r="H3190" s="24" t="s">
        <v>27</v>
      </c>
      <c r="I3190" s="24" t="s">
        <v>9</v>
      </c>
      <c r="J3190" s="24" t="s">
        <v>24</v>
      </c>
      <c r="K3190" s="24" t="s">
        <v>24</v>
      </c>
      <c r="L3190" s="24" t="s">
        <v>37</v>
      </c>
    </row>
    <row r="3191">
      <c r="A3191" s="24">
        <f t="shared" si="1"/>
        <v>3189</v>
      </c>
      <c r="B3191" s="24" t="s">
        <v>1207</v>
      </c>
      <c r="C3191" s="275">
        <v>43693.0</v>
      </c>
      <c r="D3191" s="24" t="str">
        <f t="shared" si="281"/>
        <v>Aug-2019</v>
      </c>
      <c r="E3191" t="s">
        <v>25</v>
      </c>
      <c r="F3191" s="24" t="s">
        <v>35</v>
      </c>
      <c r="G3191" s="24" t="s">
        <v>394</v>
      </c>
      <c r="H3191" s="24" t="s">
        <v>27</v>
      </c>
      <c r="I3191" s="24" t="s">
        <v>9</v>
      </c>
      <c r="J3191" s="24" t="s">
        <v>30</v>
      </c>
      <c r="K3191" s="24"/>
      <c r="L3191" s="24" t="s">
        <v>106</v>
      </c>
    </row>
    <row r="3192">
      <c r="A3192" s="24">
        <f t="shared" si="1"/>
        <v>3190</v>
      </c>
      <c r="B3192" s="24" t="s">
        <v>1207</v>
      </c>
      <c r="C3192" s="275">
        <v>43693.0</v>
      </c>
      <c r="D3192" s="24" t="str">
        <f t="shared" si="281"/>
        <v>Aug-2019</v>
      </c>
      <c r="E3192" t="s">
        <v>32</v>
      </c>
      <c r="F3192" s="24" t="s">
        <v>35</v>
      </c>
      <c r="G3192" s="24" t="s">
        <v>394</v>
      </c>
      <c r="H3192" s="24" t="s">
        <v>27</v>
      </c>
      <c r="I3192" s="24" t="s">
        <v>9</v>
      </c>
      <c r="J3192" s="24" t="s">
        <v>24</v>
      </c>
      <c r="K3192" s="24"/>
      <c r="L3192" s="24" t="s">
        <v>69</v>
      </c>
    </row>
    <row r="3193">
      <c r="A3193" s="24">
        <f t="shared" si="1"/>
        <v>3191</v>
      </c>
      <c r="B3193" s="24" t="s">
        <v>1207</v>
      </c>
      <c r="C3193" s="275">
        <v>43693.0</v>
      </c>
      <c r="D3193" s="24" t="str">
        <f t="shared" si="281"/>
        <v>Aug-2019</v>
      </c>
      <c r="E3193" t="s">
        <v>20</v>
      </c>
      <c r="F3193" s="24" t="s">
        <v>35</v>
      </c>
      <c r="G3193" s="24" t="s">
        <v>122</v>
      </c>
      <c r="H3193" s="24" t="s">
        <v>44</v>
      </c>
      <c r="I3193" s="24" t="s">
        <v>9</v>
      </c>
      <c r="J3193" s="24" t="s">
        <v>24</v>
      </c>
      <c r="K3193" s="24" t="s">
        <v>24</v>
      </c>
      <c r="L3193" s="24" t="s">
        <v>99</v>
      </c>
    </row>
    <row r="3194">
      <c r="A3194" s="24">
        <f t="shared" si="1"/>
        <v>3192</v>
      </c>
      <c r="B3194" s="24" t="s">
        <v>1207</v>
      </c>
      <c r="C3194" s="275">
        <v>43693.0</v>
      </c>
      <c r="D3194" s="24" t="str">
        <f t="shared" si="281"/>
        <v>Aug-2019</v>
      </c>
      <c r="E3194" t="s">
        <v>25</v>
      </c>
      <c r="F3194" s="24" t="s">
        <v>35</v>
      </c>
      <c r="G3194" s="24" t="s">
        <v>122</v>
      </c>
      <c r="H3194" s="24" t="s">
        <v>44</v>
      </c>
      <c r="I3194" s="24" t="s">
        <v>9</v>
      </c>
      <c r="J3194" s="24" t="s">
        <v>24</v>
      </c>
      <c r="K3194" s="24"/>
      <c r="L3194" s="24" t="s">
        <v>69</v>
      </c>
    </row>
    <row r="3195">
      <c r="A3195" s="24">
        <f t="shared" si="1"/>
        <v>3193</v>
      </c>
      <c r="B3195" s="24" t="s">
        <v>1207</v>
      </c>
      <c r="C3195" s="275">
        <v>43693.0</v>
      </c>
      <c r="D3195" s="24" t="str">
        <f t="shared" si="281"/>
        <v>Aug-2019</v>
      </c>
      <c r="E3195" t="s">
        <v>20</v>
      </c>
      <c r="F3195" s="24" t="s">
        <v>277</v>
      </c>
      <c r="G3195" s="24" t="s">
        <v>1211</v>
      </c>
      <c r="H3195" s="24" t="s">
        <v>139</v>
      </c>
      <c r="I3195" s="24" t="s">
        <v>64</v>
      </c>
      <c r="J3195" s="24" t="s">
        <v>719</v>
      </c>
      <c r="K3195" s="24" t="s">
        <v>719</v>
      </c>
      <c r="L3195" s="24" t="s">
        <v>98</v>
      </c>
    </row>
    <row r="3196">
      <c r="A3196" s="24">
        <f t="shared" si="1"/>
        <v>3194</v>
      </c>
      <c r="B3196" s="24" t="s">
        <v>1207</v>
      </c>
      <c r="C3196" s="275">
        <v>43693.0</v>
      </c>
      <c r="D3196" s="24" t="str">
        <f t="shared" ref="D3196:D3202" si="282">TEXT(C3188:C3196, "mmm") &amp; "-" &amp; TEXT(C3188:C3196, "yyyy") </f>
        <v>Aug-2019</v>
      </c>
      <c r="E3196" t="s">
        <v>25</v>
      </c>
      <c r="F3196" s="24" t="s">
        <v>277</v>
      </c>
      <c r="G3196" s="24" t="s">
        <v>1211</v>
      </c>
      <c r="H3196" s="24" t="s">
        <v>139</v>
      </c>
      <c r="I3196" s="24" t="s">
        <v>64</v>
      </c>
      <c r="J3196" s="24" t="s">
        <v>719</v>
      </c>
      <c r="K3196" s="24"/>
      <c r="L3196" s="24" t="s">
        <v>29</v>
      </c>
    </row>
    <row r="3197">
      <c r="A3197" s="24">
        <f t="shared" si="1"/>
        <v>3195</v>
      </c>
      <c r="B3197" s="24" t="s">
        <v>1207</v>
      </c>
      <c r="C3197" s="275">
        <v>43693.0</v>
      </c>
      <c r="D3197" s="24" t="str">
        <f t="shared" si="282"/>
        <v>Aug-2019</v>
      </c>
      <c r="E3197" t="s">
        <v>20</v>
      </c>
      <c r="F3197" s="24" t="s">
        <v>277</v>
      </c>
      <c r="G3197" s="24" t="s">
        <v>127</v>
      </c>
      <c r="H3197" s="24" t="s">
        <v>479</v>
      </c>
      <c r="I3197" s="24" t="s">
        <v>64</v>
      </c>
      <c r="J3197" s="24" t="s">
        <v>719</v>
      </c>
      <c r="K3197" s="24" t="s">
        <v>719</v>
      </c>
      <c r="L3197" s="24" t="s">
        <v>98</v>
      </c>
    </row>
    <row r="3198">
      <c r="A3198" s="24">
        <f t="shared" si="1"/>
        <v>3196</v>
      </c>
      <c r="B3198" s="24" t="s">
        <v>1207</v>
      </c>
      <c r="C3198" s="275">
        <v>43693.0</v>
      </c>
      <c r="D3198" s="24" t="str">
        <f t="shared" si="282"/>
        <v>Aug-2019</v>
      </c>
      <c r="E3198" t="s">
        <v>25</v>
      </c>
      <c r="F3198" s="24" t="s">
        <v>277</v>
      </c>
      <c r="G3198" s="24" t="s">
        <v>127</v>
      </c>
      <c r="H3198" s="24" t="s">
        <v>1212</v>
      </c>
      <c r="I3198" s="24" t="s">
        <v>64</v>
      </c>
      <c r="J3198" s="24" t="s">
        <v>719</v>
      </c>
      <c r="K3198" s="24"/>
      <c r="L3198" s="24" t="s">
        <v>106</v>
      </c>
    </row>
    <row r="3199">
      <c r="A3199" s="24">
        <f t="shared" si="1"/>
        <v>3197</v>
      </c>
      <c r="B3199" s="24" t="s">
        <v>1207</v>
      </c>
      <c r="C3199" s="275">
        <v>43693.0</v>
      </c>
      <c r="D3199" s="24" t="str">
        <f t="shared" si="282"/>
        <v>Aug-2019</v>
      </c>
      <c r="E3199" t="s">
        <v>20</v>
      </c>
      <c r="F3199" s="24" t="s">
        <v>277</v>
      </c>
      <c r="G3199" s="24" t="s">
        <v>871</v>
      </c>
      <c r="H3199" s="24" t="s">
        <v>27</v>
      </c>
      <c r="I3199" s="24" t="s">
        <v>64</v>
      </c>
      <c r="J3199" s="24" t="s">
        <v>717</v>
      </c>
      <c r="K3199" s="24" t="s">
        <v>717</v>
      </c>
      <c r="L3199" s="24" t="s">
        <v>98</v>
      </c>
    </row>
    <row r="3200">
      <c r="A3200" s="24">
        <f t="shared" si="1"/>
        <v>3198</v>
      </c>
      <c r="B3200" s="24" t="s">
        <v>1207</v>
      </c>
      <c r="C3200" s="275">
        <v>43693.0</v>
      </c>
      <c r="D3200" s="24" t="str">
        <f t="shared" si="282"/>
        <v>Aug-2019</v>
      </c>
      <c r="E3200" t="s">
        <v>25</v>
      </c>
      <c r="F3200" s="24" t="s">
        <v>277</v>
      </c>
      <c r="G3200" s="24" t="s">
        <v>871</v>
      </c>
      <c r="H3200" s="24" t="s">
        <v>27</v>
      </c>
      <c r="I3200" s="24" t="s">
        <v>64</v>
      </c>
      <c r="J3200" s="24" t="s">
        <v>717</v>
      </c>
      <c r="K3200" s="24"/>
      <c r="L3200" s="24" t="s">
        <v>37</v>
      </c>
    </row>
    <row r="3201">
      <c r="A3201" s="24">
        <f t="shared" si="1"/>
        <v>3199</v>
      </c>
      <c r="B3201" s="24" t="s">
        <v>1207</v>
      </c>
      <c r="C3201" s="275">
        <v>43693.0</v>
      </c>
      <c r="D3201" s="24" t="str">
        <f t="shared" si="282"/>
        <v>Aug-2019</v>
      </c>
      <c r="E3201" t="s">
        <v>20</v>
      </c>
      <c r="F3201" s="24" t="s">
        <v>277</v>
      </c>
      <c r="G3201" s="24" t="s">
        <v>1213</v>
      </c>
      <c r="H3201" s="24" t="s">
        <v>27</v>
      </c>
      <c r="I3201" s="24" t="s">
        <v>64</v>
      </c>
      <c r="J3201" s="24" t="s">
        <v>717</v>
      </c>
      <c r="K3201" s="24" t="s">
        <v>717</v>
      </c>
      <c r="L3201" s="24" t="s">
        <v>37</v>
      </c>
    </row>
    <row r="3202">
      <c r="A3202" s="24">
        <f t="shared" si="1"/>
        <v>3200</v>
      </c>
      <c r="B3202" s="24" t="s">
        <v>1207</v>
      </c>
      <c r="C3202" s="275">
        <v>43693.0</v>
      </c>
      <c r="D3202" s="24" t="str">
        <f t="shared" si="282"/>
        <v>Aug-2019</v>
      </c>
      <c r="E3202" t="s">
        <v>25</v>
      </c>
      <c r="F3202" s="24" t="s">
        <v>277</v>
      </c>
      <c r="G3202" s="24" t="s">
        <v>1213</v>
      </c>
      <c r="H3202" s="24" t="s">
        <v>9</v>
      </c>
      <c r="I3202" s="24" t="s">
        <v>64</v>
      </c>
      <c r="J3202" s="24" t="s">
        <v>717</v>
      </c>
      <c r="K3202" s="24"/>
      <c r="L3202" s="24" t="s">
        <v>98</v>
      </c>
    </row>
    <row r="3203">
      <c r="A3203" s="24">
        <f t="shared" si="1"/>
        <v>3201</v>
      </c>
      <c r="B3203" s="24" t="s">
        <v>1214</v>
      </c>
      <c r="C3203" s="275">
        <v>43701.0</v>
      </c>
      <c r="D3203" s="24" t="str">
        <f t="shared" ref="D3203:D3210" si="283">TEXT(C3196:C3203, "mmm") &amp; "-" &amp; TEXT(C3196:C3203, "yyyy") </f>
        <v>Aug-2019</v>
      </c>
      <c r="E3203" t="s">
        <v>20</v>
      </c>
      <c r="F3203" s="24" t="s">
        <v>35</v>
      </c>
      <c r="G3203" s="24" t="s">
        <v>1215</v>
      </c>
      <c r="H3203" s="24" t="s">
        <v>23</v>
      </c>
      <c r="I3203" s="24" t="s">
        <v>9</v>
      </c>
      <c r="J3203" s="24" t="s">
        <v>30</v>
      </c>
      <c r="K3203" s="24" t="s">
        <v>30</v>
      </c>
      <c r="L3203" s="24" t="s">
        <v>69</v>
      </c>
    </row>
    <row r="3204">
      <c r="A3204" s="24">
        <f t="shared" si="1"/>
        <v>3202</v>
      </c>
      <c r="B3204" s="24" t="s">
        <v>1214</v>
      </c>
      <c r="C3204" s="275">
        <v>43701.0</v>
      </c>
      <c r="D3204" s="24" t="str">
        <f t="shared" si="283"/>
        <v>Aug-2019</v>
      </c>
      <c r="E3204" t="s">
        <v>25</v>
      </c>
      <c r="F3204" s="24" t="s">
        <v>35</v>
      </c>
      <c r="G3204" s="24" t="s">
        <v>1215</v>
      </c>
      <c r="H3204" s="24" t="s">
        <v>23</v>
      </c>
      <c r="I3204" s="24" t="s">
        <v>9</v>
      </c>
      <c r="J3204" s="24" t="s">
        <v>30</v>
      </c>
      <c r="K3204" s="24"/>
      <c r="L3204" s="24" t="s">
        <v>106</v>
      </c>
    </row>
    <row r="3205">
      <c r="A3205" s="24">
        <f t="shared" si="1"/>
        <v>3203</v>
      </c>
      <c r="B3205" s="24" t="s">
        <v>1214</v>
      </c>
      <c r="C3205" s="275">
        <v>43701.0</v>
      </c>
      <c r="D3205" s="24" t="str">
        <f t="shared" si="283"/>
        <v>Aug-2019</v>
      </c>
      <c r="E3205" t="s">
        <v>20</v>
      </c>
      <c r="F3205" s="24" t="s">
        <v>35</v>
      </c>
      <c r="G3205" s="24" t="s">
        <v>1216</v>
      </c>
      <c r="H3205" s="24" t="s">
        <v>9</v>
      </c>
      <c r="I3205" s="24" t="s">
        <v>9</v>
      </c>
      <c r="J3205" s="24" t="s">
        <v>30</v>
      </c>
      <c r="K3205" s="24" t="s">
        <v>30</v>
      </c>
      <c r="L3205" s="24" t="s">
        <v>98</v>
      </c>
    </row>
    <row r="3206">
      <c r="A3206" s="24">
        <f t="shared" si="1"/>
        <v>3204</v>
      </c>
      <c r="B3206" s="24" t="s">
        <v>1214</v>
      </c>
      <c r="C3206" s="275">
        <v>43701.0</v>
      </c>
      <c r="D3206" s="24" t="str">
        <f t="shared" si="283"/>
        <v>Aug-2019</v>
      </c>
      <c r="E3206" t="s">
        <v>25</v>
      </c>
      <c r="F3206" s="24" t="s">
        <v>35</v>
      </c>
      <c r="G3206" s="24" t="s">
        <v>1216</v>
      </c>
      <c r="H3206" s="24" t="s">
        <v>9</v>
      </c>
      <c r="I3206" s="24" t="s">
        <v>9</v>
      </c>
      <c r="J3206" s="24" t="s">
        <v>30</v>
      </c>
      <c r="K3206" s="24"/>
      <c r="L3206" s="24" t="s">
        <v>106</v>
      </c>
    </row>
    <row r="3207">
      <c r="A3207" s="24">
        <f t="shared" si="1"/>
        <v>3205</v>
      </c>
      <c r="B3207" s="24" t="s">
        <v>1214</v>
      </c>
      <c r="C3207" s="275">
        <v>43701.0</v>
      </c>
      <c r="D3207" s="24" t="str">
        <f t="shared" si="283"/>
        <v>Aug-2019</v>
      </c>
      <c r="E3207" t="s">
        <v>20</v>
      </c>
      <c r="F3207" s="24" t="s">
        <v>35</v>
      </c>
      <c r="G3207" s="24" t="s">
        <v>1218</v>
      </c>
      <c r="H3207" s="24" t="s">
        <v>97</v>
      </c>
      <c r="I3207" s="24" t="s">
        <v>9</v>
      </c>
      <c r="J3207" s="24" t="s">
        <v>24</v>
      </c>
      <c r="K3207" s="24" t="s">
        <v>24</v>
      </c>
      <c r="L3207" s="24" t="s">
        <v>98</v>
      </c>
    </row>
    <row r="3208">
      <c r="A3208" s="24">
        <f t="shared" si="1"/>
        <v>3206</v>
      </c>
      <c r="B3208" s="24" t="s">
        <v>1214</v>
      </c>
      <c r="C3208" s="275">
        <v>43701.0</v>
      </c>
      <c r="D3208" s="24" t="str">
        <f t="shared" si="283"/>
        <v>Aug-2019</v>
      </c>
      <c r="E3208" t="s">
        <v>25</v>
      </c>
      <c r="F3208" s="24" t="s">
        <v>35</v>
      </c>
      <c r="G3208" s="24" t="s">
        <v>1218</v>
      </c>
      <c r="H3208" s="24" t="s">
        <v>97</v>
      </c>
      <c r="I3208" s="24" t="s">
        <v>9</v>
      </c>
      <c r="J3208" s="24" t="s">
        <v>24</v>
      </c>
      <c r="K3208" s="24"/>
      <c r="L3208" s="24" t="s">
        <v>106</v>
      </c>
    </row>
    <row r="3209">
      <c r="A3209" s="24">
        <f t="shared" si="1"/>
        <v>3207</v>
      </c>
      <c r="B3209" s="24" t="s">
        <v>1214</v>
      </c>
      <c r="C3209" s="275">
        <v>43701.0</v>
      </c>
      <c r="D3209" s="24" t="str">
        <f t="shared" si="283"/>
        <v>Aug-2019</v>
      </c>
      <c r="E3209" t="s">
        <v>20</v>
      </c>
      <c r="F3209" s="24" t="s">
        <v>35</v>
      </c>
      <c r="G3209" s="24">
        <v>248.0</v>
      </c>
      <c r="H3209" s="24" t="s">
        <v>27</v>
      </c>
      <c r="I3209" s="24" t="s">
        <v>9</v>
      </c>
      <c r="J3209" s="24" t="s">
        <v>24</v>
      </c>
      <c r="K3209" s="24" t="s">
        <v>30</v>
      </c>
      <c r="L3209" s="24" t="s">
        <v>37</v>
      </c>
    </row>
    <row r="3210">
      <c r="A3210" s="24">
        <f t="shared" si="1"/>
        <v>3208</v>
      </c>
      <c r="B3210" s="24" t="s">
        <v>1214</v>
      </c>
      <c r="C3210" s="275">
        <v>43701.0</v>
      </c>
      <c r="D3210" s="24" t="str">
        <f t="shared" si="283"/>
        <v>Aug-2019</v>
      </c>
      <c r="E3210" t="s">
        <v>25</v>
      </c>
      <c r="F3210" s="24" t="s">
        <v>35</v>
      </c>
      <c r="G3210" s="24">
        <v>248.0</v>
      </c>
      <c r="H3210" s="24" t="s">
        <v>27</v>
      </c>
      <c r="I3210" s="24" t="s">
        <v>9</v>
      </c>
      <c r="J3210" s="24" t="s">
        <v>30</v>
      </c>
      <c r="K3210" s="24"/>
      <c r="L3210" s="24" t="s">
        <v>106</v>
      </c>
    </row>
    <row r="3211">
      <c r="A3211" s="24">
        <f t="shared" si="1"/>
        <v>3209</v>
      </c>
      <c r="B3211" s="24" t="s">
        <v>1214</v>
      </c>
      <c r="C3211" s="275">
        <v>43701.0</v>
      </c>
      <c r="D3211" s="24" t="str">
        <f t="shared" ref="D3211:D3215" si="284">TEXT(C3203:C3211, "mmm") &amp; "-" &amp; TEXT(C3203:C3211, "yyyy") </f>
        <v>Aug-2019</v>
      </c>
      <c r="E3211" t="s">
        <v>32</v>
      </c>
      <c r="F3211" s="24" t="s">
        <v>35</v>
      </c>
      <c r="G3211" s="24">
        <v>248.0</v>
      </c>
      <c r="H3211" s="24" t="s">
        <v>27</v>
      </c>
      <c r="I3211" s="24" t="s">
        <v>9</v>
      </c>
      <c r="J3211" s="24" t="s">
        <v>30</v>
      </c>
      <c r="K3211" s="24"/>
      <c r="L3211" s="24" t="s">
        <v>69</v>
      </c>
    </row>
    <row r="3212">
      <c r="A3212" s="24">
        <f t="shared" si="1"/>
        <v>3210</v>
      </c>
      <c r="B3212" s="24" t="s">
        <v>1214</v>
      </c>
      <c r="C3212" s="275">
        <v>43701.0</v>
      </c>
      <c r="D3212" s="24" t="str">
        <f t="shared" si="284"/>
        <v>Aug-2019</v>
      </c>
      <c r="E3212" t="s">
        <v>146</v>
      </c>
      <c r="F3212" s="24" t="s">
        <v>35</v>
      </c>
      <c r="G3212" s="24" t="s">
        <v>1219</v>
      </c>
      <c r="H3212" s="24" t="s">
        <v>23</v>
      </c>
      <c r="I3212" s="24" t="s">
        <v>9</v>
      </c>
      <c r="J3212" s="24" t="s">
        <v>30</v>
      </c>
      <c r="K3212" s="24" t="s">
        <v>24</v>
      </c>
      <c r="L3212" s="24" t="s">
        <v>37</v>
      </c>
    </row>
    <row r="3213">
      <c r="A3213" s="24">
        <f t="shared" si="1"/>
        <v>3211</v>
      </c>
      <c r="B3213" s="24" t="s">
        <v>1214</v>
      </c>
      <c r="C3213" s="275">
        <v>43701.0</v>
      </c>
      <c r="D3213" s="24" t="str">
        <f t="shared" si="284"/>
        <v>Aug-2019</v>
      </c>
      <c r="E3213" t="s">
        <v>149</v>
      </c>
      <c r="F3213" s="24" t="s">
        <v>35</v>
      </c>
      <c r="G3213" s="24" t="s">
        <v>1219</v>
      </c>
      <c r="H3213" s="24" t="s">
        <v>23</v>
      </c>
      <c r="I3213" s="24" t="s">
        <v>9</v>
      </c>
      <c r="J3213" s="24" t="s">
        <v>24</v>
      </c>
      <c r="K3213" s="24"/>
      <c r="L3213" s="24" t="s">
        <v>98</v>
      </c>
    </row>
    <row r="3214">
      <c r="A3214" s="24">
        <f t="shared" si="1"/>
        <v>3212</v>
      </c>
      <c r="B3214" s="24" t="s">
        <v>1214</v>
      </c>
      <c r="C3214" s="275">
        <v>43701.0</v>
      </c>
      <c r="D3214" s="24" t="str">
        <f t="shared" si="284"/>
        <v>Aug-2019</v>
      </c>
      <c r="E3214" t="s">
        <v>222</v>
      </c>
      <c r="F3214" s="24" t="s">
        <v>35</v>
      </c>
      <c r="G3214" s="24" t="s">
        <v>1219</v>
      </c>
      <c r="H3214" s="24" t="s">
        <v>23</v>
      </c>
      <c r="I3214" s="24" t="s">
        <v>9</v>
      </c>
      <c r="J3214" s="24" t="s">
        <v>24</v>
      </c>
      <c r="K3214" s="24"/>
      <c r="L3214" s="24" t="s">
        <v>106</v>
      </c>
    </row>
    <row r="3215">
      <c r="A3215" s="24">
        <f t="shared" si="1"/>
        <v>3213</v>
      </c>
      <c r="B3215" s="24" t="s">
        <v>1214</v>
      </c>
      <c r="C3215" s="275">
        <v>43701.0</v>
      </c>
      <c r="D3215" s="24" t="str">
        <f t="shared" si="284"/>
        <v>Aug-2019</v>
      </c>
      <c r="E3215" t="s">
        <v>467</v>
      </c>
      <c r="F3215" s="24" t="s">
        <v>35</v>
      </c>
      <c r="G3215" s="24" t="s">
        <v>1219</v>
      </c>
      <c r="H3215" s="24" t="s">
        <v>23</v>
      </c>
      <c r="I3215" s="24" t="s">
        <v>9</v>
      </c>
      <c r="J3215" s="24" t="s">
        <v>24</v>
      </c>
      <c r="K3215" s="24"/>
      <c r="L3215" s="24" t="s">
        <v>29</v>
      </c>
    </row>
    <row r="3216">
      <c r="A3216" s="24">
        <f t="shared" si="1"/>
        <v>3214</v>
      </c>
      <c r="B3216" s="24" t="s">
        <v>1220</v>
      </c>
      <c r="C3216" s="275">
        <v>43722.0</v>
      </c>
      <c r="D3216" s="24" t="str">
        <f t="shared" ref="D3216:D3223" si="285">TEXT(C3209:C3216, "mmm") &amp; "-" &amp; TEXT(C3209:C3216, "yyyy") </f>
        <v>Sep-2019</v>
      </c>
      <c r="E3216" t="s">
        <v>20</v>
      </c>
      <c r="F3216" s="24" t="s">
        <v>21</v>
      </c>
      <c r="G3216" s="24" t="s">
        <v>574</v>
      </c>
      <c r="H3216" s="24" t="s">
        <v>44</v>
      </c>
      <c r="I3216" s="24" t="s">
        <v>9</v>
      </c>
      <c r="J3216" s="24" t="s">
        <v>24</v>
      </c>
      <c r="K3216" s="24" t="s">
        <v>30</v>
      </c>
      <c r="L3216" s="24" t="s">
        <v>69</v>
      </c>
    </row>
    <row r="3217">
      <c r="A3217" s="24">
        <f t="shared" si="1"/>
        <v>3215</v>
      </c>
      <c r="B3217" s="24" t="s">
        <v>1220</v>
      </c>
      <c r="C3217" s="275">
        <v>43722.0</v>
      </c>
      <c r="D3217" s="24" t="str">
        <f t="shared" si="285"/>
        <v>Sep-2019</v>
      </c>
      <c r="E3217" t="s">
        <v>25</v>
      </c>
      <c r="F3217" s="24" t="s">
        <v>21</v>
      </c>
      <c r="G3217" s="24" t="s">
        <v>574</v>
      </c>
      <c r="H3217" s="24" t="s">
        <v>44</v>
      </c>
      <c r="I3217" s="24" t="s">
        <v>9</v>
      </c>
      <c r="J3217" s="24" t="s">
        <v>30</v>
      </c>
      <c r="K3217" s="24"/>
      <c r="L3217" s="24" t="s">
        <v>106</v>
      </c>
    </row>
    <row r="3218">
      <c r="A3218" s="24">
        <f t="shared" si="1"/>
        <v>3216</v>
      </c>
      <c r="B3218" s="24" t="s">
        <v>1220</v>
      </c>
      <c r="C3218" s="275">
        <v>43722.0</v>
      </c>
      <c r="D3218" s="24" t="str">
        <f t="shared" si="285"/>
        <v>Sep-2019</v>
      </c>
      <c r="E3218" t="s">
        <v>32</v>
      </c>
      <c r="F3218" s="24" t="s">
        <v>21</v>
      </c>
      <c r="G3218" s="24" t="s">
        <v>574</v>
      </c>
      <c r="H3218" s="24" t="s">
        <v>44</v>
      </c>
      <c r="I3218" s="24" t="s">
        <v>9</v>
      </c>
      <c r="J3218" s="24" t="s">
        <v>30</v>
      </c>
      <c r="K3218" s="24"/>
      <c r="L3218" s="24" t="s">
        <v>99</v>
      </c>
    </row>
    <row r="3219">
      <c r="A3219" s="24">
        <f t="shared" si="1"/>
        <v>3217</v>
      </c>
      <c r="B3219" s="24" t="s">
        <v>1220</v>
      </c>
      <c r="C3219" s="275">
        <v>43722.0</v>
      </c>
      <c r="D3219" s="24" t="str">
        <f t="shared" si="285"/>
        <v>Sep-2019</v>
      </c>
      <c r="E3219" t="s">
        <v>20</v>
      </c>
      <c r="F3219" s="24" t="s">
        <v>21</v>
      </c>
      <c r="G3219" s="24" t="s">
        <v>1221</v>
      </c>
      <c r="H3219" s="24" t="s">
        <v>138</v>
      </c>
      <c r="I3219" s="24" t="s">
        <v>9</v>
      </c>
      <c r="J3219" s="24" t="s">
        <v>24</v>
      </c>
      <c r="K3219" s="24" t="s">
        <v>24</v>
      </c>
      <c r="L3219" s="24" t="s">
        <v>98</v>
      </c>
    </row>
    <row r="3220">
      <c r="A3220" s="24">
        <f t="shared" si="1"/>
        <v>3218</v>
      </c>
      <c r="B3220" s="24" t="s">
        <v>1220</v>
      </c>
      <c r="C3220" s="275">
        <v>43722.0</v>
      </c>
      <c r="D3220" s="24" t="str">
        <f t="shared" si="285"/>
        <v>Sep-2019</v>
      </c>
      <c r="E3220" t="s">
        <v>25</v>
      </c>
      <c r="F3220" s="24" t="s">
        <v>21</v>
      </c>
      <c r="G3220" s="24" t="s">
        <v>1221</v>
      </c>
      <c r="H3220" s="24" t="s">
        <v>138</v>
      </c>
      <c r="I3220" s="24" t="s">
        <v>9</v>
      </c>
      <c r="J3220" s="24" t="s">
        <v>30</v>
      </c>
      <c r="K3220" s="24"/>
      <c r="L3220" s="24" t="s">
        <v>106</v>
      </c>
    </row>
    <row r="3221">
      <c r="A3221" s="24">
        <f t="shared" si="1"/>
        <v>3219</v>
      </c>
      <c r="B3221" s="24" t="s">
        <v>1220</v>
      </c>
      <c r="C3221" s="275">
        <v>43722.0</v>
      </c>
      <c r="D3221" s="24" t="str">
        <f t="shared" si="285"/>
        <v>Sep-2019</v>
      </c>
      <c r="E3221" t="s">
        <v>32</v>
      </c>
      <c r="F3221" s="24" t="s">
        <v>21</v>
      </c>
      <c r="G3221" s="24" t="s">
        <v>1221</v>
      </c>
      <c r="H3221" s="24" t="s">
        <v>138</v>
      </c>
      <c r="I3221" s="24" t="s">
        <v>9</v>
      </c>
      <c r="J3221" s="24" t="s">
        <v>24</v>
      </c>
      <c r="K3221" s="24"/>
      <c r="L3221" s="24" t="s">
        <v>37</v>
      </c>
    </row>
    <row r="3222">
      <c r="A3222" s="24">
        <f t="shared" si="1"/>
        <v>3220</v>
      </c>
      <c r="B3222" s="24" t="s">
        <v>1220</v>
      </c>
      <c r="C3222" s="275">
        <v>43722.0</v>
      </c>
      <c r="D3222" s="24" t="str">
        <f t="shared" si="285"/>
        <v>Sep-2019</v>
      </c>
      <c r="E3222" t="s">
        <v>20</v>
      </c>
      <c r="F3222" s="24" t="s">
        <v>21</v>
      </c>
      <c r="G3222" s="24" t="s">
        <v>1225</v>
      </c>
      <c r="H3222" s="24" t="s">
        <v>27</v>
      </c>
      <c r="I3222" s="24" t="s">
        <v>9</v>
      </c>
      <c r="J3222" s="24" t="s">
        <v>30</v>
      </c>
      <c r="K3222" s="24" t="s">
        <v>30</v>
      </c>
      <c r="L3222" s="24" t="s">
        <v>98</v>
      </c>
    </row>
    <row r="3223">
      <c r="A3223" s="24">
        <f t="shared" si="1"/>
        <v>3221</v>
      </c>
      <c r="B3223" s="24" t="s">
        <v>1220</v>
      </c>
      <c r="C3223" s="275">
        <v>43722.0</v>
      </c>
      <c r="D3223" s="24" t="str">
        <f t="shared" si="285"/>
        <v>Sep-2019</v>
      </c>
      <c r="E3223" t="s">
        <v>25</v>
      </c>
      <c r="F3223" s="24" t="s">
        <v>21</v>
      </c>
      <c r="G3223" s="24" t="s">
        <v>1225</v>
      </c>
      <c r="H3223" s="24" t="s">
        <v>27</v>
      </c>
      <c r="I3223" s="24" t="s">
        <v>9</v>
      </c>
      <c r="J3223" s="24" t="s">
        <v>30</v>
      </c>
      <c r="K3223" s="24"/>
      <c r="L3223" s="24" t="s">
        <v>106</v>
      </c>
    </row>
    <row r="3224">
      <c r="A3224" s="24">
        <f t="shared" si="1"/>
        <v>3222</v>
      </c>
      <c r="B3224" s="24" t="s">
        <v>1220</v>
      </c>
      <c r="C3224" s="275">
        <v>43722.0</v>
      </c>
      <c r="D3224" s="24" t="str">
        <f t="shared" ref="D3224:D3247" si="286">TEXT(C3216:C3224, "mmm") &amp; "-" &amp; TEXT(C3216:C3224, "yyyy") </f>
        <v>Sep-2019</v>
      </c>
      <c r="E3224" t="s">
        <v>20</v>
      </c>
      <c r="F3224" s="24" t="s">
        <v>21</v>
      </c>
      <c r="G3224" s="24" t="s">
        <v>944</v>
      </c>
      <c r="H3224" s="24" t="s">
        <v>9</v>
      </c>
      <c r="I3224" s="24" t="s">
        <v>9</v>
      </c>
      <c r="J3224" s="24" t="s">
        <v>24</v>
      </c>
      <c r="K3224" s="24" t="s">
        <v>24</v>
      </c>
      <c r="L3224" s="24" t="s">
        <v>69</v>
      </c>
    </row>
    <row r="3225">
      <c r="A3225" s="24">
        <f t="shared" si="1"/>
        <v>3223</v>
      </c>
      <c r="B3225" s="24" t="s">
        <v>1220</v>
      </c>
      <c r="C3225" s="275">
        <v>43722.0</v>
      </c>
      <c r="D3225" s="24" t="str">
        <f t="shared" si="286"/>
        <v>Sep-2019</v>
      </c>
      <c r="E3225" t="s">
        <v>25</v>
      </c>
      <c r="F3225" s="24" t="s">
        <v>21</v>
      </c>
      <c r="G3225" s="24" t="s">
        <v>944</v>
      </c>
      <c r="H3225" s="24" t="s">
        <v>9</v>
      </c>
      <c r="I3225" s="24" t="s">
        <v>9</v>
      </c>
      <c r="J3225" s="24" t="s">
        <v>24</v>
      </c>
      <c r="K3225" s="24"/>
      <c r="L3225" s="24" t="s">
        <v>99</v>
      </c>
    </row>
    <row r="3226">
      <c r="A3226" s="24">
        <f t="shared" si="1"/>
        <v>3224</v>
      </c>
      <c r="B3226" s="24" t="s">
        <v>1220</v>
      </c>
      <c r="C3226" s="275">
        <v>43722.0</v>
      </c>
      <c r="D3226" s="24" t="str">
        <f t="shared" si="286"/>
        <v>Sep-2019</v>
      </c>
      <c r="E3226" t="s">
        <v>20</v>
      </c>
      <c r="F3226" s="24" t="s">
        <v>21</v>
      </c>
      <c r="G3226" s="24" t="s">
        <v>1226</v>
      </c>
      <c r="H3226" s="24" t="s">
        <v>97</v>
      </c>
      <c r="I3226" s="24" t="s">
        <v>9</v>
      </c>
      <c r="J3226" s="24" t="s">
        <v>30</v>
      </c>
      <c r="K3226" s="24" t="s">
        <v>30</v>
      </c>
      <c r="L3226" s="24" t="s">
        <v>98</v>
      </c>
    </row>
    <row r="3227">
      <c r="A3227" s="24">
        <f t="shared" si="1"/>
        <v>3225</v>
      </c>
      <c r="B3227" s="24" t="s">
        <v>1220</v>
      </c>
      <c r="C3227" s="275">
        <v>43722.0</v>
      </c>
      <c r="D3227" s="24" t="str">
        <f t="shared" si="286"/>
        <v>Sep-2019</v>
      </c>
      <c r="E3227" t="s">
        <v>25</v>
      </c>
      <c r="F3227" s="24" t="s">
        <v>21</v>
      </c>
      <c r="G3227" s="24" t="s">
        <v>1226</v>
      </c>
      <c r="H3227" s="24" t="s">
        <v>97</v>
      </c>
      <c r="I3227" s="24" t="s">
        <v>9</v>
      </c>
      <c r="J3227" s="24" t="s">
        <v>24</v>
      </c>
      <c r="K3227" s="24"/>
      <c r="L3227" s="24" t="s">
        <v>99</v>
      </c>
    </row>
    <row r="3228">
      <c r="A3228" s="24">
        <f t="shared" si="1"/>
        <v>3226</v>
      </c>
      <c r="B3228" s="24" t="s">
        <v>1220</v>
      </c>
      <c r="C3228" s="275">
        <v>43722.0</v>
      </c>
      <c r="D3228" s="24" t="str">
        <f t="shared" si="286"/>
        <v>Sep-2019</v>
      </c>
      <c r="E3228" t="s">
        <v>32</v>
      </c>
      <c r="F3228" s="24" t="s">
        <v>21</v>
      </c>
      <c r="G3228" s="24" t="s">
        <v>1226</v>
      </c>
      <c r="H3228" s="24" t="s">
        <v>97</v>
      </c>
      <c r="I3228" s="24" t="s">
        <v>9</v>
      </c>
      <c r="J3228" s="24" t="s">
        <v>30</v>
      </c>
      <c r="K3228" s="24"/>
      <c r="L3228" s="24" t="s">
        <v>106</v>
      </c>
    </row>
    <row r="3229">
      <c r="A3229" s="24">
        <f t="shared" si="1"/>
        <v>3227</v>
      </c>
      <c r="B3229" s="24" t="s">
        <v>1220</v>
      </c>
      <c r="C3229" s="275">
        <v>43722.0</v>
      </c>
      <c r="D3229" s="24" t="str">
        <f t="shared" si="286"/>
        <v>Sep-2019</v>
      </c>
      <c r="E3229" t="s">
        <v>20</v>
      </c>
      <c r="F3229" s="24" t="s">
        <v>35</v>
      </c>
      <c r="G3229" s="24" t="s">
        <v>1138</v>
      </c>
      <c r="H3229" s="24" t="s">
        <v>27</v>
      </c>
      <c r="I3229" s="24" t="s">
        <v>9</v>
      </c>
      <c r="J3229" s="24" t="s">
        <v>24</v>
      </c>
      <c r="K3229" s="24" t="s">
        <v>30</v>
      </c>
      <c r="L3229" s="24" t="s">
        <v>37</v>
      </c>
    </row>
    <row r="3230">
      <c r="A3230" s="24">
        <f t="shared" si="1"/>
        <v>3228</v>
      </c>
      <c r="B3230" s="24" t="s">
        <v>1220</v>
      </c>
      <c r="C3230" s="275">
        <v>43722.0</v>
      </c>
      <c r="D3230" s="24" t="str">
        <f t="shared" si="286"/>
        <v>Sep-2019</v>
      </c>
      <c r="E3230" t="s">
        <v>25</v>
      </c>
      <c r="F3230" s="24" t="s">
        <v>35</v>
      </c>
      <c r="G3230" s="24" t="s">
        <v>1138</v>
      </c>
      <c r="H3230" s="24" t="s">
        <v>27</v>
      </c>
      <c r="I3230" s="24" t="s">
        <v>9</v>
      </c>
      <c r="J3230" s="24" t="s">
        <v>30</v>
      </c>
      <c r="K3230" s="24"/>
      <c r="L3230" s="24" t="s">
        <v>106</v>
      </c>
    </row>
    <row r="3231">
      <c r="A3231" s="24">
        <f t="shared" si="1"/>
        <v>3229</v>
      </c>
      <c r="B3231" s="24" t="s">
        <v>1220</v>
      </c>
      <c r="C3231" s="275">
        <v>43722.0</v>
      </c>
      <c r="D3231" s="24" t="str">
        <f t="shared" si="286"/>
        <v>Sep-2019</v>
      </c>
      <c r="E3231" t="s">
        <v>32</v>
      </c>
      <c r="F3231" s="24" t="s">
        <v>35</v>
      </c>
      <c r="G3231" s="24" t="s">
        <v>1138</v>
      </c>
      <c r="H3231" s="24" t="s">
        <v>27</v>
      </c>
      <c r="I3231" s="24" t="s">
        <v>9</v>
      </c>
      <c r="J3231" s="24" t="s">
        <v>30</v>
      </c>
      <c r="K3231" s="24"/>
      <c r="L3231" s="24" t="s">
        <v>69</v>
      </c>
    </row>
    <row r="3232">
      <c r="A3232" s="24">
        <f t="shared" si="1"/>
        <v>3230</v>
      </c>
      <c r="B3232" s="24" t="s">
        <v>1220</v>
      </c>
      <c r="C3232" s="275">
        <v>43722.0</v>
      </c>
      <c r="D3232" s="24" t="str">
        <f t="shared" si="286"/>
        <v>Sep-2019</v>
      </c>
      <c r="E3232" t="s">
        <v>146</v>
      </c>
      <c r="F3232" s="24" t="s">
        <v>35</v>
      </c>
      <c r="G3232" s="24" t="s">
        <v>1227</v>
      </c>
      <c r="H3232" s="24" t="s">
        <v>9</v>
      </c>
      <c r="I3232" s="24" t="s">
        <v>9</v>
      </c>
      <c r="J3232" s="24" t="s">
        <v>24</v>
      </c>
      <c r="K3232" s="24" t="s">
        <v>24</v>
      </c>
      <c r="L3232" s="24" t="s">
        <v>98</v>
      </c>
    </row>
    <row r="3233">
      <c r="A3233" s="24">
        <f t="shared" si="1"/>
        <v>3231</v>
      </c>
      <c r="B3233" s="24" t="s">
        <v>1220</v>
      </c>
      <c r="C3233" s="275">
        <v>43722.0</v>
      </c>
      <c r="D3233" s="24" t="str">
        <f t="shared" si="286"/>
        <v>Sep-2019</v>
      </c>
      <c r="E3233" t="s">
        <v>149</v>
      </c>
      <c r="F3233" s="24" t="s">
        <v>35</v>
      </c>
      <c r="G3233" s="24" t="s">
        <v>1227</v>
      </c>
      <c r="H3233" s="24" t="s">
        <v>9</v>
      </c>
      <c r="I3233" s="24" t="s">
        <v>9</v>
      </c>
      <c r="J3233" s="24" t="s">
        <v>24</v>
      </c>
      <c r="K3233" s="24"/>
      <c r="L3233" s="24" t="s">
        <v>69</v>
      </c>
    </row>
    <row r="3234">
      <c r="A3234" s="24">
        <f t="shared" si="1"/>
        <v>3232</v>
      </c>
      <c r="B3234" s="24" t="s">
        <v>1220</v>
      </c>
      <c r="C3234" s="275">
        <v>43722.0</v>
      </c>
      <c r="D3234" s="24" t="str">
        <f t="shared" si="286"/>
        <v>Sep-2019</v>
      </c>
      <c r="E3234" t="s">
        <v>222</v>
      </c>
      <c r="F3234" s="24" t="s">
        <v>35</v>
      </c>
      <c r="G3234" s="24" t="s">
        <v>1227</v>
      </c>
      <c r="H3234" s="24" t="s">
        <v>9</v>
      </c>
      <c r="I3234" s="24" t="s">
        <v>9</v>
      </c>
      <c r="J3234" s="24" t="s">
        <v>30</v>
      </c>
      <c r="K3234" s="24"/>
      <c r="L3234" s="24" t="s">
        <v>99</v>
      </c>
    </row>
    <row r="3235">
      <c r="A3235" s="24">
        <f t="shared" si="1"/>
        <v>3233</v>
      </c>
      <c r="B3235" s="24" t="s">
        <v>1220</v>
      </c>
      <c r="C3235" s="275">
        <v>43722.0</v>
      </c>
      <c r="D3235" s="24" t="str">
        <f t="shared" si="286"/>
        <v>Sep-2019</v>
      </c>
      <c r="E3235" t="s">
        <v>467</v>
      </c>
      <c r="F3235" s="24" t="s">
        <v>35</v>
      </c>
      <c r="G3235" s="24" t="s">
        <v>1227</v>
      </c>
      <c r="H3235" s="24" t="s">
        <v>9</v>
      </c>
      <c r="I3235" s="24" t="s">
        <v>9</v>
      </c>
      <c r="J3235" s="24" t="s">
        <v>24</v>
      </c>
      <c r="K3235" s="24"/>
      <c r="L3235" s="24" t="s">
        <v>98</v>
      </c>
    </row>
    <row r="3236">
      <c r="A3236" s="24">
        <f t="shared" si="1"/>
        <v>3234</v>
      </c>
      <c r="B3236" s="24" t="s">
        <v>1220</v>
      </c>
      <c r="C3236" s="275">
        <v>43722.0</v>
      </c>
      <c r="D3236" s="24" t="str">
        <f t="shared" si="286"/>
        <v>Sep-2019</v>
      </c>
      <c r="E3236" t="s">
        <v>146</v>
      </c>
      <c r="F3236" s="24" t="s">
        <v>35</v>
      </c>
      <c r="G3236" s="24" t="s">
        <v>989</v>
      </c>
      <c r="H3236" s="24" t="s">
        <v>86</v>
      </c>
      <c r="I3236" s="24" t="s">
        <v>9</v>
      </c>
      <c r="J3236" s="24" t="s">
        <v>30</v>
      </c>
      <c r="K3236" s="24" t="s">
        <v>30</v>
      </c>
      <c r="L3236" s="24" t="s">
        <v>69</v>
      </c>
    </row>
    <row r="3237">
      <c r="A3237" s="24">
        <f t="shared" si="1"/>
        <v>3235</v>
      </c>
      <c r="B3237" s="24" t="s">
        <v>1220</v>
      </c>
      <c r="C3237" s="275">
        <v>43722.0</v>
      </c>
      <c r="D3237" s="24" t="str">
        <f t="shared" si="286"/>
        <v>Sep-2019</v>
      </c>
      <c r="E3237" t="s">
        <v>149</v>
      </c>
      <c r="F3237" s="24" t="s">
        <v>35</v>
      </c>
      <c r="G3237" s="24" t="s">
        <v>989</v>
      </c>
      <c r="H3237" s="24" t="s">
        <v>86</v>
      </c>
      <c r="I3237" s="24" t="s">
        <v>9</v>
      </c>
      <c r="J3237" s="24" t="s">
        <v>30</v>
      </c>
      <c r="K3237" s="24"/>
      <c r="L3237" s="24" t="s">
        <v>37</v>
      </c>
    </row>
    <row r="3238">
      <c r="A3238" s="24">
        <f t="shared" si="1"/>
        <v>3236</v>
      </c>
      <c r="B3238" s="24" t="s">
        <v>1220</v>
      </c>
      <c r="C3238" s="275">
        <v>43722.0</v>
      </c>
      <c r="D3238" s="24" t="str">
        <f t="shared" si="286"/>
        <v>Sep-2019</v>
      </c>
      <c r="E3238" t="s">
        <v>222</v>
      </c>
      <c r="F3238" s="24" t="s">
        <v>35</v>
      </c>
      <c r="G3238" s="24" t="s">
        <v>989</v>
      </c>
      <c r="H3238" s="24" t="s">
        <v>27</v>
      </c>
      <c r="I3238" s="24" t="s">
        <v>9</v>
      </c>
      <c r="J3238" s="24" t="s">
        <v>30</v>
      </c>
      <c r="K3238" s="24"/>
      <c r="L3238" s="24" t="s">
        <v>37</v>
      </c>
    </row>
    <row r="3239">
      <c r="A3239" s="24">
        <f t="shared" si="1"/>
        <v>3237</v>
      </c>
      <c r="B3239" s="24" t="s">
        <v>1220</v>
      </c>
      <c r="C3239" s="275">
        <v>43722.0</v>
      </c>
      <c r="D3239" s="24" t="str">
        <f t="shared" si="286"/>
        <v>Sep-2019</v>
      </c>
      <c r="E3239" t="s">
        <v>146</v>
      </c>
      <c r="F3239" s="24" t="s">
        <v>35</v>
      </c>
      <c r="G3239" s="24" t="s">
        <v>1228</v>
      </c>
      <c r="H3239" s="24" t="s">
        <v>27</v>
      </c>
      <c r="I3239" s="24" t="s">
        <v>9</v>
      </c>
      <c r="J3239" s="24" t="s">
        <v>30</v>
      </c>
      <c r="K3239" s="24" t="s">
        <v>30</v>
      </c>
      <c r="L3239" s="24" t="s">
        <v>98</v>
      </c>
    </row>
    <row r="3240">
      <c r="A3240" s="24">
        <f t="shared" si="1"/>
        <v>3238</v>
      </c>
      <c r="B3240" s="24" t="s">
        <v>1220</v>
      </c>
      <c r="C3240" s="275">
        <v>43722.0</v>
      </c>
      <c r="D3240" s="24" t="str">
        <f t="shared" si="286"/>
        <v>Sep-2019</v>
      </c>
      <c r="E3240" t="s">
        <v>149</v>
      </c>
      <c r="F3240" s="24" t="s">
        <v>35</v>
      </c>
      <c r="G3240" s="24" t="s">
        <v>1228</v>
      </c>
      <c r="H3240" s="24" t="s">
        <v>27</v>
      </c>
      <c r="I3240" s="24" t="s">
        <v>9</v>
      </c>
      <c r="J3240" s="24" t="s">
        <v>24</v>
      </c>
      <c r="K3240" s="24"/>
      <c r="L3240" s="24" t="s">
        <v>69</v>
      </c>
    </row>
    <row r="3241">
      <c r="A3241" s="24">
        <f t="shared" si="1"/>
        <v>3239</v>
      </c>
      <c r="B3241" s="24" t="s">
        <v>1220</v>
      </c>
      <c r="C3241" s="275">
        <v>43722.0</v>
      </c>
      <c r="D3241" s="24" t="str">
        <f t="shared" si="286"/>
        <v>Sep-2019</v>
      </c>
      <c r="E3241" t="s">
        <v>222</v>
      </c>
      <c r="F3241" s="24" t="s">
        <v>35</v>
      </c>
      <c r="G3241" s="24" t="s">
        <v>1228</v>
      </c>
      <c r="H3241" s="24" t="s">
        <v>27</v>
      </c>
      <c r="I3241" s="24" t="s">
        <v>9</v>
      </c>
      <c r="J3241" s="24" t="s">
        <v>24</v>
      </c>
      <c r="K3241" s="24"/>
      <c r="L3241" s="24" t="s">
        <v>106</v>
      </c>
    </row>
    <row r="3242">
      <c r="A3242" s="24">
        <f t="shared" si="1"/>
        <v>3240</v>
      </c>
      <c r="B3242" s="24" t="s">
        <v>1220</v>
      </c>
      <c r="C3242" s="275">
        <v>43722.0</v>
      </c>
      <c r="D3242" s="24" t="str">
        <f t="shared" si="286"/>
        <v>Sep-2019</v>
      </c>
      <c r="E3242" t="s">
        <v>467</v>
      </c>
      <c r="F3242" s="24" t="s">
        <v>35</v>
      </c>
      <c r="G3242" s="24" t="s">
        <v>1228</v>
      </c>
      <c r="H3242" s="24" t="s">
        <v>27</v>
      </c>
      <c r="I3242" s="24" t="s">
        <v>9</v>
      </c>
      <c r="J3242" s="24" t="s">
        <v>30</v>
      </c>
      <c r="K3242" s="24"/>
      <c r="L3242" s="24" t="s">
        <v>106</v>
      </c>
    </row>
    <row r="3243">
      <c r="A3243" s="24">
        <f t="shared" si="1"/>
        <v>3241</v>
      </c>
      <c r="B3243" s="24" t="s">
        <v>1220</v>
      </c>
      <c r="C3243" s="275">
        <v>43722.0</v>
      </c>
      <c r="D3243" s="24" t="str">
        <f t="shared" si="286"/>
        <v>Sep-2019</v>
      </c>
      <c r="E3243" s="24" t="s">
        <v>480</v>
      </c>
      <c r="F3243" s="24" t="s">
        <v>35</v>
      </c>
      <c r="G3243" s="24" t="s">
        <v>1228</v>
      </c>
      <c r="H3243" s="24" t="s">
        <v>27</v>
      </c>
      <c r="I3243" s="24" t="s">
        <v>9</v>
      </c>
      <c r="J3243" s="24" t="s">
        <v>30</v>
      </c>
      <c r="K3243" s="24"/>
      <c r="L3243" s="24" t="s">
        <v>37</v>
      </c>
    </row>
    <row r="3244">
      <c r="A3244" s="24">
        <f t="shared" si="1"/>
        <v>3242</v>
      </c>
      <c r="B3244" s="24" t="s">
        <v>1220</v>
      </c>
      <c r="C3244" s="275">
        <v>43722.0</v>
      </c>
      <c r="D3244" s="24" t="str">
        <f t="shared" si="286"/>
        <v>Sep-2019</v>
      </c>
      <c r="E3244" t="s">
        <v>146</v>
      </c>
      <c r="F3244" s="24" t="s">
        <v>35</v>
      </c>
      <c r="G3244" s="24" t="s">
        <v>1221</v>
      </c>
      <c r="H3244" s="24" t="s">
        <v>138</v>
      </c>
      <c r="I3244" s="24" t="s">
        <v>9</v>
      </c>
      <c r="J3244" s="24" t="s">
        <v>24</v>
      </c>
      <c r="K3244" s="24" t="s">
        <v>24</v>
      </c>
      <c r="L3244" s="24" t="s">
        <v>98</v>
      </c>
    </row>
    <row r="3245">
      <c r="A3245" s="24">
        <f t="shared" si="1"/>
        <v>3243</v>
      </c>
      <c r="B3245" s="24" t="s">
        <v>1220</v>
      </c>
      <c r="C3245" s="275">
        <v>43722.0</v>
      </c>
      <c r="D3245" s="24" t="str">
        <f t="shared" si="286"/>
        <v>Sep-2019</v>
      </c>
      <c r="E3245" t="s">
        <v>149</v>
      </c>
      <c r="F3245" s="24" t="s">
        <v>35</v>
      </c>
      <c r="G3245" s="24" t="s">
        <v>1221</v>
      </c>
      <c r="H3245" s="24" t="s">
        <v>138</v>
      </c>
      <c r="I3245" s="24" t="s">
        <v>9</v>
      </c>
      <c r="J3245" s="24" t="s">
        <v>24</v>
      </c>
      <c r="K3245" s="24"/>
      <c r="L3245" s="24" t="s">
        <v>106</v>
      </c>
    </row>
    <row r="3246">
      <c r="A3246" s="24">
        <f t="shared" si="1"/>
        <v>3244</v>
      </c>
      <c r="B3246" s="24" t="s">
        <v>1220</v>
      </c>
      <c r="C3246" s="275">
        <v>43722.0</v>
      </c>
      <c r="D3246" s="24" t="str">
        <f t="shared" si="286"/>
        <v>Sep-2019</v>
      </c>
      <c r="E3246" t="s">
        <v>222</v>
      </c>
      <c r="F3246" s="24" t="s">
        <v>35</v>
      </c>
      <c r="G3246" s="24" t="s">
        <v>1221</v>
      </c>
      <c r="H3246" s="24" t="s">
        <v>138</v>
      </c>
      <c r="I3246" s="24" t="s">
        <v>9</v>
      </c>
      <c r="J3246" s="24" t="s">
        <v>30</v>
      </c>
      <c r="K3246" s="24"/>
      <c r="L3246" s="24" t="s">
        <v>69</v>
      </c>
    </row>
    <row r="3247">
      <c r="A3247" s="24">
        <f t="shared" si="1"/>
        <v>3245</v>
      </c>
      <c r="B3247" s="24" t="s">
        <v>1220</v>
      </c>
      <c r="C3247" s="275">
        <v>43722.0</v>
      </c>
      <c r="D3247" s="24" t="str">
        <f t="shared" si="286"/>
        <v>Sep-2019</v>
      </c>
      <c r="E3247" t="s">
        <v>467</v>
      </c>
      <c r="F3247" s="24" t="s">
        <v>35</v>
      </c>
      <c r="G3247" s="24" t="s">
        <v>1221</v>
      </c>
      <c r="H3247" s="24" t="s">
        <v>138</v>
      </c>
      <c r="I3247" s="24" t="s">
        <v>9</v>
      </c>
      <c r="J3247" s="24" t="s">
        <v>24</v>
      </c>
      <c r="K3247" s="24"/>
      <c r="L3247" s="24" t="s">
        <v>29</v>
      </c>
    </row>
    <row r="3248">
      <c r="A3248" s="24">
        <f t="shared" si="1"/>
        <v>3246</v>
      </c>
      <c r="B3248" s="24" t="s">
        <v>1229</v>
      </c>
      <c r="C3248" s="275">
        <v>43738.0</v>
      </c>
      <c r="D3248" s="24" t="str">
        <f t="shared" ref="D3248:D3255" si="287">TEXT(C3241:C3248, "mmm") &amp; "-" &amp; TEXT(C3241:C3248, "yyyy") </f>
        <v>Sep-2019</v>
      </c>
      <c r="E3248" t="s">
        <v>20</v>
      </c>
      <c r="F3248" s="24" t="s">
        <v>35</v>
      </c>
      <c r="G3248" s="24" t="s">
        <v>1093</v>
      </c>
      <c r="H3248" s="24" t="s">
        <v>86</v>
      </c>
      <c r="I3248" s="24" t="s">
        <v>9</v>
      </c>
      <c r="J3248" s="24" t="s">
        <v>30</v>
      </c>
      <c r="K3248" s="24" t="s">
        <v>30</v>
      </c>
      <c r="L3248" s="24" t="s">
        <v>69</v>
      </c>
    </row>
    <row r="3249">
      <c r="A3249" s="24">
        <f t="shared" si="1"/>
        <v>3247</v>
      </c>
      <c r="B3249" s="24" t="s">
        <v>1229</v>
      </c>
      <c r="C3249" s="275">
        <v>43738.0</v>
      </c>
      <c r="D3249" s="24" t="str">
        <f t="shared" si="287"/>
        <v>Sep-2019</v>
      </c>
      <c r="E3249" t="s">
        <v>25</v>
      </c>
      <c r="F3249" s="24" t="s">
        <v>35</v>
      </c>
      <c r="G3249" s="24" t="s">
        <v>1093</v>
      </c>
      <c r="H3249" s="24" t="s">
        <v>86</v>
      </c>
      <c r="I3249" s="24" t="s">
        <v>9</v>
      </c>
      <c r="J3249" s="24" t="s">
        <v>30</v>
      </c>
      <c r="K3249" s="24"/>
      <c r="L3249" s="24" t="s">
        <v>98</v>
      </c>
    </row>
    <row r="3250">
      <c r="A3250" s="24">
        <f t="shared" si="1"/>
        <v>3248</v>
      </c>
      <c r="B3250" s="24" t="s">
        <v>1229</v>
      </c>
      <c r="C3250" s="275">
        <v>43738.0</v>
      </c>
      <c r="D3250" s="24" t="str">
        <f t="shared" si="287"/>
        <v>Sep-2019</v>
      </c>
      <c r="E3250" t="s">
        <v>20</v>
      </c>
      <c r="F3250" s="24" t="s">
        <v>35</v>
      </c>
      <c r="G3250" s="24" t="s">
        <v>361</v>
      </c>
      <c r="H3250" s="24" t="s">
        <v>44</v>
      </c>
      <c r="I3250" s="24" t="s">
        <v>9</v>
      </c>
      <c r="J3250" s="24" t="s">
        <v>30</v>
      </c>
      <c r="K3250" s="24" t="s">
        <v>30</v>
      </c>
      <c r="L3250" s="24" t="s">
        <v>69</v>
      </c>
    </row>
    <row r="3251">
      <c r="A3251" s="24">
        <f t="shared" si="1"/>
        <v>3249</v>
      </c>
      <c r="B3251" s="24" t="s">
        <v>1229</v>
      </c>
      <c r="C3251" s="275">
        <v>43738.0</v>
      </c>
      <c r="D3251" s="24" t="str">
        <f t="shared" si="287"/>
        <v>Sep-2019</v>
      </c>
      <c r="E3251" t="s">
        <v>25</v>
      </c>
      <c r="F3251" s="24" t="s">
        <v>35</v>
      </c>
      <c r="G3251" s="24" t="s">
        <v>361</v>
      </c>
      <c r="H3251" s="24" t="s">
        <v>44</v>
      </c>
      <c r="I3251" s="24" t="s">
        <v>9</v>
      </c>
      <c r="J3251" s="24" t="s">
        <v>24</v>
      </c>
      <c r="K3251" s="24"/>
      <c r="L3251" s="24" t="s">
        <v>99</v>
      </c>
    </row>
    <row r="3252">
      <c r="A3252" s="24">
        <f t="shared" si="1"/>
        <v>3250</v>
      </c>
      <c r="B3252" s="24" t="s">
        <v>1229</v>
      </c>
      <c r="C3252" s="275">
        <v>43738.0</v>
      </c>
      <c r="D3252" s="24" t="str">
        <f t="shared" si="287"/>
        <v>Sep-2019</v>
      </c>
      <c r="E3252" t="s">
        <v>32</v>
      </c>
      <c r="F3252" s="24" t="s">
        <v>35</v>
      </c>
      <c r="G3252" s="24" t="s">
        <v>361</v>
      </c>
      <c r="H3252" s="24" t="s">
        <v>44</v>
      </c>
      <c r="I3252" s="24" t="s">
        <v>9</v>
      </c>
      <c r="J3252" s="24" t="s">
        <v>30</v>
      </c>
      <c r="K3252" s="24"/>
      <c r="L3252" s="24" t="s">
        <v>106</v>
      </c>
    </row>
    <row r="3253">
      <c r="A3253" s="24">
        <f t="shared" si="1"/>
        <v>3251</v>
      </c>
      <c r="B3253" s="24" t="s">
        <v>1229</v>
      </c>
      <c r="C3253" s="275">
        <v>43738.0</v>
      </c>
      <c r="D3253" s="24" t="str">
        <f t="shared" si="287"/>
        <v>Sep-2019</v>
      </c>
      <c r="E3253" t="s">
        <v>20</v>
      </c>
      <c r="F3253" s="24" t="s">
        <v>35</v>
      </c>
      <c r="G3253" s="24" t="s">
        <v>239</v>
      </c>
      <c r="H3253" s="24" t="s">
        <v>27</v>
      </c>
      <c r="I3253" s="24" t="s">
        <v>9</v>
      </c>
      <c r="J3253" s="24" t="s">
        <v>24</v>
      </c>
      <c r="K3253" s="24" t="s">
        <v>24</v>
      </c>
      <c r="L3253" s="24" t="s">
        <v>37</v>
      </c>
    </row>
    <row r="3254">
      <c r="A3254" s="24">
        <f t="shared" si="1"/>
        <v>3252</v>
      </c>
      <c r="B3254" s="24" t="s">
        <v>1229</v>
      </c>
      <c r="C3254" s="275">
        <v>43738.0</v>
      </c>
      <c r="D3254" s="24" t="str">
        <f t="shared" si="287"/>
        <v>Sep-2019</v>
      </c>
      <c r="E3254" t="s">
        <v>25</v>
      </c>
      <c r="F3254" s="24" t="s">
        <v>35</v>
      </c>
      <c r="G3254" s="24" t="s">
        <v>239</v>
      </c>
      <c r="H3254" s="24" t="s">
        <v>27</v>
      </c>
      <c r="I3254" s="24" t="s">
        <v>9</v>
      </c>
      <c r="J3254" s="24" t="s">
        <v>24</v>
      </c>
      <c r="K3254" s="24"/>
      <c r="L3254" s="24" t="s">
        <v>98</v>
      </c>
    </row>
    <row r="3255">
      <c r="A3255" s="24">
        <f t="shared" si="1"/>
        <v>3253</v>
      </c>
      <c r="B3255" s="24" t="s">
        <v>1229</v>
      </c>
      <c r="C3255" s="275">
        <v>43738.0</v>
      </c>
      <c r="D3255" s="24" t="str">
        <f t="shared" si="287"/>
        <v>Sep-2019</v>
      </c>
      <c r="E3255" t="s">
        <v>20</v>
      </c>
      <c r="F3255" s="24" t="s">
        <v>35</v>
      </c>
      <c r="G3255" s="24" t="s">
        <v>871</v>
      </c>
      <c r="H3255" s="24" t="s">
        <v>138</v>
      </c>
      <c r="I3255" s="24" t="s">
        <v>9</v>
      </c>
      <c r="J3255" s="24" t="s">
        <v>30</v>
      </c>
      <c r="K3255" s="24" t="s">
        <v>30</v>
      </c>
      <c r="L3255" s="24" t="s">
        <v>98</v>
      </c>
    </row>
    <row r="3256">
      <c r="A3256" s="24">
        <f t="shared" si="1"/>
        <v>3254</v>
      </c>
      <c r="B3256" s="24" t="s">
        <v>1229</v>
      </c>
      <c r="C3256" s="275">
        <v>43738.0</v>
      </c>
      <c r="D3256" s="24" t="str">
        <f t="shared" ref="D3256:D3259" si="288">TEXT(C3248:C3256, "mmm") &amp; "-" &amp; TEXT(C3248:C3256, "yyyy") </f>
        <v>Sep-2019</v>
      </c>
      <c r="E3256" t="s">
        <v>25</v>
      </c>
      <c r="F3256" s="24" t="s">
        <v>35</v>
      </c>
      <c r="G3256" s="24" t="s">
        <v>871</v>
      </c>
      <c r="H3256" s="24" t="s">
        <v>138</v>
      </c>
      <c r="I3256" s="24" t="s">
        <v>9</v>
      </c>
      <c r="J3256" s="24" t="s">
        <v>30</v>
      </c>
      <c r="K3256" s="24"/>
      <c r="L3256" s="24" t="s">
        <v>106</v>
      </c>
    </row>
    <row r="3257">
      <c r="A3257" s="24">
        <f t="shared" si="1"/>
        <v>3255</v>
      </c>
      <c r="B3257" s="24" t="s">
        <v>1229</v>
      </c>
      <c r="C3257" s="275">
        <v>43738.0</v>
      </c>
      <c r="D3257" s="24" t="str">
        <f t="shared" si="288"/>
        <v>Sep-2019</v>
      </c>
      <c r="E3257" t="s">
        <v>146</v>
      </c>
      <c r="F3257" s="24" t="s">
        <v>35</v>
      </c>
      <c r="G3257" s="24" t="s">
        <v>450</v>
      </c>
      <c r="H3257" s="24" t="s">
        <v>9</v>
      </c>
      <c r="I3257" s="24" t="s">
        <v>9</v>
      </c>
      <c r="J3257" s="24" t="s">
        <v>24</v>
      </c>
      <c r="K3257" s="24" t="s">
        <v>24</v>
      </c>
      <c r="L3257" s="24" t="s">
        <v>69</v>
      </c>
    </row>
    <row r="3258">
      <c r="A3258" s="24">
        <f t="shared" si="1"/>
        <v>3256</v>
      </c>
      <c r="B3258" s="24" t="s">
        <v>1229</v>
      </c>
      <c r="C3258" s="275">
        <v>43738.0</v>
      </c>
      <c r="D3258" s="24" t="str">
        <f t="shared" si="288"/>
        <v>Sep-2019</v>
      </c>
      <c r="E3258" t="s">
        <v>149</v>
      </c>
      <c r="F3258" s="24" t="s">
        <v>35</v>
      </c>
      <c r="G3258" s="24" t="s">
        <v>450</v>
      </c>
      <c r="H3258" s="24" t="s">
        <v>9</v>
      </c>
      <c r="I3258" s="24" t="s">
        <v>9</v>
      </c>
      <c r="J3258" s="24" t="s">
        <v>24</v>
      </c>
      <c r="K3258" s="24"/>
      <c r="L3258" s="24" t="s">
        <v>69</v>
      </c>
    </row>
    <row r="3259">
      <c r="A3259" s="24">
        <f t="shared" si="1"/>
        <v>3257</v>
      </c>
      <c r="B3259" s="24" t="s">
        <v>1229</v>
      </c>
      <c r="C3259" s="275">
        <v>43738.0</v>
      </c>
      <c r="D3259" s="24" t="str">
        <f t="shared" si="288"/>
        <v>Sep-2019</v>
      </c>
      <c r="E3259" t="s">
        <v>222</v>
      </c>
      <c r="F3259" s="24" t="s">
        <v>35</v>
      </c>
      <c r="G3259" s="24" t="s">
        <v>450</v>
      </c>
      <c r="H3259" s="24" t="s">
        <v>9</v>
      </c>
      <c r="I3259" s="24" t="s">
        <v>9</v>
      </c>
      <c r="J3259" s="24" t="s">
        <v>24</v>
      </c>
      <c r="K3259" s="24"/>
      <c r="L3259" s="24" t="s">
        <v>99</v>
      </c>
    </row>
    <row r="3260">
      <c r="A3260" s="24">
        <f t="shared" si="1"/>
        <v>3258</v>
      </c>
      <c r="B3260" s="24" t="s">
        <v>1231</v>
      </c>
      <c r="C3260" s="275">
        <v>43742.0</v>
      </c>
      <c r="D3260" s="24" t="str">
        <f t="shared" ref="D3260:D3267" si="289">TEXT(C3253:C3260, "mmm") &amp; "-" &amp; TEXT(C3253:C3260, "yyyy") </f>
        <v>Oct-2019</v>
      </c>
      <c r="E3260" t="s">
        <v>20</v>
      </c>
      <c r="F3260" s="24" t="s">
        <v>35</v>
      </c>
      <c r="G3260" s="24" t="s">
        <v>1232</v>
      </c>
      <c r="H3260" s="24" t="s">
        <v>9</v>
      </c>
      <c r="I3260" s="24" t="s">
        <v>9</v>
      </c>
      <c r="J3260" s="24" t="s">
        <v>30</v>
      </c>
      <c r="K3260" s="24" t="s">
        <v>30</v>
      </c>
      <c r="L3260" s="24" t="s">
        <v>69</v>
      </c>
    </row>
    <row r="3261">
      <c r="A3261" s="24">
        <f t="shared" si="1"/>
        <v>3259</v>
      </c>
      <c r="B3261" s="24" t="s">
        <v>1231</v>
      </c>
      <c r="C3261" s="275">
        <v>43742.0</v>
      </c>
      <c r="D3261" s="24" t="str">
        <f t="shared" si="289"/>
        <v>Oct-2019</v>
      </c>
      <c r="E3261" t="s">
        <v>25</v>
      </c>
      <c r="F3261" s="24" t="s">
        <v>35</v>
      </c>
      <c r="G3261" s="24" t="s">
        <v>1232</v>
      </c>
      <c r="H3261" s="24" t="s">
        <v>9</v>
      </c>
      <c r="I3261" s="24" t="s">
        <v>9</v>
      </c>
      <c r="J3261" s="24" t="s">
        <v>30</v>
      </c>
      <c r="K3261" s="24"/>
      <c r="L3261" s="24" t="s">
        <v>99</v>
      </c>
    </row>
    <row r="3262">
      <c r="A3262" s="24">
        <f t="shared" si="1"/>
        <v>3260</v>
      </c>
      <c r="B3262" s="24" t="s">
        <v>1231</v>
      </c>
      <c r="C3262" s="275">
        <v>43742.0</v>
      </c>
      <c r="D3262" s="24" t="str">
        <f t="shared" si="289"/>
        <v>Oct-2019</v>
      </c>
      <c r="E3262" t="s">
        <v>20</v>
      </c>
      <c r="F3262" s="24" t="s">
        <v>35</v>
      </c>
      <c r="G3262" s="24" t="s">
        <v>1234</v>
      </c>
      <c r="H3262" s="24" t="s">
        <v>27</v>
      </c>
      <c r="I3262" s="24" t="s">
        <v>9</v>
      </c>
      <c r="J3262" s="24" t="s">
        <v>24</v>
      </c>
      <c r="K3262" s="24" t="s">
        <v>24</v>
      </c>
      <c r="L3262" s="24" t="s">
        <v>98</v>
      </c>
    </row>
    <row r="3263">
      <c r="A3263" s="24">
        <f t="shared" si="1"/>
        <v>3261</v>
      </c>
      <c r="B3263" s="24" t="s">
        <v>1231</v>
      </c>
      <c r="C3263" s="275">
        <v>43742.0</v>
      </c>
      <c r="D3263" s="24" t="str">
        <f t="shared" si="289"/>
        <v>Oct-2019</v>
      </c>
      <c r="E3263" t="s">
        <v>25</v>
      </c>
      <c r="F3263" s="24" t="s">
        <v>35</v>
      </c>
      <c r="G3263" s="24" t="s">
        <v>1234</v>
      </c>
      <c r="H3263" s="24" t="s">
        <v>27</v>
      </c>
      <c r="I3263" s="24" t="s">
        <v>9</v>
      </c>
      <c r="J3263" s="24" t="s">
        <v>24</v>
      </c>
      <c r="K3263" s="24"/>
      <c r="L3263" s="24" t="s">
        <v>106</v>
      </c>
    </row>
    <row r="3264">
      <c r="A3264" s="24">
        <f t="shared" si="1"/>
        <v>3262</v>
      </c>
      <c r="B3264" s="24" t="s">
        <v>1231</v>
      </c>
      <c r="C3264" s="275">
        <v>43742.0</v>
      </c>
      <c r="D3264" s="24" t="str">
        <f t="shared" si="289"/>
        <v>Oct-2019</v>
      </c>
      <c r="E3264" t="s">
        <v>20</v>
      </c>
      <c r="F3264" s="24" t="s">
        <v>35</v>
      </c>
      <c r="G3264" s="24" t="s">
        <v>1236</v>
      </c>
      <c r="H3264" s="24" t="s">
        <v>86</v>
      </c>
      <c r="I3264" s="24" t="s">
        <v>9</v>
      </c>
      <c r="J3264" s="24" t="s">
        <v>30</v>
      </c>
      <c r="K3264" s="24" t="s">
        <v>30</v>
      </c>
      <c r="L3264" s="24" t="s">
        <v>69</v>
      </c>
    </row>
    <row r="3265">
      <c r="A3265" s="24">
        <f t="shared" si="1"/>
        <v>3263</v>
      </c>
      <c r="B3265" s="24" t="s">
        <v>1231</v>
      </c>
      <c r="C3265" s="275">
        <v>43742.0</v>
      </c>
      <c r="D3265" s="24" t="str">
        <f t="shared" si="289"/>
        <v>Oct-2019</v>
      </c>
      <c r="E3265" t="s">
        <v>25</v>
      </c>
      <c r="F3265" s="24" t="s">
        <v>35</v>
      </c>
      <c r="G3265" s="24" t="s">
        <v>1236</v>
      </c>
      <c r="H3265" s="24" t="s">
        <v>86</v>
      </c>
      <c r="I3265" s="24" t="s">
        <v>9</v>
      </c>
      <c r="J3265" s="24" t="s">
        <v>24</v>
      </c>
      <c r="K3265" s="24"/>
      <c r="L3265" s="24" t="s">
        <v>98</v>
      </c>
    </row>
    <row r="3266">
      <c r="A3266" s="24">
        <f t="shared" si="1"/>
        <v>3264</v>
      </c>
      <c r="B3266" s="24" t="s">
        <v>1231</v>
      </c>
      <c r="C3266" s="275">
        <v>43742.0</v>
      </c>
      <c r="D3266" s="24" t="str">
        <f t="shared" si="289"/>
        <v>Oct-2019</v>
      </c>
      <c r="E3266" t="s">
        <v>32</v>
      </c>
      <c r="F3266" s="24" t="s">
        <v>35</v>
      </c>
      <c r="G3266" s="24" t="s">
        <v>1236</v>
      </c>
      <c r="H3266" s="24" t="s">
        <v>86</v>
      </c>
      <c r="I3266" s="24" t="s">
        <v>9</v>
      </c>
      <c r="J3266" s="24" t="s">
        <v>30</v>
      </c>
      <c r="K3266" s="24"/>
      <c r="L3266" s="24" t="s">
        <v>99</v>
      </c>
    </row>
    <row r="3267">
      <c r="A3267" s="24">
        <f t="shared" si="1"/>
        <v>3265</v>
      </c>
      <c r="B3267" s="24" t="s">
        <v>1231</v>
      </c>
      <c r="C3267" s="275">
        <v>43742.0</v>
      </c>
      <c r="D3267" s="24" t="str">
        <f t="shared" si="289"/>
        <v>Oct-2019</v>
      </c>
      <c r="E3267" t="s">
        <v>20</v>
      </c>
      <c r="F3267" s="24" t="s">
        <v>35</v>
      </c>
      <c r="G3267" s="24" t="s">
        <v>1239</v>
      </c>
      <c r="H3267" s="24" t="s">
        <v>27</v>
      </c>
      <c r="I3267" s="24" t="s">
        <v>9</v>
      </c>
      <c r="J3267" s="24" t="s">
        <v>24</v>
      </c>
      <c r="K3267" s="24" t="s">
        <v>24</v>
      </c>
      <c r="L3267" s="24" t="s">
        <v>98</v>
      </c>
    </row>
    <row r="3268">
      <c r="A3268" s="24">
        <f t="shared" si="1"/>
        <v>3266</v>
      </c>
      <c r="B3268" s="24" t="s">
        <v>1231</v>
      </c>
      <c r="C3268" s="275">
        <v>43742.0</v>
      </c>
      <c r="D3268" s="24" t="str">
        <f>TEXT(C3260:C3268, "mmm") &amp; "-" &amp; TEXT(C3260:C3268, "yyyy") </f>
        <v>Oct-2019</v>
      </c>
      <c r="E3268" t="s">
        <v>25</v>
      </c>
      <c r="F3268" s="24" t="s">
        <v>35</v>
      </c>
      <c r="G3268" s="24" t="s">
        <v>1239</v>
      </c>
      <c r="H3268" s="24" t="s">
        <v>27</v>
      </c>
      <c r="I3268" s="24" t="s">
        <v>9</v>
      </c>
      <c r="J3268" s="24" t="s">
        <v>24</v>
      </c>
      <c r="K3268" s="24"/>
      <c r="L3268" s="24" t="s">
        <v>106</v>
      </c>
    </row>
    <row r="3269">
      <c r="A3269" s="24">
        <f t="shared" si="1"/>
        <v>3267</v>
      </c>
      <c r="B3269" s="24" t="s">
        <v>1240</v>
      </c>
      <c r="C3269" s="275">
        <v>43750.0</v>
      </c>
      <c r="D3269" s="24" t="str">
        <f t="shared" ref="D3269:D3276" si="290">TEXT(C3262:C3269, "mmm") &amp; "-" &amp; TEXT(C3262:C3269, "yyyy") </f>
        <v>Oct-2019</v>
      </c>
      <c r="E3269" t="s">
        <v>20</v>
      </c>
      <c r="F3269" s="24" t="s">
        <v>287</v>
      </c>
      <c r="G3269" s="24" t="s">
        <v>726</v>
      </c>
      <c r="H3269" s="24" t="s">
        <v>216</v>
      </c>
      <c r="I3269" s="24" t="s">
        <v>9</v>
      </c>
      <c r="J3269" s="24" t="s">
        <v>30</v>
      </c>
      <c r="K3269" s="24" t="s">
        <v>30</v>
      </c>
      <c r="L3269" s="24" t="s">
        <v>37</v>
      </c>
    </row>
    <row r="3270">
      <c r="A3270" s="24">
        <f t="shared" si="1"/>
        <v>3268</v>
      </c>
      <c r="B3270" s="24" t="s">
        <v>1240</v>
      </c>
      <c r="C3270" s="275">
        <v>43750.0</v>
      </c>
      <c r="D3270" s="24" t="str">
        <f t="shared" si="290"/>
        <v>Oct-2019</v>
      </c>
      <c r="E3270" t="s">
        <v>25</v>
      </c>
      <c r="F3270" s="24" t="s">
        <v>287</v>
      </c>
      <c r="G3270" s="24" t="s">
        <v>726</v>
      </c>
      <c r="H3270" s="24" t="s">
        <v>216</v>
      </c>
      <c r="I3270" s="24" t="s">
        <v>9</v>
      </c>
      <c r="J3270" s="24" t="s">
        <v>24</v>
      </c>
      <c r="K3270" s="24"/>
      <c r="L3270" s="24" t="s">
        <v>99</v>
      </c>
    </row>
    <row r="3271">
      <c r="A3271" s="24">
        <f t="shared" si="1"/>
        <v>3269</v>
      </c>
      <c r="B3271" s="24" t="s">
        <v>1240</v>
      </c>
      <c r="C3271" s="275">
        <v>43750.0</v>
      </c>
      <c r="D3271" s="24" t="str">
        <f t="shared" si="290"/>
        <v>Oct-2019</v>
      </c>
      <c r="E3271" t="s">
        <v>32</v>
      </c>
      <c r="F3271" s="24" t="s">
        <v>287</v>
      </c>
      <c r="G3271" s="24" t="s">
        <v>726</v>
      </c>
      <c r="H3271" s="24" t="s">
        <v>216</v>
      </c>
      <c r="I3271" s="24" t="s">
        <v>9</v>
      </c>
      <c r="J3271" s="24" t="s">
        <v>30</v>
      </c>
      <c r="K3271" s="24"/>
      <c r="L3271" s="24" t="s">
        <v>106</v>
      </c>
    </row>
    <row r="3272">
      <c r="A3272" s="24">
        <f t="shared" si="1"/>
        <v>3270</v>
      </c>
      <c r="B3272" s="24" t="s">
        <v>1240</v>
      </c>
      <c r="C3272" s="275">
        <v>43750.0</v>
      </c>
      <c r="D3272" s="24" t="str">
        <f t="shared" si="290"/>
        <v>Oct-2019</v>
      </c>
      <c r="E3272" t="s">
        <v>20</v>
      </c>
      <c r="F3272" s="24" t="s">
        <v>287</v>
      </c>
      <c r="G3272" s="24" t="s">
        <v>239</v>
      </c>
      <c r="H3272" s="24" t="s">
        <v>27</v>
      </c>
      <c r="I3272" s="24" t="s">
        <v>9</v>
      </c>
      <c r="J3272" s="24" t="s">
        <v>24</v>
      </c>
      <c r="K3272" s="24" t="s">
        <v>24</v>
      </c>
      <c r="L3272" s="24" t="s">
        <v>37</v>
      </c>
    </row>
    <row r="3273">
      <c r="A3273" s="24">
        <f t="shared" si="1"/>
        <v>3271</v>
      </c>
      <c r="B3273" s="24" t="s">
        <v>1240</v>
      </c>
      <c r="C3273" s="275">
        <v>43750.0</v>
      </c>
      <c r="D3273" s="24" t="str">
        <f t="shared" si="290"/>
        <v>Oct-2019</v>
      </c>
      <c r="E3273" t="s">
        <v>25</v>
      </c>
      <c r="F3273" s="24" t="s">
        <v>287</v>
      </c>
      <c r="G3273" s="24" t="s">
        <v>239</v>
      </c>
      <c r="H3273" s="24" t="s">
        <v>27</v>
      </c>
      <c r="I3273" s="24" t="s">
        <v>9</v>
      </c>
      <c r="J3273" s="24" t="s">
        <v>24</v>
      </c>
      <c r="K3273" s="24"/>
      <c r="L3273" s="24" t="s">
        <v>98</v>
      </c>
    </row>
    <row r="3274">
      <c r="A3274" s="24">
        <f t="shared" si="1"/>
        <v>3272</v>
      </c>
      <c r="B3274" s="24" t="s">
        <v>1240</v>
      </c>
      <c r="C3274" s="275">
        <v>43750.0</v>
      </c>
      <c r="D3274" s="24" t="str">
        <f t="shared" si="290"/>
        <v>Oct-2019</v>
      </c>
      <c r="E3274" t="s">
        <v>20</v>
      </c>
      <c r="F3274" s="24" t="s">
        <v>287</v>
      </c>
      <c r="G3274" s="24" t="s">
        <v>1243</v>
      </c>
      <c r="H3274" s="24" t="s">
        <v>9</v>
      </c>
      <c r="I3274" s="24" t="s">
        <v>9</v>
      </c>
      <c r="J3274" s="24" t="s">
        <v>30</v>
      </c>
      <c r="K3274" s="24" t="s">
        <v>30</v>
      </c>
      <c r="L3274" s="24" t="s">
        <v>37</v>
      </c>
    </row>
    <row r="3275">
      <c r="A3275" s="24">
        <f t="shared" si="1"/>
        <v>3273</v>
      </c>
      <c r="B3275" s="24" t="s">
        <v>1240</v>
      </c>
      <c r="C3275" s="275">
        <v>43750.0</v>
      </c>
      <c r="D3275" s="24" t="str">
        <f t="shared" si="290"/>
        <v>Oct-2019</v>
      </c>
      <c r="E3275" t="s">
        <v>25</v>
      </c>
      <c r="F3275" s="24" t="s">
        <v>287</v>
      </c>
      <c r="G3275" s="24" t="s">
        <v>1243</v>
      </c>
      <c r="H3275" s="24" t="s">
        <v>9</v>
      </c>
      <c r="I3275" s="24" t="s">
        <v>9</v>
      </c>
      <c r="J3275" s="24" t="s">
        <v>30</v>
      </c>
      <c r="K3275" s="24"/>
      <c r="L3275" s="24" t="s">
        <v>37</v>
      </c>
    </row>
    <row r="3276">
      <c r="A3276" s="24">
        <f t="shared" si="1"/>
        <v>3274</v>
      </c>
      <c r="B3276" s="24" t="s">
        <v>1240</v>
      </c>
      <c r="C3276" s="275">
        <v>43750.0</v>
      </c>
      <c r="D3276" s="24" t="str">
        <f t="shared" si="290"/>
        <v>Oct-2019</v>
      </c>
      <c r="E3276" t="s">
        <v>20</v>
      </c>
      <c r="F3276" s="24" t="s">
        <v>287</v>
      </c>
      <c r="G3276" s="24" t="s">
        <v>839</v>
      </c>
      <c r="H3276" s="24" t="s">
        <v>27</v>
      </c>
      <c r="I3276" s="24" t="s">
        <v>9</v>
      </c>
      <c r="J3276" s="24" t="s">
        <v>30</v>
      </c>
      <c r="K3276" s="24" t="s">
        <v>30</v>
      </c>
      <c r="L3276" s="24" t="s">
        <v>69</v>
      </c>
    </row>
    <row r="3277">
      <c r="A3277" s="24">
        <f t="shared" si="1"/>
        <v>3275</v>
      </c>
      <c r="B3277" s="24" t="s">
        <v>1240</v>
      </c>
      <c r="C3277" s="275">
        <v>43750.0</v>
      </c>
      <c r="D3277" s="24" t="str">
        <f t="shared" ref="D3277:D3712" si="291">TEXT(C3269:C3277, "mmm") &amp; "-" &amp; TEXT(C3269:C3277, "yyyy") </f>
        <v>Oct-2019</v>
      </c>
      <c r="E3277" t="s">
        <v>25</v>
      </c>
      <c r="F3277" s="24" t="s">
        <v>287</v>
      </c>
      <c r="G3277" s="24" t="s">
        <v>839</v>
      </c>
      <c r="H3277" s="24" t="s">
        <v>27</v>
      </c>
      <c r="I3277" s="24" t="s">
        <v>9</v>
      </c>
      <c r="J3277" s="24" t="s">
        <v>30</v>
      </c>
      <c r="K3277" s="24"/>
      <c r="L3277" s="24" t="s">
        <v>106</v>
      </c>
    </row>
    <row r="3278">
      <c r="A3278" s="24">
        <f t="shared" si="1"/>
        <v>3276</v>
      </c>
      <c r="B3278" s="24" t="s">
        <v>1240</v>
      </c>
      <c r="C3278" s="275">
        <v>43750.0</v>
      </c>
      <c r="D3278" s="24" t="str">
        <f t="shared" si="291"/>
        <v>Oct-2019</v>
      </c>
      <c r="E3278" t="s">
        <v>20</v>
      </c>
      <c r="F3278" s="24" t="s">
        <v>287</v>
      </c>
      <c r="G3278" s="24" t="s">
        <v>1244</v>
      </c>
      <c r="H3278" s="24" t="s">
        <v>23</v>
      </c>
      <c r="I3278" s="24" t="s">
        <v>9</v>
      </c>
      <c r="J3278" s="24" t="s">
        <v>30</v>
      </c>
      <c r="K3278" s="24" t="s">
        <v>30</v>
      </c>
      <c r="L3278" s="24" t="s">
        <v>37</v>
      </c>
    </row>
    <row r="3279">
      <c r="A3279" s="24">
        <f t="shared" si="1"/>
        <v>3277</v>
      </c>
      <c r="B3279" s="24" t="s">
        <v>1240</v>
      </c>
      <c r="C3279" s="275">
        <v>43750.0</v>
      </c>
      <c r="D3279" s="24" t="str">
        <f t="shared" si="291"/>
        <v>Oct-2019</v>
      </c>
      <c r="E3279" t="s">
        <v>25</v>
      </c>
      <c r="F3279" s="24" t="s">
        <v>287</v>
      </c>
      <c r="G3279" s="24" t="s">
        <v>1244</v>
      </c>
      <c r="H3279" s="24" t="s">
        <v>23</v>
      </c>
      <c r="I3279" s="24" t="s">
        <v>9</v>
      </c>
      <c r="J3279" s="24" t="s">
        <v>30</v>
      </c>
      <c r="K3279" s="24"/>
      <c r="L3279" s="24" t="s">
        <v>37</v>
      </c>
    </row>
    <row r="3280">
      <c r="A3280" s="24">
        <f t="shared" si="1"/>
        <v>3278</v>
      </c>
      <c r="B3280" s="24" t="s">
        <v>1240</v>
      </c>
      <c r="C3280" s="275">
        <v>43750.0</v>
      </c>
      <c r="D3280" s="24" t="str">
        <f t="shared" si="291"/>
        <v>Oct-2019</v>
      </c>
      <c r="E3280" t="s">
        <v>146</v>
      </c>
      <c r="F3280" s="24" t="s">
        <v>35</v>
      </c>
      <c r="G3280" s="24" t="s">
        <v>1093</v>
      </c>
      <c r="H3280" s="24" t="s">
        <v>86</v>
      </c>
      <c r="I3280" s="24" t="s">
        <v>9</v>
      </c>
      <c r="J3280" s="24" t="s">
        <v>30</v>
      </c>
      <c r="K3280" s="24" t="s">
        <v>30</v>
      </c>
      <c r="L3280" s="24" t="s">
        <v>69</v>
      </c>
    </row>
    <row r="3281">
      <c r="A3281" s="24">
        <f t="shared" si="1"/>
        <v>3279</v>
      </c>
      <c r="B3281" s="24" t="s">
        <v>1240</v>
      </c>
      <c r="C3281" s="275">
        <v>43750.0</v>
      </c>
      <c r="D3281" s="24" t="str">
        <f t="shared" si="291"/>
        <v>Oct-2019</v>
      </c>
      <c r="E3281" t="s">
        <v>149</v>
      </c>
      <c r="F3281" s="24" t="s">
        <v>35</v>
      </c>
      <c r="G3281" s="24" t="s">
        <v>1093</v>
      </c>
      <c r="H3281" s="24" t="s">
        <v>86</v>
      </c>
      <c r="I3281" s="24" t="s">
        <v>9</v>
      </c>
      <c r="J3281" s="24" t="s">
        <v>30</v>
      </c>
      <c r="K3281" s="24"/>
      <c r="L3281" s="24" t="s">
        <v>98</v>
      </c>
    </row>
    <row r="3282">
      <c r="A3282" s="24">
        <f t="shared" si="1"/>
        <v>3280</v>
      </c>
      <c r="B3282" s="24" t="s">
        <v>1240</v>
      </c>
      <c r="C3282" s="275">
        <v>43750.0</v>
      </c>
      <c r="D3282" s="24" t="str">
        <f t="shared" si="291"/>
        <v>Oct-2019</v>
      </c>
      <c r="E3282" t="s">
        <v>222</v>
      </c>
      <c r="F3282" s="24" t="s">
        <v>35</v>
      </c>
      <c r="G3282" s="24" t="s">
        <v>1093</v>
      </c>
      <c r="H3282" s="24" t="s">
        <v>86</v>
      </c>
      <c r="I3282" s="24" t="s">
        <v>9</v>
      </c>
      <c r="J3282" s="24" t="s">
        <v>30</v>
      </c>
      <c r="K3282" s="24"/>
      <c r="L3282" s="24" t="s">
        <v>98</v>
      </c>
    </row>
    <row r="3283">
      <c r="A3283" s="24">
        <f t="shared" si="1"/>
        <v>3281</v>
      </c>
      <c r="B3283" s="24" t="s">
        <v>1240</v>
      </c>
      <c r="C3283" s="275">
        <v>43750.0</v>
      </c>
      <c r="D3283" s="24" t="str">
        <f t="shared" si="291"/>
        <v>Oct-2019</v>
      </c>
      <c r="E3283" t="s">
        <v>146</v>
      </c>
      <c r="F3283" s="24" t="s">
        <v>35</v>
      </c>
      <c r="G3283" s="24" t="s">
        <v>194</v>
      </c>
      <c r="H3283" s="24" t="s">
        <v>23</v>
      </c>
      <c r="I3283" s="24" t="s">
        <v>9</v>
      </c>
      <c r="J3283" s="24" t="s">
        <v>24</v>
      </c>
      <c r="K3283" s="24" t="s">
        <v>24</v>
      </c>
      <c r="L3283" s="24" t="s">
        <v>37</v>
      </c>
    </row>
    <row r="3284">
      <c r="A3284" s="24">
        <f t="shared" si="1"/>
        <v>3282</v>
      </c>
      <c r="B3284" s="24" t="s">
        <v>1240</v>
      </c>
      <c r="C3284" s="275">
        <v>43750.0</v>
      </c>
      <c r="D3284" s="24" t="str">
        <f t="shared" si="291"/>
        <v>Oct-2019</v>
      </c>
      <c r="E3284" t="s">
        <v>149</v>
      </c>
      <c r="F3284" s="24" t="s">
        <v>35</v>
      </c>
      <c r="G3284" s="24" t="s">
        <v>194</v>
      </c>
      <c r="H3284" s="24" t="s">
        <v>27</v>
      </c>
      <c r="I3284" s="24" t="s">
        <v>9</v>
      </c>
      <c r="J3284" s="24" t="s">
        <v>24</v>
      </c>
      <c r="K3284" s="24"/>
      <c r="L3284" s="24" t="s">
        <v>29</v>
      </c>
    </row>
    <row r="3285">
      <c r="A3285" s="24">
        <f t="shared" si="1"/>
        <v>3283</v>
      </c>
      <c r="B3285" s="24" t="s">
        <v>1240</v>
      </c>
      <c r="C3285" s="275">
        <v>43750.0</v>
      </c>
      <c r="D3285" s="24" t="str">
        <f t="shared" si="291"/>
        <v>Oct-2019</v>
      </c>
      <c r="E3285" t="s">
        <v>222</v>
      </c>
      <c r="F3285" s="24" t="s">
        <v>35</v>
      </c>
      <c r="G3285" s="24" t="s">
        <v>194</v>
      </c>
      <c r="H3285" s="24" t="s">
        <v>27</v>
      </c>
      <c r="I3285" s="24" t="s">
        <v>9</v>
      </c>
      <c r="J3285" s="24" t="s">
        <v>30</v>
      </c>
      <c r="K3285" s="24"/>
      <c r="L3285" s="24" t="s">
        <v>106</v>
      </c>
    </row>
    <row r="3286">
      <c r="A3286" s="24">
        <f t="shared" si="1"/>
        <v>3284</v>
      </c>
      <c r="B3286" s="24" t="s">
        <v>1240</v>
      </c>
      <c r="C3286" s="275">
        <v>43750.0</v>
      </c>
      <c r="D3286" s="24" t="str">
        <f t="shared" si="291"/>
        <v>Oct-2019</v>
      </c>
      <c r="E3286" t="s">
        <v>467</v>
      </c>
      <c r="F3286" s="24" t="s">
        <v>35</v>
      </c>
      <c r="G3286" s="24" t="s">
        <v>194</v>
      </c>
      <c r="H3286" s="24" t="s">
        <v>23</v>
      </c>
      <c r="I3286" s="24" t="s">
        <v>9</v>
      </c>
      <c r="J3286" s="24" t="s">
        <v>24</v>
      </c>
      <c r="K3286" s="24"/>
      <c r="L3286" s="24" t="s">
        <v>69</v>
      </c>
    </row>
    <row r="3287">
      <c r="A3287" s="24">
        <f t="shared" si="1"/>
        <v>3285</v>
      </c>
      <c r="B3287" s="24" t="s">
        <v>1240</v>
      </c>
      <c r="C3287" s="275">
        <v>43750.0</v>
      </c>
      <c r="D3287" s="24" t="str">
        <f t="shared" si="291"/>
        <v>Oct-2019</v>
      </c>
      <c r="E3287" t="s">
        <v>146</v>
      </c>
      <c r="F3287" s="24" t="s">
        <v>35</v>
      </c>
      <c r="G3287" s="24" t="s">
        <v>407</v>
      </c>
      <c r="H3287" s="24" t="s">
        <v>44</v>
      </c>
      <c r="I3287" s="24" t="s">
        <v>9</v>
      </c>
      <c r="J3287" s="24" t="s">
        <v>30</v>
      </c>
      <c r="K3287" s="24" t="s">
        <v>30</v>
      </c>
      <c r="L3287" s="24" t="s">
        <v>69</v>
      </c>
    </row>
    <row r="3288">
      <c r="A3288" s="24">
        <f t="shared" si="1"/>
        <v>3286</v>
      </c>
      <c r="B3288" s="24" t="s">
        <v>1240</v>
      </c>
      <c r="C3288" s="275">
        <v>43750.0</v>
      </c>
      <c r="D3288" s="24" t="str">
        <f t="shared" si="291"/>
        <v>Oct-2019</v>
      </c>
      <c r="E3288" t="s">
        <v>149</v>
      </c>
      <c r="F3288" s="24" t="s">
        <v>35</v>
      </c>
      <c r="G3288" s="24" t="s">
        <v>407</v>
      </c>
      <c r="H3288" s="24" t="s">
        <v>44</v>
      </c>
      <c r="I3288" s="24" t="s">
        <v>9</v>
      </c>
      <c r="J3288" s="24" t="s">
        <v>30</v>
      </c>
      <c r="K3288" s="24"/>
      <c r="L3288" s="24" t="s">
        <v>29</v>
      </c>
    </row>
    <row r="3289">
      <c r="A3289" s="24">
        <f t="shared" si="1"/>
        <v>3287</v>
      </c>
      <c r="B3289" s="24" t="s">
        <v>1240</v>
      </c>
      <c r="C3289" s="275">
        <v>43750.0</v>
      </c>
      <c r="D3289" s="24" t="str">
        <f t="shared" si="291"/>
        <v>Oct-2019</v>
      </c>
      <c r="E3289" t="s">
        <v>222</v>
      </c>
      <c r="F3289" s="24" t="s">
        <v>35</v>
      </c>
      <c r="G3289" s="24" t="s">
        <v>407</v>
      </c>
      <c r="H3289" s="24" t="s">
        <v>44</v>
      </c>
      <c r="I3289" s="24" t="s">
        <v>9</v>
      </c>
      <c r="J3289" s="24" t="s">
        <v>30</v>
      </c>
      <c r="K3289" s="24"/>
      <c r="L3289" s="24" t="s">
        <v>69</v>
      </c>
    </row>
    <row r="3290">
      <c r="A3290" s="24">
        <f t="shared" si="1"/>
        <v>3288</v>
      </c>
      <c r="B3290" s="24" t="s">
        <v>1240</v>
      </c>
      <c r="C3290" s="275">
        <v>43750.0</v>
      </c>
      <c r="D3290" s="24" t="str">
        <f t="shared" si="291"/>
        <v>Oct-2019</v>
      </c>
      <c r="E3290" t="s">
        <v>146</v>
      </c>
      <c r="F3290" s="24" t="s">
        <v>35</v>
      </c>
      <c r="G3290" s="24" t="s">
        <v>497</v>
      </c>
      <c r="H3290" s="24" t="s">
        <v>9</v>
      </c>
      <c r="I3290" s="24" t="s">
        <v>9</v>
      </c>
      <c r="J3290" s="24" t="s">
        <v>24</v>
      </c>
      <c r="K3290" s="24" t="s">
        <v>24</v>
      </c>
      <c r="L3290" s="24" t="s">
        <v>69</v>
      </c>
    </row>
    <row r="3291">
      <c r="A3291" s="24">
        <f t="shared" si="1"/>
        <v>3289</v>
      </c>
      <c r="B3291" s="24" t="s">
        <v>1240</v>
      </c>
      <c r="C3291" s="275">
        <v>43750.0</v>
      </c>
      <c r="D3291" s="24" t="str">
        <f t="shared" si="291"/>
        <v>Oct-2019</v>
      </c>
      <c r="E3291" t="s">
        <v>149</v>
      </c>
      <c r="F3291" s="24" t="s">
        <v>35</v>
      </c>
      <c r="G3291" s="24" t="s">
        <v>497</v>
      </c>
      <c r="H3291" s="24" t="s">
        <v>9</v>
      </c>
      <c r="I3291" s="24" t="s">
        <v>9</v>
      </c>
      <c r="J3291" s="24" t="s">
        <v>24</v>
      </c>
      <c r="K3291" s="24"/>
      <c r="L3291" s="24" t="s">
        <v>106</v>
      </c>
    </row>
    <row r="3292">
      <c r="A3292" s="24">
        <f t="shared" si="1"/>
        <v>3290</v>
      </c>
      <c r="B3292" s="24" t="s">
        <v>1240</v>
      </c>
      <c r="C3292" s="275">
        <v>43750.0</v>
      </c>
      <c r="D3292" s="24" t="str">
        <f t="shared" si="291"/>
        <v>Oct-2019</v>
      </c>
      <c r="E3292" t="s">
        <v>222</v>
      </c>
      <c r="F3292" s="24" t="s">
        <v>35</v>
      </c>
      <c r="G3292" s="24" t="s">
        <v>497</v>
      </c>
      <c r="H3292" s="24" t="s">
        <v>9</v>
      </c>
      <c r="I3292" s="24" t="s">
        <v>9</v>
      </c>
      <c r="J3292" s="24" t="s">
        <v>30</v>
      </c>
      <c r="K3292" s="24"/>
      <c r="L3292" s="24" t="s">
        <v>69</v>
      </c>
    </row>
    <row r="3293">
      <c r="A3293" s="24">
        <f t="shared" si="1"/>
        <v>3291</v>
      </c>
      <c r="B3293" s="24" t="s">
        <v>1240</v>
      </c>
      <c r="C3293" s="275">
        <v>43750.0</v>
      </c>
      <c r="D3293" s="24" t="str">
        <f t="shared" si="291"/>
        <v>Oct-2019</v>
      </c>
      <c r="E3293" t="s">
        <v>467</v>
      </c>
      <c r="F3293" s="24" t="s">
        <v>35</v>
      </c>
      <c r="G3293" s="24" t="s">
        <v>497</v>
      </c>
      <c r="H3293" s="24" t="s">
        <v>9</v>
      </c>
      <c r="I3293" s="24" t="s">
        <v>9</v>
      </c>
      <c r="J3293" s="24" t="s">
        <v>24</v>
      </c>
      <c r="K3293" s="24"/>
      <c r="L3293" s="24" t="s">
        <v>98</v>
      </c>
    </row>
    <row r="3294">
      <c r="D3294" s="24" t="str">
        <f t="shared" si="291"/>
        <v>Dec-1899</v>
      </c>
    </row>
    <row r="3295">
      <c r="D3295" s="24" t="str">
        <f t="shared" si="291"/>
        <v>Dec-1899</v>
      </c>
    </row>
    <row r="3296">
      <c r="D3296" s="24" t="str">
        <f t="shared" si="291"/>
        <v>Dec-1899</v>
      </c>
    </row>
    <row r="3297">
      <c r="D3297" s="24" t="str">
        <f t="shared" si="291"/>
        <v>Dec-1899</v>
      </c>
    </row>
    <row r="3298">
      <c r="D3298" s="24" t="str">
        <f t="shared" si="291"/>
        <v>Dec-1899</v>
      </c>
    </row>
    <row r="3299">
      <c r="D3299" s="24" t="str">
        <f t="shared" si="291"/>
        <v>Dec-1899</v>
      </c>
    </row>
    <row r="3300">
      <c r="D3300" s="24" t="str">
        <f t="shared" si="291"/>
        <v>Dec-1899</v>
      </c>
    </row>
    <row r="3301">
      <c r="D3301" s="24" t="str">
        <f t="shared" si="291"/>
        <v>Dec-1899</v>
      </c>
    </row>
    <row r="3302">
      <c r="D3302" s="24" t="str">
        <f t="shared" si="291"/>
        <v>Dec-1899</v>
      </c>
    </row>
    <row r="3303">
      <c r="D3303" s="24" t="str">
        <f t="shared" si="291"/>
        <v>Dec-1899</v>
      </c>
    </row>
    <row r="3304">
      <c r="D3304" s="24" t="str">
        <f t="shared" si="291"/>
        <v>Dec-1899</v>
      </c>
    </row>
    <row r="3305">
      <c r="D3305" s="24" t="str">
        <f t="shared" si="291"/>
        <v>Dec-1899</v>
      </c>
    </row>
    <row r="3306">
      <c r="D3306" s="24" t="str">
        <f t="shared" si="291"/>
        <v>Dec-1899</v>
      </c>
    </row>
    <row r="3307">
      <c r="D3307" s="24" t="str">
        <f t="shared" si="291"/>
        <v>Dec-1899</v>
      </c>
    </row>
    <row r="3308">
      <c r="D3308" s="24" t="str">
        <f t="shared" si="291"/>
        <v>Dec-1899</v>
      </c>
    </row>
    <row r="3309">
      <c r="D3309" s="24" t="str">
        <f t="shared" si="291"/>
        <v>Dec-1899</v>
      </c>
    </row>
    <row r="3310">
      <c r="D3310" s="24" t="str">
        <f t="shared" si="291"/>
        <v>Dec-1899</v>
      </c>
    </row>
    <row r="3311">
      <c r="D3311" s="24" t="str">
        <f t="shared" si="291"/>
        <v>Dec-1899</v>
      </c>
    </row>
    <row r="3312">
      <c r="D3312" s="24" t="str">
        <f t="shared" si="291"/>
        <v>Dec-1899</v>
      </c>
    </row>
    <row r="3313">
      <c r="D3313" s="24" t="str">
        <f t="shared" si="291"/>
        <v>Dec-1899</v>
      </c>
    </row>
    <row r="3314">
      <c r="D3314" s="24" t="str">
        <f t="shared" si="291"/>
        <v>Dec-1899</v>
      </c>
    </row>
    <row r="3315">
      <c r="D3315" s="24" t="str">
        <f t="shared" si="291"/>
        <v>Dec-1899</v>
      </c>
    </row>
    <row r="3316">
      <c r="D3316" s="24" t="str">
        <f t="shared" si="291"/>
        <v>Dec-1899</v>
      </c>
    </row>
    <row r="3317">
      <c r="D3317" s="24" t="str">
        <f t="shared" si="291"/>
        <v>Dec-1899</v>
      </c>
    </row>
    <row r="3318">
      <c r="D3318" s="24" t="str">
        <f t="shared" si="291"/>
        <v>Dec-1899</v>
      </c>
    </row>
    <row r="3319">
      <c r="D3319" s="24" t="str">
        <f t="shared" si="291"/>
        <v>Dec-1899</v>
      </c>
    </row>
    <row r="3320">
      <c r="D3320" s="24" t="str">
        <f t="shared" si="291"/>
        <v>Dec-1899</v>
      </c>
    </row>
    <row r="3321">
      <c r="D3321" s="24" t="str">
        <f t="shared" si="291"/>
        <v>Dec-1899</v>
      </c>
    </row>
    <row r="3322">
      <c r="D3322" s="24" t="str">
        <f t="shared" si="291"/>
        <v>Dec-1899</v>
      </c>
    </row>
    <row r="3323">
      <c r="D3323" s="24" t="str">
        <f t="shared" si="291"/>
        <v>Dec-1899</v>
      </c>
    </row>
    <row r="3324">
      <c r="D3324" s="24" t="str">
        <f t="shared" si="291"/>
        <v>Dec-1899</v>
      </c>
    </row>
    <row r="3325">
      <c r="D3325" s="24" t="str">
        <f t="shared" si="291"/>
        <v>Dec-1899</v>
      </c>
    </row>
    <row r="3326">
      <c r="D3326" s="24" t="str">
        <f t="shared" si="291"/>
        <v>Dec-1899</v>
      </c>
    </row>
    <row r="3327">
      <c r="D3327" s="24" t="str">
        <f t="shared" si="291"/>
        <v>Dec-1899</v>
      </c>
    </row>
    <row r="3328">
      <c r="D3328" s="24" t="str">
        <f t="shared" si="291"/>
        <v>Dec-1899</v>
      </c>
    </row>
    <row r="3329">
      <c r="D3329" s="24" t="str">
        <f t="shared" si="291"/>
        <v>Dec-1899</v>
      </c>
    </row>
    <row r="3330">
      <c r="D3330" s="24" t="str">
        <f t="shared" si="291"/>
        <v>Dec-1899</v>
      </c>
    </row>
    <row r="3331">
      <c r="D3331" s="24" t="str">
        <f t="shared" si="291"/>
        <v>Dec-1899</v>
      </c>
    </row>
    <row r="3332">
      <c r="D3332" s="24" t="str">
        <f t="shared" si="291"/>
        <v>Dec-1899</v>
      </c>
    </row>
    <row r="3333">
      <c r="D3333" s="24" t="str">
        <f t="shared" si="291"/>
        <v>Dec-1899</v>
      </c>
    </row>
    <row r="3334">
      <c r="D3334" s="24" t="str">
        <f t="shared" si="291"/>
        <v>Dec-1899</v>
      </c>
    </row>
    <row r="3335">
      <c r="D3335" s="24" t="str">
        <f t="shared" si="291"/>
        <v>Dec-1899</v>
      </c>
    </row>
    <row r="3336">
      <c r="D3336" s="24" t="str">
        <f t="shared" si="291"/>
        <v>Dec-1899</v>
      </c>
    </row>
    <row r="3337">
      <c r="D3337" s="24" t="str">
        <f t="shared" si="291"/>
        <v>Dec-1899</v>
      </c>
    </row>
    <row r="3338">
      <c r="D3338" s="24" t="str">
        <f t="shared" si="291"/>
        <v>Dec-1899</v>
      </c>
    </row>
    <row r="3339">
      <c r="D3339" s="24" t="str">
        <f t="shared" si="291"/>
        <v>Dec-1899</v>
      </c>
    </row>
    <row r="3340">
      <c r="D3340" s="24" t="str">
        <f t="shared" si="291"/>
        <v>Dec-1899</v>
      </c>
    </row>
    <row r="3341">
      <c r="D3341" s="24" t="str">
        <f t="shared" si="291"/>
        <v>Dec-1899</v>
      </c>
    </row>
    <row r="3342">
      <c r="D3342" s="24" t="str">
        <f t="shared" si="291"/>
        <v>Dec-1899</v>
      </c>
    </row>
    <row r="3343">
      <c r="D3343" s="24" t="str">
        <f t="shared" si="291"/>
        <v>Dec-1899</v>
      </c>
    </row>
    <row r="3344">
      <c r="D3344" s="24" t="str">
        <f t="shared" si="291"/>
        <v>Dec-1899</v>
      </c>
    </row>
    <row r="3345">
      <c r="D3345" s="24" t="str">
        <f t="shared" si="291"/>
        <v>Dec-1899</v>
      </c>
    </row>
    <row r="3346">
      <c r="D3346" s="24" t="str">
        <f t="shared" si="291"/>
        <v>Dec-1899</v>
      </c>
    </row>
    <row r="3347">
      <c r="D3347" s="24" t="str">
        <f t="shared" si="291"/>
        <v>Dec-1899</v>
      </c>
    </row>
    <row r="3348">
      <c r="D3348" s="24" t="str">
        <f t="shared" si="291"/>
        <v>Dec-1899</v>
      </c>
    </row>
    <row r="3349">
      <c r="D3349" s="24" t="str">
        <f t="shared" si="291"/>
        <v>Dec-1899</v>
      </c>
    </row>
    <row r="3350">
      <c r="D3350" s="24" t="str">
        <f t="shared" si="291"/>
        <v>Dec-1899</v>
      </c>
    </row>
    <row r="3351">
      <c r="D3351" s="24" t="str">
        <f t="shared" si="291"/>
        <v>Dec-1899</v>
      </c>
    </row>
    <row r="3352">
      <c r="D3352" s="24" t="str">
        <f t="shared" si="291"/>
        <v>Dec-1899</v>
      </c>
    </row>
    <row r="3353">
      <c r="D3353" s="24" t="str">
        <f t="shared" si="291"/>
        <v>Dec-1899</v>
      </c>
    </row>
    <row r="3354">
      <c r="D3354" s="24" t="str">
        <f t="shared" si="291"/>
        <v>Dec-1899</v>
      </c>
    </row>
    <row r="3355">
      <c r="D3355" s="24" t="str">
        <f t="shared" si="291"/>
        <v>Dec-1899</v>
      </c>
    </row>
    <row r="3356">
      <c r="D3356" s="24" t="str">
        <f t="shared" si="291"/>
        <v>Dec-1899</v>
      </c>
    </row>
    <row r="3357">
      <c r="D3357" s="24" t="str">
        <f t="shared" si="291"/>
        <v>Dec-1899</v>
      </c>
    </row>
    <row r="3358">
      <c r="D3358" s="24" t="str">
        <f t="shared" si="291"/>
        <v>Dec-1899</v>
      </c>
    </row>
    <row r="3359">
      <c r="D3359" s="24" t="str">
        <f t="shared" si="291"/>
        <v>Dec-1899</v>
      </c>
    </row>
    <row r="3360">
      <c r="D3360" s="24" t="str">
        <f t="shared" si="291"/>
        <v>Dec-1899</v>
      </c>
    </row>
    <row r="3361">
      <c r="D3361" s="24" t="str">
        <f t="shared" si="291"/>
        <v>Dec-1899</v>
      </c>
    </row>
    <row r="3362">
      <c r="D3362" s="24" t="str">
        <f t="shared" si="291"/>
        <v>Dec-1899</v>
      </c>
    </row>
    <row r="3363">
      <c r="D3363" s="24" t="str">
        <f t="shared" si="291"/>
        <v>Dec-1899</v>
      </c>
    </row>
    <row r="3364">
      <c r="D3364" s="24" t="str">
        <f t="shared" si="291"/>
        <v>Dec-1899</v>
      </c>
    </row>
    <row r="3365">
      <c r="D3365" s="24" t="str">
        <f t="shared" si="291"/>
        <v>Dec-1899</v>
      </c>
    </row>
    <row r="3366">
      <c r="D3366" s="24" t="str">
        <f t="shared" si="291"/>
        <v>Dec-1899</v>
      </c>
    </row>
    <row r="3367">
      <c r="D3367" s="24" t="str">
        <f t="shared" si="291"/>
        <v>Dec-1899</v>
      </c>
    </row>
    <row r="3368">
      <c r="D3368" s="24" t="str">
        <f t="shared" si="291"/>
        <v>Dec-1899</v>
      </c>
    </row>
    <row r="3369">
      <c r="D3369" s="24" t="str">
        <f t="shared" si="291"/>
        <v>Dec-1899</v>
      </c>
    </row>
    <row r="3370">
      <c r="D3370" s="24" t="str">
        <f t="shared" si="291"/>
        <v>Dec-1899</v>
      </c>
    </row>
    <row r="3371">
      <c r="D3371" s="24" t="str">
        <f t="shared" si="291"/>
        <v>Dec-1899</v>
      </c>
    </row>
    <row r="3372">
      <c r="D3372" s="24" t="str">
        <f t="shared" si="291"/>
        <v>Dec-1899</v>
      </c>
    </row>
    <row r="3373">
      <c r="D3373" s="24" t="str">
        <f t="shared" si="291"/>
        <v>Dec-1899</v>
      </c>
    </row>
    <row r="3374">
      <c r="D3374" s="24" t="str">
        <f t="shared" si="291"/>
        <v>Dec-1899</v>
      </c>
    </row>
    <row r="3375">
      <c r="D3375" s="24" t="str">
        <f t="shared" si="291"/>
        <v>Dec-1899</v>
      </c>
    </row>
    <row r="3376">
      <c r="D3376" s="24" t="str">
        <f t="shared" si="291"/>
        <v>Dec-1899</v>
      </c>
    </row>
    <row r="3377">
      <c r="D3377" s="24" t="str">
        <f t="shared" si="291"/>
        <v>Dec-1899</v>
      </c>
    </row>
    <row r="3378">
      <c r="D3378" s="24" t="str">
        <f t="shared" si="291"/>
        <v>Dec-1899</v>
      </c>
    </row>
    <row r="3379">
      <c r="D3379" s="24" t="str">
        <f t="shared" si="291"/>
        <v>Dec-1899</v>
      </c>
    </row>
    <row r="3380">
      <c r="D3380" s="24" t="str">
        <f t="shared" si="291"/>
        <v>Dec-1899</v>
      </c>
    </row>
    <row r="3381">
      <c r="D3381" s="24" t="str">
        <f t="shared" si="291"/>
        <v>Dec-1899</v>
      </c>
    </row>
    <row r="3382">
      <c r="D3382" s="24" t="str">
        <f t="shared" si="291"/>
        <v>Dec-1899</v>
      </c>
    </row>
    <row r="3383">
      <c r="D3383" s="24" t="str">
        <f t="shared" si="291"/>
        <v>Dec-1899</v>
      </c>
    </row>
    <row r="3384">
      <c r="D3384" s="24" t="str">
        <f t="shared" si="291"/>
        <v>Dec-1899</v>
      </c>
    </row>
    <row r="3385">
      <c r="D3385" s="24" t="str">
        <f t="shared" si="291"/>
        <v>Dec-1899</v>
      </c>
    </row>
    <row r="3386">
      <c r="D3386" s="24" t="str">
        <f t="shared" si="291"/>
        <v>Dec-1899</v>
      </c>
    </row>
    <row r="3387">
      <c r="D3387" s="24" t="str">
        <f t="shared" si="291"/>
        <v>Dec-1899</v>
      </c>
    </row>
    <row r="3388">
      <c r="D3388" s="24" t="str">
        <f t="shared" si="291"/>
        <v>Dec-1899</v>
      </c>
    </row>
    <row r="3389">
      <c r="D3389" s="24" t="str">
        <f t="shared" si="291"/>
        <v>Dec-1899</v>
      </c>
    </row>
    <row r="3390">
      <c r="D3390" s="24" t="str">
        <f t="shared" si="291"/>
        <v>Dec-1899</v>
      </c>
    </row>
    <row r="3391">
      <c r="D3391" s="24" t="str">
        <f t="shared" si="291"/>
        <v>Dec-1899</v>
      </c>
    </row>
    <row r="3392">
      <c r="D3392" s="24" t="str">
        <f t="shared" si="291"/>
        <v>Dec-1899</v>
      </c>
    </row>
    <row r="3393">
      <c r="D3393" s="24" t="str">
        <f t="shared" si="291"/>
        <v>Dec-1899</v>
      </c>
    </row>
    <row r="3394">
      <c r="D3394" s="24" t="str">
        <f t="shared" si="291"/>
        <v>Dec-1899</v>
      </c>
    </row>
    <row r="3395">
      <c r="D3395" s="24" t="str">
        <f t="shared" si="291"/>
        <v>Dec-1899</v>
      </c>
    </row>
    <row r="3396">
      <c r="D3396" s="24" t="str">
        <f t="shared" si="291"/>
        <v>Dec-1899</v>
      </c>
    </row>
    <row r="3397">
      <c r="D3397" s="24" t="str">
        <f t="shared" si="291"/>
        <v>Dec-1899</v>
      </c>
    </row>
    <row r="3398">
      <c r="D3398" s="24" t="str">
        <f t="shared" si="291"/>
        <v>Dec-1899</v>
      </c>
    </row>
    <row r="3399">
      <c r="D3399" s="24" t="str">
        <f t="shared" si="291"/>
        <v>Dec-1899</v>
      </c>
    </row>
    <row r="3400">
      <c r="D3400" s="24" t="str">
        <f t="shared" si="291"/>
        <v>Dec-1899</v>
      </c>
    </row>
    <row r="3401">
      <c r="D3401" s="24" t="str">
        <f t="shared" si="291"/>
        <v>Dec-1899</v>
      </c>
    </row>
    <row r="3402">
      <c r="D3402" s="24" t="str">
        <f t="shared" si="291"/>
        <v>Dec-1899</v>
      </c>
    </row>
    <row r="3403">
      <c r="D3403" s="24" t="str">
        <f t="shared" si="291"/>
        <v>Dec-1899</v>
      </c>
    </row>
    <row r="3404">
      <c r="D3404" s="24" t="str">
        <f t="shared" si="291"/>
        <v>Dec-1899</v>
      </c>
    </row>
    <row r="3405">
      <c r="D3405" s="24" t="str">
        <f t="shared" si="291"/>
        <v>Dec-1899</v>
      </c>
    </row>
    <row r="3406">
      <c r="D3406" s="24" t="str">
        <f t="shared" si="291"/>
        <v>Dec-1899</v>
      </c>
    </row>
    <row r="3407">
      <c r="D3407" s="24" t="str">
        <f t="shared" si="291"/>
        <v>Dec-1899</v>
      </c>
    </row>
    <row r="3408">
      <c r="D3408" s="24" t="str">
        <f t="shared" si="291"/>
        <v>Dec-1899</v>
      </c>
    </row>
    <row r="3409">
      <c r="D3409" s="24" t="str">
        <f t="shared" si="291"/>
        <v>Dec-1899</v>
      </c>
    </row>
    <row r="3410">
      <c r="D3410" s="24" t="str">
        <f t="shared" si="291"/>
        <v>Dec-1899</v>
      </c>
    </row>
    <row r="3411">
      <c r="D3411" s="24" t="str">
        <f t="shared" si="291"/>
        <v>Dec-1899</v>
      </c>
    </row>
    <row r="3412">
      <c r="D3412" s="24" t="str">
        <f t="shared" si="291"/>
        <v>Dec-1899</v>
      </c>
    </row>
    <row r="3413">
      <c r="D3413" s="24" t="str">
        <f t="shared" si="291"/>
        <v>Dec-1899</v>
      </c>
    </row>
    <row r="3414">
      <c r="D3414" s="24" t="str">
        <f t="shared" si="291"/>
        <v>Dec-1899</v>
      </c>
    </row>
    <row r="3415">
      <c r="D3415" s="24" t="str">
        <f t="shared" si="291"/>
        <v>Dec-1899</v>
      </c>
    </row>
    <row r="3416">
      <c r="D3416" s="24" t="str">
        <f t="shared" si="291"/>
        <v>Dec-1899</v>
      </c>
    </row>
    <row r="3417">
      <c r="D3417" s="24" t="str">
        <f t="shared" si="291"/>
        <v>Dec-1899</v>
      </c>
    </row>
    <row r="3418">
      <c r="D3418" s="24" t="str">
        <f t="shared" si="291"/>
        <v>Dec-1899</v>
      </c>
    </row>
    <row r="3419">
      <c r="D3419" s="24" t="str">
        <f t="shared" si="291"/>
        <v>Dec-1899</v>
      </c>
    </row>
    <row r="3420">
      <c r="D3420" s="24" t="str">
        <f t="shared" si="291"/>
        <v>Dec-1899</v>
      </c>
    </row>
    <row r="3421">
      <c r="D3421" s="24" t="str">
        <f t="shared" si="291"/>
        <v>Dec-1899</v>
      </c>
    </row>
    <row r="3422">
      <c r="D3422" s="24" t="str">
        <f t="shared" si="291"/>
        <v>Dec-1899</v>
      </c>
    </row>
    <row r="3423">
      <c r="D3423" s="24" t="str">
        <f t="shared" si="291"/>
        <v>Dec-1899</v>
      </c>
    </row>
    <row r="3424">
      <c r="D3424" s="24" t="str">
        <f t="shared" si="291"/>
        <v>Dec-1899</v>
      </c>
    </row>
    <row r="3425">
      <c r="D3425" s="24" t="str">
        <f t="shared" si="291"/>
        <v>Dec-1899</v>
      </c>
    </row>
    <row r="3426">
      <c r="D3426" s="24" t="str">
        <f t="shared" si="291"/>
        <v>Dec-1899</v>
      </c>
    </row>
    <row r="3427">
      <c r="D3427" s="24" t="str">
        <f t="shared" si="291"/>
        <v>Dec-1899</v>
      </c>
    </row>
    <row r="3428">
      <c r="D3428" s="24" t="str">
        <f t="shared" si="291"/>
        <v>Dec-1899</v>
      </c>
    </row>
    <row r="3429">
      <c r="D3429" s="24" t="str">
        <f t="shared" si="291"/>
        <v>Dec-1899</v>
      </c>
    </row>
    <row r="3430">
      <c r="D3430" s="24" t="str">
        <f t="shared" si="291"/>
        <v>Dec-1899</v>
      </c>
    </row>
    <row r="3431">
      <c r="D3431" s="24" t="str">
        <f t="shared" si="291"/>
        <v>Dec-1899</v>
      </c>
    </row>
    <row r="3432">
      <c r="D3432" s="24" t="str">
        <f t="shared" si="291"/>
        <v>Dec-1899</v>
      </c>
    </row>
    <row r="3433">
      <c r="D3433" s="24" t="str">
        <f t="shared" si="291"/>
        <v>Dec-1899</v>
      </c>
    </row>
    <row r="3434">
      <c r="D3434" s="24" t="str">
        <f t="shared" si="291"/>
        <v>Dec-1899</v>
      </c>
    </row>
    <row r="3435">
      <c r="D3435" s="24" t="str">
        <f t="shared" si="291"/>
        <v>Dec-1899</v>
      </c>
    </row>
    <row r="3436">
      <c r="D3436" s="24" t="str">
        <f t="shared" si="291"/>
        <v>Dec-1899</v>
      </c>
    </row>
    <row r="3437">
      <c r="D3437" s="24" t="str">
        <f t="shared" si="291"/>
        <v>Dec-1899</v>
      </c>
    </row>
    <row r="3438">
      <c r="D3438" s="24" t="str">
        <f t="shared" si="291"/>
        <v>Dec-1899</v>
      </c>
    </row>
    <row r="3439">
      <c r="D3439" s="24" t="str">
        <f t="shared" si="291"/>
        <v>Dec-1899</v>
      </c>
    </row>
    <row r="3440">
      <c r="D3440" s="24" t="str">
        <f t="shared" si="291"/>
        <v>Dec-1899</v>
      </c>
    </row>
    <row r="3441">
      <c r="D3441" s="24" t="str">
        <f t="shared" si="291"/>
        <v>Dec-1899</v>
      </c>
    </row>
    <row r="3442">
      <c r="D3442" s="24" t="str">
        <f t="shared" si="291"/>
        <v>Dec-1899</v>
      </c>
    </row>
    <row r="3443">
      <c r="D3443" s="24" t="str">
        <f t="shared" si="291"/>
        <v>Dec-1899</v>
      </c>
    </row>
    <row r="3444">
      <c r="D3444" s="24" t="str">
        <f t="shared" si="291"/>
        <v>Dec-1899</v>
      </c>
    </row>
    <row r="3445">
      <c r="D3445" s="24" t="str">
        <f t="shared" si="291"/>
        <v>Dec-1899</v>
      </c>
    </row>
    <row r="3446">
      <c r="D3446" s="24" t="str">
        <f t="shared" si="291"/>
        <v>Dec-1899</v>
      </c>
    </row>
    <row r="3447">
      <c r="D3447" s="24" t="str">
        <f t="shared" si="291"/>
        <v>Dec-1899</v>
      </c>
    </row>
    <row r="3448">
      <c r="D3448" s="24" t="str">
        <f t="shared" si="291"/>
        <v>Dec-1899</v>
      </c>
    </row>
    <row r="3449">
      <c r="D3449" s="24" t="str">
        <f t="shared" si="291"/>
        <v>Dec-1899</v>
      </c>
    </row>
    <row r="3450">
      <c r="D3450" s="24" t="str">
        <f t="shared" si="291"/>
        <v>Dec-1899</v>
      </c>
    </row>
    <row r="3451">
      <c r="D3451" s="24" t="str">
        <f t="shared" si="291"/>
        <v>Dec-1899</v>
      </c>
    </row>
    <row r="3452">
      <c r="D3452" s="24" t="str">
        <f t="shared" si="291"/>
        <v>Dec-1899</v>
      </c>
    </row>
    <row r="3453">
      <c r="D3453" s="24" t="str">
        <f t="shared" si="291"/>
        <v>Dec-1899</v>
      </c>
    </row>
    <row r="3454">
      <c r="D3454" s="24" t="str">
        <f t="shared" si="291"/>
        <v>Dec-1899</v>
      </c>
    </row>
    <row r="3455">
      <c r="D3455" s="24" t="str">
        <f t="shared" si="291"/>
        <v>Dec-1899</v>
      </c>
    </row>
    <row r="3456">
      <c r="D3456" s="24" t="str">
        <f t="shared" si="291"/>
        <v>Dec-1899</v>
      </c>
    </row>
    <row r="3457">
      <c r="D3457" s="24" t="str">
        <f t="shared" si="291"/>
        <v>Dec-1899</v>
      </c>
    </row>
    <row r="3458">
      <c r="D3458" s="24" t="str">
        <f t="shared" si="291"/>
        <v>Dec-1899</v>
      </c>
    </row>
    <row r="3459">
      <c r="D3459" s="24" t="str">
        <f t="shared" si="291"/>
        <v>Dec-1899</v>
      </c>
    </row>
    <row r="3460">
      <c r="D3460" s="24" t="str">
        <f t="shared" si="291"/>
        <v>Dec-1899</v>
      </c>
    </row>
    <row r="3461">
      <c r="D3461" s="24" t="str">
        <f t="shared" si="291"/>
        <v>Dec-1899</v>
      </c>
    </row>
    <row r="3462">
      <c r="D3462" s="24" t="str">
        <f t="shared" si="291"/>
        <v>Dec-1899</v>
      </c>
    </row>
    <row r="3463">
      <c r="D3463" s="24" t="str">
        <f t="shared" si="291"/>
        <v>Dec-1899</v>
      </c>
    </row>
    <row r="3464">
      <c r="D3464" s="24" t="str">
        <f t="shared" si="291"/>
        <v>Dec-1899</v>
      </c>
    </row>
    <row r="3465">
      <c r="D3465" s="24" t="str">
        <f t="shared" si="291"/>
        <v>Dec-1899</v>
      </c>
    </row>
    <row r="3466">
      <c r="D3466" s="24" t="str">
        <f t="shared" si="291"/>
        <v>Dec-1899</v>
      </c>
    </row>
    <row r="3467">
      <c r="D3467" s="24" t="str">
        <f t="shared" si="291"/>
        <v>Dec-1899</v>
      </c>
    </row>
    <row r="3468">
      <c r="D3468" s="24" t="str">
        <f t="shared" si="291"/>
        <v>Dec-1899</v>
      </c>
    </row>
    <row r="3469">
      <c r="D3469" s="24" t="str">
        <f t="shared" si="291"/>
        <v>Dec-1899</v>
      </c>
    </row>
    <row r="3470">
      <c r="D3470" s="24" t="str">
        <f t="shared" si="291"/>
        <v>Dec-1899</v>
      </c>
    </row>
    <row r="3471">
      <c r="D3471" s="24" t="str">
        <f t="shared" si="291"/>
        <v>Dec-1899</v>
      </c>
    </row>
    <row r="3472">
      <c r="D3472" s="24" t="str">
        <f t="shared" si="291"/>
        <v>Dec-1899</v>
      </c>
    </row>
    <row r="3473">
      <c r="D3473" s="24" t="str">
        <f t="shared" si="291"/>
        <v>Dec-1899</v>
      </c>
    </row>
    <row r="3474">
      <c r="D3474" s="24" t="str">
        <f t="shared" si="291"/>
        <v>Dec-1899</v>
      </c>
    </row>
    <row r="3475">
      <c r="D3475" s="24" t="str">
        <f t="shared" si="291"/>
        <v>Dec-1899</v>
      </c>
    </row>
    <row r="3476">
      <c r="D3476" s="24" t="str">
        <f t="shared" si="291"/>
        <v>Dec-1899</v>
      </c>
    </row>
    <row r="3477">
      <c r="D3477" s="24" t="str">
        <f t="shared" si="291"/>
        <v>Dec-1899</v>
      </c>
    </row>
    <row r="3478">
      <c r="D3478" s="24" t="str">
        <f t="shared" si="291"/>
        <v>Dec-1899</v>
      </c>
    </row>
    <row r="3479">
      <c r="D3479" s="24" t="str">
        <f t="shared" si="291"/>
        <v>Dec-1899</v>
      </c>
    </row>
    <row r="3480">
      <c r="D3480" s="24" t="str">
        <f t="shared" si="291"/>
        <v>Dec-1899</v>
      </c>
    </row>
    <row r="3481">
      <c r="D3481" s="24" t="str">
        <f t="shared" si="291"/>
        <v>Dec-1899</v>
      </c>
    </row>
    <row r="3482">
      <c r="D3482" s="24" t="str">
        <f t="shared" si="291"/>
        <v>Dec-1899</v>
      </c>
    </row>
    <row r="3483">
      <c r="D3483" s="24" t="str">
        <f t="shared" si="291"/>
        <v>Dec-1899</v>
      </c>
    </row>
    <row r="3484">
      <c r="D3484" s="24" t="str">
        <f t="shared" si="291"/>
        <v>Dec-1899</v>
      </c>
    </row>
    <row r="3485">
      <c r="D3485" s="24" t="str">
        <f t="shared" si="291"/>
        <v>Dec-1899</v>
      </c>
    </row>
    <row r="3486">
      <c r="D3486" s="24" t="str">
        <f t="shared" si="291"/>
        <v>Dec-1899</v>
      </c>
    </row>
    <row r="3487">
      <c r="D3487" s="24" t="str">
        <f t="shared" si="291"/>
        <v>Dec-1899</v>
      </c>
    </row>
    <row r="3488">
      <c r="D3488" s="24" t="str">
        <f t="shared" si="291"/>
        <v>Dec-1899</v>
      </c>
    </row>
    <row r="3489">
      <c r="D3489" s="24" t="str">
        <f t="shared" si="291"/>
        <v>Dec-1899</v>
      </c>
    </row>
    <row r="3490">
      <c r="D3490" s="24" t="str">
        <f t="shared" si="291"/>
        <v>Dec-1899</v>
      </c>
    </row>
    <row r="3491">
      <c r="D3491" s="24" t="str">
        <f t="shared" si="291"/>
        <v>Dec-1899</v>
      </c>
    </row>
    <row r="3492">
      <c r="D3492" s="24" t="str">
        <f t="shared" si="291"/>
        <v>Dec-1899</v>
      </c>
    </row>
    <row r="3493">
      <c r="D3493" s="24" t="str">
        <f t="shared" si="291"/>
        <v>Dec-1899</v>
      </c>
    </row>
    <row r="3494">
      <c r="D3494" s="24" t="str">
        <f t="shared" si="291"/>
        <v>Dec-1899</v>
      </c>
    </row>
    <row r="3495">
      <c r="D3495" s="24" t="str">
        <f t="shared" si="291"/>
        <v>Dec-1899</v>
      </c>
    </row>
    <row r="3496">
      <c r="D3496" s="24" t="str">
        <f t="shared" si="291"/>
        <v>Dec-1899</v>
      </c>
    </row>
    <row r="3497">
      <c r="D3497" s="24" t="str">
        <f t="shared" si="291"/>
        <v>Dec-1899</v>
      </c>
    </row>
    <row r="3498">
      <c r="D3498" s="24" t="str">
        <f t="shared" si="291"/>
        <v>Dec-1899</v>
      </c>
    </row>
    <row r="3499">
      <c r="D3499" s="24" t="str">
        <f t="shared" si="291"/>
        <v>Dec-1899</v>
      </c>
    </row>
    <row r="3500">
      <c r="D3500" s="24" t="str">
        <f t="shared" si="291"/>
        <v>Dec-1899</v>
      </c>
    </row>
    <row r="3501">
      <c r="D3501" s="24" t="str">
        <f t="shared" si="291"/>
        <v>Dec-1899</v>
      </c>
    </row>
    <row r="3502">
      <c r="D3502" s="24" t="str">
        <f t="shared" si="291"/>
        <v>Dec-1899</v>
      </c>
    </row>
    <row r="3503">
      <c r="D3503" s="24" t="str">
        <f t="shared" si="291"/>
        <v>Dec-1899</v>
      </c>
    </row>
    <row r="3504">
      <c r="D3504" s="24" t="str">
        <f t="shared" si="291"/>
        <v>Dec-1899</v>
      </c>
    </row>
    <row r="3505">
      <c r="D3505" s="24" t="str">
        <f t="shared" si="291"/>
        <v>Dec-1899</v>
      </c>
    </row>
    <row r="3506">
      <c r="D3506" s="24" t="str">
        <f t="shared" si="291"/>
        <v>Dec-1899</v>
      </c>
    </row>
    <row r="3507">
      <c r="D3507" s="24" t="str">
        <f t="shared" si="291"/>
        <v>Dec-1899</v>
      </c>
    </row>
    <row r="3508">
      <c r="D3508" s="24" t="str">
        <f t="shared" si="291"/>
        <v>Dec-1899</v>
      </c>
    </row>
    <row r="3509">
      <c r="D3509" s="24" t="str">
        <f t="shared" si="291"/>
        <v>Dec-1899</v>
      </c>
    </row>
    <row r="3510">
      <c r="D3510" s="24" t="str">
        <f t="shared" si="291"/>
        <v>Dec-1899</v>
      </c>
    </row>
    <row r="3511">
      <c r="D3511" s="24" t="str">
        <f t="shared" si="291"/>
        <v>Dec-1899</v>
      </c>
    </row>
    <row r="3512">
      <c r="D3512" s="24" t="str">
        <f t="shared" si="291"/>
        <v>Dec-1899</v>
      </c>
    </row>
    <row r="3513">
      <c r="D3513" s="24" t="str">
        <f t="shared" si="291"/>
        <v>Dec-1899</v>
      </c>
    </row>
    <row r="3514">
      <c r="D3514" s="24" t="str">
        <f t="shared" si="291"/>
        <v>Dec-1899</v>
      </c>
    </row>
    <row r="3515">
      <c r="D3515" s="24" t="str">
        <f t="shared" si="291"/>
        <v>Dec-1899</v>
      </c>
    </row>
    <row r="3516">
      <c r="D3516" s="24" t="str">
        <f t="shared" si="291"/>
        <v>Dec-1899</v>
      </c>
    </row>
    <row r="3517">
      <c r="D3517" s="24" t="str">
        <f t="shared" si="291"/>
        <v>Dec-1899</v>
      </c>
    </row>
    <row r="3518">
      <c r="D3518" s="24" t="str">
        <f t="shared" si="291"/>
        <v>Dec-1899</v>
      </c>
    </row>
    <row r="3519">
      <c r="D3519" s="24" t="str">
        <f t="shared" si="291"/>
        <v>Dec-1899</v>
      </c>
    </row>
    <row r="3520">
      <c r="D3520" s="24" t="str">
        <f t="shared" si="291"/>
        <v>Dec-1899</v>
      </c>
    </row>
    <row r="3521">
      <c r="D3521" s="24" t="str">
        <f t="shared" si="291"/>
        <v>Dec-1899</v>
      </c>
    </row>
    <row r="3522">
      <c r="D3522" s="24" t="str">
        <f t="shared" si="291"/>
        <v>Dec-1899</v>
      </c>
    </row>
    <row r="3523">
      <c r="D3523" s="24" t="str">
        <f t="shared" si="291"/>
        <v>Dec-1899</v>
      </c>
    </row>
    <row r="3524">
      <c r="D3524" s="24" t="str">
        <f t="shared" si="291"/>
        <v>Dec-1899</v>
      </c>
    </row>
    <row r="3525">
      <c r="D3525" s="24" t="str">
        <f t="shared" si="291"/>
        <v>Dec-1899</v>
      </c>
    </row>
    <row r="3526">
      <c r="D3526" s="24" t="str">
        <f t="shared" si="291"/>
        <v>Dec-1899</v>
      </c>
    </row>
    <row r="3527">
      <c r="D3527" s="24" t="str">
        <f t="shared" si="291"/>
        <v>Dec-1899</v>
      </c>
    </row>
    <row r="3528">
      <c r="D3528" s="24" t="str">
        <f t="shared" si="291"/>
        <v>Dec-1899</v>
      </c>
    </row>
    <row r="3529">
      <c r="D3529" s="24" t="str">
        <f t="shared" si="291"/>
        <v>Dec-1899</v>
      </c>
    </row>
    <row r="3530">
      <c r="D3530" s="24" t="str">
        <f t="shared" si="291"/>
        <v>Dec-1899</v>
      </c>
    </row>
    <row r="3531">
      <c r="D3531" s="24" t="str">
        <f t="shared" si="291"/>
        <v>Dec-1899</v>
      </c>
    </row>
    <row r="3532">
      <c r="D3532" s="24" t="str">
        <f t="shared" si="291"/>
        <v>Dec-1899</v>
      </c>
    </row>
    <row r="3533">
      <c r="D3533" s="24" t="str">
        <f t="shared" si="291"/>
        <v>Dec-1899</v>
      </c>
    </row>
    <row r="3534">
      <c r="D3534" s="24" t="str">
        <f t="shared" si="291"/>
        <v>Dec-1899</v>
      </c>
    </row>
    <row r="3535">
      <c r="D3535" s="24" t="str">
        <f t="shared" si="291"/>
        <v>Dec-1899</v>
      </c>
    </row>
    <row r="3536">
      <c r="D3536" s="24" t="str">
        <f t="shared" si="291"/>
        <v>Dec-1899</v>
      </c>
    </row>
    <row r="3537">
      <c r="D3537" s="24" t="str">
        <f t="shared" si="291"/>
        <v>Dec-1899</v>
      </c>
    </row>
    <row r="3538">
      <c r="D3538" s="24" t="str">
        <f t="shared" si="291"/>
        <v>Dec-1899</v>
      </c>
    </row>
    <row r="3539">
      <c r="D3539" s="24" t="str">
        <f t="shared" si="291"/>
        <v>Dec-1899</v>
      </c>
    </row>
    <row r="3540">
      <c r="D3540" s="24" t="str">
        <f t="shared" si="291"/>
        <v>Dec-1899</v>
      </c>
    </row>
    <row r="3541">
      <c r="D3541" s="24" t="str">
        <f t="shared" si="291"/>
        <v>Dec-1899</v>
      </c>
    </row>
    <row r="3542">
      <c r="D3542" s="24" t="str">
        <f t="shared" si="291"/>
        <v>Dec-1899</v>
      </c>
    </row>
    <row r="3543">
      <c r="D3543" s="24" t="str">
        <f t="shared" si="291"/>
        <v>Dec-1899</v>
      </c>
    </row>
    <row r="3544">
      <c r="D3544" s="24" t="str">
        <f t="shared" si="291"/>
        <v>Dec-1899</v>
      </c>
    </row>
    <row r="3545">
      <c r="D3545" s="24" t="str">
        <f t="shared" si="291"/>
        <v>Dec-1899</v>
      </c>
    </row>
    <row r="3546">
      <c r="D3546" s="24" t="str">
        <f t="shared" si="291"/>
        <v>Dec-1899</v>
      </c>
    </row>
    <row r="3547">
      <c r="D3547" s="24" t="str">
        <f t="shared" si="291"/>
        <v>Dec-1899</v>
      </c>
    </row>
    <row r="3548">
      <c r="D3548" s="24" t="str">
        <f t="shared" si="291"/>
        <v>Dec-1899</v>
      </c>
    </row>
    <row r="3549">
      <c r="D3549" s="24" t="str">
        <f t="shared" si="291"/>
        <v>Dec-1899</v>
      </c>
    </row>
    <row r="3550">
      <c r="D3550" s="24" t="str">
        <f t="shared" si="291"/>
        <v>Dec-1899</v>
      </c>
    </row>
    <row r="3551">
      <c r="D3551" s="24" t="str">
        <f t="shared" si="291"/>
        <v>Dec-1899</v>
      </c>
    </row>
    <row r="3552">
      <c r="D3552" s="24" t="str">
        <f t="shared" si="291"/>
        <v>Dec-1899</v>
      </c>
    </row>
    <row r="3553">
      <c r="D3553" s="24" t="str">
        <f t="shared" si="291"/>
        <v>Dec-1899</v>
      </c>
    </row>
    <row r="3554">
      <c r="D3554" s="24" t="str">
        <f t="shared" si="291"/>
        <v>Dec-1899</v>
      </c>
    </row>
    <row r="3555">
      <c r="D3555" s="24" t="str">
        <f t="shared" si="291"/>
        <v>Dec-1899</v>
      </c>
    </row>
    <row r="3556">
      <c r="D3556" s="24" t="str">
        <f t="shared" si="291"/>
        <v>Dec-1899</v>
      </c>
    </row>
    <row r="3557">
      <c r="D3557" s="24" t="str">
        <f t="shared" si="291"/>
        <v>Dec-1899</v>
      </c>
    </row>
    <row r="3558">
      <c r="D3558" s="24" t="str">
        <f t="shared" si="291"/>
        <v>Dec-1899</v>
      </c>
    </row>
    <row r="3559">
      <c r="D3559" s="24" t="str">
        <f t="shared" si="291"/>
        <v>Dec-1899</v>
      </c>
    </row>
    <row r="3560">
      <c r="D3560" s="24" t="str">
        <f t="shared" si="291"/>
        <v>Dec-1899</v>
      </c>
    </row>
    <row r="3561">
      <c r="D3561" s="24" t="str">
        <f t="shared" si="291"/>
        <v>Dec-1899</v>
      </c>
    </row>
    <row r="3562">
      <c r="D3562" s="24" t="str">
        <f t="shared" si="291"/>
        <v>Dec-1899</v>
      </c>
    </row>
    <row r="3563">
      <c r="D3563" s="24" t="str">
        <f t="shared" si="291"/>
        <v>Dec-1899</v>
      </c>
    </row>
    <row r="3564">
      <c r="D3564" s="24" t="str">
        <f t="shared" si="291"/>
        <v>Dec-1899</v>
      </c>
    </row>
    <row r="3565">
      <c r="D3565" s="24" t="str">
        <f t="shared" si="291"/>
        <v>Dec-1899</v>
      </c>
    </row>
    <row r="3566">
      <c r="D3566" s="24" t="str">
        <f t="shared" si="291"/>
        <v>Dec-1899</v>
      </c>
    </row>
    <row r="3567">
      <c r="D3567" s="24" t="str">
        <f t="shared" si="291"/>
        <v>Dec-1899</v>
      </c>
    </row>
    <row r="3568">
      <c r="D3568" s="24" t="str">
        <f t="shared" si="291"/>
        <v>Dec-1899</v>
      </c>
    </row>
    <row r="3569">
      <c r="D3569" s="24" t="str">
        <f t="shared" si="291"/>
        <v>Dec-1899</v>
      </c>
    </row>
    <row r="3570">
      <c r="D3570" s="24" t="str">
        <f t="shared" si="291"/>
        <v>Dec-1899</v>
      </c>
    </row>
    <row r="3571">
      <c r="D3571" s="24" t="str">
        <f t="shared" si="291"/>
        <v>Dec-1899</v>
      </c>
    </row>
    <row r="3572">
      <c r="D3572" s="24" t="str">
        <f t="shared" si="291"/>
        <v>Dec-1899</v>
      </c>
    </row>
    <row r="3573">
      <c r="D3573" s="24" t="str">
        <f t="shared" si="291"/>
        <v>Dec-1899</v>
      </c>
    </row>
    <row r="3574">
      <c r="D3574" s="24" t="str">
        <f t="shared" si="291"/>
        <v>Dec-1899</v>
      </c>
    </row>
    <row r="3575">
      <c r="D3575" s="24" t="str">
        <f t="shared" si="291"/>
        <v>Dec-1899</v>
      </c>
    </row>
    <row r="3576">
      <c r="D3576" s="24" t="str">
        <f t="shared" si="291"/>
        <v>Dec-1899</v>
      </c>
    </row>
    <row r="3577">
      <c r="D3577" s="24" t="str">
        <f t="shared" si="291"/>
        <v>Dec-1899</v>
      </c>
    </row>
    <row r="3578">
      <c r="D3578" s="24" t="str">
        <f t="shared" si="291"/>
        <v>Dec-1899</v>
      </c>
    </row>
    <row r="3579">
      <c r="D3579" s="24" t="str">
        <f t="shared" si="291"/>
        <v>Dec-1899</v>
      </c>
    </row>
    <row r="3580">
      <c r="D3580" s="24" t="str">
        <f t="shared" si="291"/>
        <v>Dec-1899</v>
      </c>
    </row>
    <row r="3581">
      <c r="D3581" s="24" t="str">
        <f t="shared" si="291"/>
        <v>Dec-1899</v>
      </c>
    </row>
    <row r="3582">
      <c r="D3582" s="24" t="str">
        <f t="shared" si="291"/>
        <v>Dec-1899</v>
      </c>
    </row>
    <row r="3583">
      <c r="D3583" s="24" t="str">
        <f t="shared" si="291"/>
        <v>Dec-1899</v>
      </c>
    </row>
    <row r="3584">
      <c r="D3584" s="24" t="str">
        <f t="shared" si="291"/>
        <v>Dec-1899</v>
      </c>
    </row>
    <row r="3585">
      <c r="D3585" s="24" t="str">
        <f t="shared" si="291"/>
        <v>Dec-1899</v>
      </c>
    </row>
    <row r="3586">
      <c r="D3586" s="24" t="str">
        <f t="shared" si="291"/>
        <v>Dec-1899</v>
      </c>
    </row>
    <row r="3587">
      <c r="D3587" s="24" t="str">
        <f t="shared" si="291"/>
        <v>Dec-1899</v>
      </c>
    </row>
    <row r="3588">
      <c r="D3588" s="24" t="str">
        <f t="shared" si="291"/>
        <v>Dec-1899</v>
      </c>
    </row>
    <row r="3589">
      <c r="D3589" s="24" t="str">
        <f t="shared" si="291"/>
        <v>Dec-1899</v>
      </c>
    </row>
    <row r="3590">
      <c r="D3590" s="24" t="str">
        <f t="shared" si="291"/>
        <v>Dec-1899</v>
      </c>
    </row>
    <row r="3591">
      <c r="D3591" s="24" t="str">
        <f t="shared" si="291"/>
        <v>Dec-1899</v>
      </c>
    </row>
    <row r="3592">
      <c r="D3592" s="24" t="str">
        <f t="shared" si="291"/>
        <v>Dec-1899</v>
      </c>
    </row>
    <row r="3593">
      <c r="D3593" s="24" t="str">
        <f t="shared" si="291"/>
        <v>Dec-1899</v>
      </c>
    </row>
    <row r="3594">
      <c r="D3594" s="24" t="str">
        <f t="shared" si="291"/>
        <v>Dec-1899</v>
      </c>
    </row>
    <row r="3595">
      <c r="D3595" s="24" t="str">
        <f t="shared" si="291"/>
        <v>Dec-1899</v>
      </c>
    </row>
    <row r="3596">
      <c r="D3596" s="24" t="str">
        <f t="shared" si="291"/>
        <v>Dec-1899</v>
      </c>
    </row>
    <row r="3597">
      <c r="D3597" s="24" t="str">
        <f t="shared" si="291"/>
        <v>Dec-1899</v>
      </c>
    </row>
    <row r="3598">
      <c r="D3598" s="24" t="str">
        <f t="shared" si="291"/>
        <v>Dec-1899</v>
      </c>
    </row>
    <row r="3599">
      <c r="D3599" s="24" t="str">
        <f t="shared" si="291"/>
        <v>Dec-1899</v>
      </c>
    </row>
    <row r="3600">
      <c r="D3600" s="24" t="str">
        <f t="shared" si="291"/>
        <v>Dec-1899</v>
      </c>
    </row>
    <row r="3601">
      <c r="D3601" s="24" t="str">
        <f t="shared" si="291"/>
        <v>Dec-1899</v>
      </c>
    </row>
    <row r="3602">
      <c r="D3602" s="24" t="str">
        <f t="shared" si="291"/>
        <v>Dec-1899</v>
      </c>
    </row>
    <row r="3603">
      <c r="D3603" s="24" t="str">
        <f t="shared" si="291"/>
        <v>Dec-1899</v>
      </c>
    </row>
    <row r="3604">
      <c r="D3604" s="24" t="str">
        <f t="shared" si="291"/>
        <v>Dec-1899</v>
      </c>
    </row>
    <row r="3605">
      <c r="D3605" s="24" t="str">
        <f t="shared" si="291"/>
        <v>Dec-1899</v>
      </c>
    </row>
    <row r="3606">
      <c r="D3606" s="24" t="str">
        <f t="shared" si="291"/>
        <v>Dec-1899</v>
      </c>
    </row>
    <row r="3607">
      <c r="D3607" s="24" t="str">
        <f t="shared" si="291"/>
        <v>Dec-1899</v>
      </c>
    </row>
    <row r="3608">
      <c r="D3608" s="24" t="str">
        <f t="shared" si="291"/>
        <v>Dec-1899</v>
      </c>
    </row>
    <row r="3609">
      <c r="D3609" s="24" t="str">
        <f t="shared" si="291"/>
        <v>Dec-1899</v>
      </c>
    </row>
    <row r="3610">
      <c r="D3610" s="24" t="str">
        <f t="shared" si="291"/>
        <v>Dec-1899</v>
      </c>
    </row>
    <row r="3611">
      <c r="D3611" s="24" t="str">
        <f t="shared" si="291"/>
        <v>Dec-1899</v>
      </c>
    </row>
    <row r="3612">
      <c r="D3612" s="24" t="str">
        <f t="shared" si="291"/>
        <v>Dec-1899</v>
      </c>
    </row>
    <row r="3613">
      <c r="D3613" s="24" t="str">
        <f t="shared" si="291"/>
        <v>Dec-1899</v>
      </c>
    </row>
    <row r="3614">
      <c r="D3614" s="24" t="str">
        <f t="shared" si="291"/>
        <v>Dec-1899</v>
      </c>
    </row>
    <row r="3615">
      <c r="D3615" s="24" t="str">
        <f t="shared" si="291"/>
        <v>Dec-1899</v>
      </c>
    </row>
    <row r="3616">
      <c r="D3616" s="24" t="str">
        <f t="shared" si="291"/>
        <v>Dec-1899</v>
      </c>
    </row>
    <row r="3617">
      <c r="D3617" s="24" t="str">
        <f t="shared" si="291"/>
        <v>Dec-1899</v>
      </c>
    </row>
    <row r="3618">
      <c r="D3618" s="24" t="str">
        <f t="shared" si="291"/>
        <v>Dec-1899</v>
      </c>
    </row>
    <row r="3619">
      <c r="D3619" s="24" t="str">
        <f t="shared" si="291"/>
        <v>Dec-1899</v>
      </c>
    </row>
    <row r="3620">
      <c r="D3620" s="24" t="str">
        <f t="shared" si="291"/>
        <v>Dec-1899</v>
      </c>
    </row>
    <row r="3621">
      <c r="D3621" s="24" t="str">
        <f t="shared" si="291"/>
        <v>Dec-1899</v>
      </c>
    </row>
    <row r="3622">
      <c r="D3622" s="24" t="str">
        <f t="shared" si="291"/>
        <v>Dec-1899</v>
      </c>
    </row>
    <row r="3623">
      <c r="D3623" s="24" t="str">
        <f t="shared" si="291"/>
        <v>Dec-1899</v>
      </c>
    </row>
    <row r="3624">
      <c r="D3624" s="24" t="str">
        <f t="shared" si="291"/>
        <v>Dec-1899</v>
      </c>
    </row>
    <row r="3625">
      <c r="D3625" s="24" t="str">
        <f t="shared" si="291"/>
        <v>Dec-1899</v>
      </c>
    </row>
    <row r="3626">
      <c r="D3626" s="24" t="str">
        <f t="shared" si="291"/>
        <v>Dec-1899</v>
      </c>
    </row>
    <row r="3627">
      <c r="D3627" s="24" t="str">
        <f t="shared" si="291"/>
        <v>Dec-1899</v>
      </c>
    </row>
    <row r="3628">
      <c r="D3628" s="24" t="str">
        <f t="shared" si="291"/>
        <v>Dec-1899</v>
      </c>
    </row>
    <row r="3629">
      <c r="D3629" s="24" t="str">
        <f t="shared" si="291"/>
        <v>Dec-1899</v>
      </c>
    </row>
    <row r="3630">
      <c r="D3630" s="24" t="str">
        <f t="shared" si="291"/>
        <v>Dec-1899</v>
      </c>
    </row>
    <row r="3631">
      <c r="D3631" s="24" t="str">
        <f t="shared" si="291"/>
        <v>Dec-1899</v>
      </c>
    </row>
    <row r="3632">
      <c r="D3632" s="24" t="str">
        <f t="shared" si="291"/>
        <v>Dec-1899</v>
      </c>
    </row>
    <row r="3633">
      <c r="D3633" s="24" t="str">
        <f t="shared" si="291"/>
        <v>Dec-1899</v>
      </c>
    </row>
    <row r="3634">
      <c r="D3634" s="24" t="str">
        <f t="shared" si="291"/>
        <v>Dec-1899</v>
      </c>
    </row>
    <row r="3635">
      <c r="D3635" s="24" t="str">
        <f t="shared" si="291"/>
        <v>Dec-1899</v>
      </c>
    </row>
    <row r="3636">
      <c r="D3636" s="24" t="str">
        <f t="shared" si="291"/>
        <v>Dec-1899</v>
      </c>
    </row>
    <row r="3637">
      <c r="D3637" s="24" t="str">
        <f t="shared" si="291"/>
        <v>Dec-1899</v>
      </c>
    </row>
    <row r="3638">
      <c r="D3638" s="24" t="str">
        <f t="shared" si="291"/>
        <v>Dec-1899</v>
      </c>
    </row>
    <row r="3639">
      <c r="D3639" s="24" t="str">
        <f t="shared" si="291"/>
        <v>Dec-1899</v>
      </c>
    </row>
    <row r="3640">
      <c r="D3640" s="24" t="str">
        <f t="shared" si="291"/>
        <v>Dec-1899</v>
      </c>
    </row>
    <row r="3641">
      <c r="D3641" s="24" t="str">
        <f t="shared" si="291"/>
        <v>Dec-1899</v>
      </c>
    </row>
    <row r="3642">
      <c r="D3642" s="24" t="str">
        <f t="shared" si="291"/>
        <v>Dec-1899</v>
      </c>
    </row>
    <row r="3643">
      <c r="D3643" s="24" t="str">
        <f t="shared" si="291"/>
        <v>Dec-1899</v>
      </c>
    </row>
    <row r="3644">
      <c r="D3644" s="24" t="str">
        <f t="shared" si="291"/>
        <v>Dec-1899</v>
      </c>
    </row>
    <row r="3645">
      <c r="D3645" s="24" t="str">
        <f t="shared" si="291"/>
        <v>Dec-1899</v>
      </c>
    </row>
    <row r="3646">
      <c r="D3646" s="24" t="str">
        <f t="shared" si="291"/>
        <v>Dec-1899</v>
      </c>
    </row>
    <row r="3647">
      <c r="D3647" s="24" t="str">
        <f t="shared" si="291"/>
        <v>Dec-1899</v>
      </c>
    </row>
    <row r="3648">
      <c r="D3648" s="24" t="str">
        <f t="shared" si="291"/>
        <v>Dec-1899</v>
      </c>
    </row>
    <row r="3649">
      <c r="D3649" s="24" t="str">
        <f t="shared" si="291"/>
        <v>Dec-1899</v>
      </c>
    </row>
    <row r="3650">
      <c r="D3650" s="24" t="str">
        <f t="shared" si="291"/>
        <v>Dec-1899</v>
      </c>
    </row>
    <row r="3651">
      <c r="D3651" s="24" t="str">
        <f t="shared" si="291"/>
        <v>Dec-1899</v>
      </c>
    </row>
    <row r="3652">
      <c r="D3652" s="24" t="str">
        <f t="shared" si="291"/>
        <v>Dec-1899</v>
      </c>
    </row>
    <row r="3653">
      <c r="D3653" s="24" t="str">
        <f t="shared" si="291"/>
        <v>Dec-1899</v>
      </c>
    </row>
    <row r="3654">
      <c r="D3654" s="24" t="str">
        <f t="shared" si="291"/>
        <v>Dec-1899</v>
      </c>
    </row>
    <row r="3655">
      <c r="D3655" s="24" t="str">
        <f t="shared" si="291"/>
        <v>Dec-1899</v>
      </c>
    </row>
    <row r="3656">
      <c r="D3656" s="24" t="str">
        <f t="shared" si="291"/>
        <v>Dec-1899</v>
      </c>
    </row>
    <row r="3657">
      <c r="D3657" s="24" t="str">
        <f t="shared" si="291"/>
        <v>Dec-1899</v>
      </c>
    </row>
    <row r="3658">
      <c r="D3658" s="24" t="str">
        <f t="shared" si="291"/>
        <v>Dec-1899</v>
      </c>
    </row>
    <row r="3659">
      <c r="D3659" s="24" t="str">
        <f t="shared" si="291"/>
        <v>Dec-1899</v>
      </c>
    </row>
    <row r="3660">
      <c r="D3660" s="24" t="str">
        <f t="shared" si="291"/>
        <v>Dec-1899</v>
      </c>
    </row>
    <row r="3661">
      <c r="D3661" s="24" t="str">
        <f t="shared" si="291"/>
        <v>Dec-1899</v>
      </c>
    </row>
    <row r="3662">
      <c r="D3662" s="24" t="str">
        <f t="shared" si="291"/>
        <v>Dec-1899</v>
      </c>
    </row>
    <row r="3663">
      <c r="D3663" s="24" t="str">
        <f t="shared" si="291"/>
        <v>Dec-1899</v>
      </c>
    </row>
    <row r="3664">
      <c r="D3664" s="24" t="str">
        <f t="shared" si="291"/>
        <v>Dec-1899</v>
      </c>
    </row>
    <row r="3665">
      <c r="D3665" s="24" t="str">
        <f t="shared" si="291"/>
        <v>Dec-1899</v>
      </c>
    </row>
    <row r="3666">
      <c r="D3666" s="24" t="str">
        <f t="shared" si="291"/>
        <v>Dec-1899</v>
      </c>
    </row>
    <row r="3667">
      <c r="D3667" s="24" t="str">
        <f t="shared" si="291"/>
        <v>Dec-1899</v>
      </c>
    </row>
    <row r="3668">
      <c r="D3668" s="24" t="str">
        <f t="shared" si="291"/>
        <v>Dec-1899</v>
      </c>
    </row>
    <row r="3669">
      <c r="D3669" s="24" t="str">
        <f t="shared" si="291"/>
        <v>Dec-1899</v>
      </c>
    </row>
    <row r="3670">
      <c r="D3670" s="24" t="str">
        <f t="shared" si="291"/>
        <v>Dec-1899</v>
      </c>
    </row>
    <row r="3671">
      <c r="D3671" s="24" t="str">
        <f t="shared" si="291"/>
        <v>Dec-1899</v>
      </c>
    </row>
    <row r="3672">
      <c r="D3672" s="24" t="str">
        <f t="shared" si="291"/>
        <v>Dec-1899</v>
      </c>
    </row>
    <row r="3673">
      <c r="D3673" s="24" t="str">
        <f t="shared" si="291"/>
        <v>Dec-1899</v>
      </c>
    </row>
    <row r="3674">
      <c r="D3674" s="24" t="str">
        <f t="shared" si="291"/>
        <v>Dec-1899</v>
      </c>
    </row>
    <row r="3675">
      <c r="D3675" s="24" t="str">
        <f t="shared" si="291"/>
        <v>Dec-1899</v>
      </c>
    </row>
    <row r="3676">
      <c r="D3676" s="24" t="str">
        <f t="shared" si="291"/>
        <v>Dec-1899</v>
      </c>
    </row>
    <row r="3677">
      <c r="D3677" s="24" t="str">
        <f t="shared" si="291"/>
        <v>Dec-1899</v>
      </c>
    </row>
    <row r="3678">
      <c r="D3678" s="24" t="str">
        <f t="shared" si="291"/>
        <v>Dec-1899</v>
      </c>
    </row>
    <row r="3679">
      <c r="D3679" s="24" t="str">
        <f t="shared" si="291"/>
        <v>Dec-1899</v>
      </c>
    </row>
    <row r="3680">
      <c r="D3680" s="24" t="str">
        <f t="shared" si="291"/>
        <v>Dec-1899</v>
      </c>
    </row>
    <row r="3681">
      <c r="D3681" s="24" t="str">
        <f t="shared" si="291"/>
        <v>Dec-1899</v>
      </c>
    </row>
    <row r="3682">
      <c r="D3682" s="24" t="str">
        <f t="shared" si="291"/>
        <v>Dec-1899</v>
      </c>
    </row>
    <row r="3683">
      <c r="D3683" s="24" t="str">
        <f t="shared" si="291"/>
        <v>Dec-1899</v>
      </c>
    </row>
    <row r="3684">
      <c r="D3684" s="24" t="str">
        <f t="shared" si="291"/>
        <v>Dec-1899</v>
      </c>
    </row>
    <row r="3685">
      <c r="D3685" s="24" t="str">
        <f t="shared" si="291"/>
        <v>Dec-1899</v>
      </c>
    </row>
    <row r="3686">
      <c r="D3686" s="24" t="str">
        <f t="shared" si="291"/>
        <v>Dec-1899</v>
      </c>
    </row>
    <row r="3687">
      <c r="D3687" s="24" t="str">
        <f t="shared" si="291"/>
        <v>Dec-1899</v>
      </c>
    </row>
    <row r="3688">
      <c r="D3688" s="24" t="str">
        <f t="shared" si="291"/>
        <v>Dec-1899</v>
      </c>
    </row>
    <row r="3689">
      <c r="D3689" s="24" t="str">
        <f t="shared" si="291"/>
        <v>Dec-1899</v>
      </c>
    </row>
    <row r="3690">
      <c r="D3690" s="24" t="str">
        <f t="shared" si="291"/>
        <v>Dec-1899</v>
      </c>
    </row>
    <row r="3691">
      <c r="D3691" s="24" t="str">
        <f t="shared" si="291"/>
        <v>Dec-1899</v>
      </c>
    </row>
    <row r="3692">
      <c r="D3692" s="24" t="str">
        <f t="shared" si="291"/>
        <v>Dec-1899</v>
      </c>
    </row>
    <row r="3693">
      <c r="D3693" s="24" t="str">
        <f t="shared" si="291"/>
        <v>Dec-1899</v>
      </c>
    </row>
    <row r="3694">
      <c r="D3694" s="24" t="str">
        <f t="shared" si="291"/>
        <v>Dec-1899</v>
      </c>
    </row>
    <row r="3695">
      <c r="D3695" s="24" t="str">
        <f t="shared" si="291"/>
        <v>Dec-1899</v>
      </c>
    </row>
    <row r="3696">
      <c r="D3696" s="24" t="str">
        <f t="shared" si="291"/>
        <v>Dec-1899</v>
      </c>
    </row>
    <row r="3697">
      <c r="D3697" s="24" t="str">
        <f t="shared" si="291"/>
        <v>Dec-1899</v>
      </c>
    </row>
    <row r="3698">
      <c r="D3698" s="24" t="str">
        <f t="shared" si="291"/>
        <v>Dec-1899</v>
      </c>
    </row>
    <row r="3699">
      <c r="D3699" s="24" t="str">
        <f t="shared" si="291"/>
        <v>Dec-1899</v>
      </c>
    </row>
    <row r="3700">
      <c r="D3700" s="24" t="str">
        <f t="shared" si="291"/>
        <v>Dec-1899</v>
      </c>
    </row>
    <row r="3701">
      <c r="D3701" s="24" t="str">
        <f t="shared" si="291"/>
        <v>Dec-1899</v>
      </c>
    </row>
    <row r="3702">
      <c r="D3702" s="24" t="str">
        <f t="shared" si="291"/>
        <v>Dec-1899</v>
      </c>
    </row>
    <row r="3703">
      <c r="D3703" s="24" t="str">
        <f t="shared" si="291"/>
        <v>Dec-1899</v>
      </c>
    </row>
    <row r="3704">
      <c r="D3704" s="24" t="str">
        <f t="shared" si="291"/>
        <v>Dec-1899</v>
      </c>
    </row>
    <row r="3705">
      <c r="D3705" s="24" t="str">
        <f t="shared" si="291"/>
        <v>Dec-1899</v>
      </c>
    </row>
    <row r="3706">
      <c r="D3706" s="24" t="str">
        <f t="shared" si="291"/>
        <v>Dec-1899</v>
      </c>
    </row>
    <row r="3707">
      <c r="D3707" s="24" t="str">
        <f t="shared" si="291"/>
        <v>Dec-1899</v>
      </c>
    </row>
    <row r="3708">
      <c r="D3708" s="24" t="str">
        <f t="shared" si="291"/>
        <v>Dec-1899</v>
      </c>
    </row>
    <row r="3709">
      <c r="D3709" s="24" t="str">
        <f t="shared" si="291"/>
        <v>Dec-1899</v>
      </c>
    </row>
    <row r="3710">
      <c r="D3710" s="24" t="str">
        <f t="shared" si="291"/>
        <v>Dec-1899</v>
      </c>
    </row>
    <row r="3711">
      <c r="D3711" s="24" t="str">
        <f t="shared" si="291"/>
        <v>Dec-1899</v>
      </c>
    </row>
    <row r="3712">
      <c r="D3712" s="24" t="str">
        <f t="shared" si="291"/>
        <v>Dec-1899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2" width="11.0"/>
    <col customWidth="1" min="3" max="3" width="9.14"/>
    <col customWidth="1" min="4" max="6" width="7.57"/>
    <col customWidth="1" min="7" max="8" width="10.0"/>
    <col customWidth="1" min="9" max="9" width="9.29"/>
    <col customWidth="1" min="10" max="10" width="7.71"/>
    <col customWidth="1" min="11" max="11" width="7.29"/>
    <col customWidth="1" min="12" max="16" width="7.43"/>
    <col customWidth="1" min="17" max="17" width="32.86"/>
    <col customWidth="1" min="18" max="18" width="8.14"/>
    <col customWidth="1" min="19" max="19" width="12.43"/>
    <col customWidth="1" min="21" max="21" width="35.86"/>
  </cols>
  <sheetData>
    <row r="1" ht="29.25" customHeight="1">
      <c r="A1" s="279"/>
      <c r="B1" s="341" t="s">
        <v>4</v>
      </c>
      <c r="C1" s="342" t="s">
        <v>1343</v>
      </c>
      <c r="D1" s="343" t="s">
        <v>1344</v>
      </c>
      <c r="E1" s="343" t="s">
        <v>1345</v>
      </c>
      <c r="F1" s="344" t="s">
        <v>1346</v>
      </c>
      <c r="G1" s="345" t="s">
        <v>1347</v>
      </c>
      <c r="H1" s="346" t="s">
        <v>1348</v>
      </c>
      <c r="I1" s="347" t="s">
        <v>1349</v>
      </c>
      <c r="J1" s="348" t="s">
        <v>1350</v>
      </c>
      <c r="K1" s="349" t="s">
        <v>1351</v>
      </c>
      <c r="L1" s="350" t="s">
        <v>1352</v>
      </c>
      <c r="M1" s="351" t="s">
        <v>1349</v>
      </c>
      <c r="N1" s="352" t="s">
        <v>1350</v>
      </c>
      <c r="O1" s="352" t="s">
        <v>1351</v>
      </c>
      <c r="P1" s="353" t="s">
        <v>1352</v>
      </c>
      <c r="Q1" s="354"/>
      <c r="R1" s="355"/>
      <c r="S1" s="356"/>
    </row>
    <row r="2" ht="21.75" customHeight="1">
      <c r="A2" s="357">
        <v>42217.0</v>
      </c>
      <c r="B2" s="358" t="str">
        <f t="shared" ref="B2:B56" si="3">TEXT(A2, "mmm") &amp; "-" &amp; TEXT(A2, "yyyy") </f>
        <v>Aug-2015</v>
      </c>
      <c r="C2" s="359">
        <f>countifs(Melee!$M:$M,"W",Melee!$F:$F,B2)/(countifs(Melee!$M:$M,"W",Melee!$F:$F,B2)+countifs(Melee!$M:$M,"L",Melee!$F:$F,B2))</f>
        <v>0.4</v>
      </c>
      <c r="D2" s="360">
        <f>countifs(Melee!$M:$M,"W",Melee!$F:$F,B2)</f>
        <v>2</v>
      </c>
      <c r="E2" s="360">
        <f>countifs(Melee!$M:$M,"L",Melee!$F:$F,B2)</f>
        <v>3</v>
      </c>
      <c r="F2" s="361">
        <f t="shared" ref="F2:F56" si="4">D2+E2</f>
        <v>5</v>
      </c>
      <c r="G2" s="362">
        <f>sum(COUNTIFS(Melee!A:A,"Weekly",Melee!$F:$F,B2),COUNTIFS(Melee!A:A,"Monthly",Melee!$F:$F,B2),COUNTIFS(Melee!A:A,"Local",Melee!$F:$F,B2),COUNTIFS(Melee!A:A,"Arcadian",Melee!$F:$F,B2),COUNTIFS(Melee!A:A,"Regional",Melee!$F:$F,B2),COUNTIFS(Melee!A:A,"Major",Melee!$F:$F,B2),COUNTIFS(Melee!A:A,"Super Major",Melee!$F:$F,B2))</f>
        <v>1</v>
      </c>
      <c r="H2" s="363">
        <f t="shared" ref="H2:H56" si="5">F2/G2</f>
        <v>5</v>
      </c>
      <c r="I2" s="364">
        <f>sum(D2:D3)/(sum(E2:E3)+SUM(D2:D3))</f>
        <v>0.4</v>
      </c>
      <c r="J2" s="365">
        <f t="shared" ref="J2:K2" si="1">sum(D2:D3)</f>
        <v>2</v>
      </c>
      <c r="K2" s="365">
        <f t="shared" si="1"/>
        <v>3</v>
      </c>
      <c r="L2" s="366">
        <f>J2+K2</f>
        <v>5</v>
      </c>
      <c r="M2" s="367">
        <f>sum(D2:D13)/(sum(D2:E13))</f>
        <v>0.3881578947</v>
      </c>
      <c r="N2" s="368">
        <f t="shared" ref="N2:O2" si="2">sum(D2:D13)</f>
        <v>59</v>
      </c>
      <c r="O2" s="369">
        <f t="shared" si="2"/>
        <v>93</v>
      </c>
      <c r="P2" s="370">
        <f>N2+O2</f>
        <v>152</v>
      </c>
      <c r="Q2" s="371"/>
      <c r="R2" s="372" t="s">
        <v>1353</v>
      </c>
      <c r="S2" s="372" t="s">
        <v>1354</v>
      </c>
    </row>
    <row r="3" ht="21.75" customHeight="1">
      <c r="A3" s="357">
        <v>42248.0</v>
      </c>
      <c r="B3" s="373" t="str">
        <f t="shared" si="3"/>
        <v>Sep-2015</v>
      </c>
      <c r="C3" s="374" t="s">
        <v>1355</v>
      </c>
      <c r="D3" s="360">
        <f>countifs(Melee!$M:$M,"W",Melee!$F:$F,B3)</f>
        <v>0</v>
      </c>
      <c r="E3" s="360">
        <f>countifs(Melee!$M:$M,"L",Melee!$F:$F,B3)</f>
        <v>0</v>
      </c>
      <c r="F3" s="361">
        <f t="shared" si="4"/>
        <v>0</v>
      </c>
      <c r="G3" s="362">
        <f>sum(COUNTIFS(Melee!A:A,"Weekly",Melee!$F:$F,B3),COUNTIFS(Melee!A:A,"Monthly",Melee!$F:$F,B3),COUNTIFS(Melee!A:A,"Local",Melee!$F:$F,B3),COUNTIFS(Melee!A:A,"Arcadian",Melee!$F:$F,B3),COUNTIFS(Melee!A:A,"Regional",Melee!$F:$F,B3),COUNTIFS(Melee!A:A,"Major",Melee!$F:$F,B3),COUNTIFS(Melee!A:A,"Super Major",Melee!$F:$F,B3))</f>
        <v>0</v>
      </c>
      <c r="H3" s="363" t="str">
        <f t="shared" si="5"/>
        <v>#DIV/0!</v>
      </c>
      <c r="I3" s="375"/>
      <c r="L3" s="376"/>
      <c r="M3" s="375"/>
      <c r="P3" s="376"/>
      <c r="Q3" s="377" t="s">
        <v>1356</v>
      </c>
      <c r="R3" s="378">
        <f>countif(Melee!$L:$L,"W")</f>
        <v>2038</v>
      </c>
      <c r="S3" s="379">
        <f>countif(Melee!$M:$M,"W")</f>
        <v>835</v>
      </c>
    </row>
    <row r="4" ht="21.75" customHeight="1">
      <c r="A4" s="357">
        <v>42278.0</v>
      </c>
      <c r="B4" s="373" t="str">
        <f t="shared" si="3"/>
        <v>Oct-2015</v>
      </c>
      <c r="C4" s="359">
        <f>countifs(Melee!$M:$M,"W",Melee!$F:$F,B4)/(countifs(Melee!$M:$M,"W",Melee!$F:$F,B4)+countifs(Melee!$M:$M,"L",Melee!$F:$F,B4))</f>
        <v>0</v>
      </c>
      <c r="D4" s="360">
        <f>countifs(Melee!$M:$M,"W",Melee!$F:$F,B4)</f>
        <v>0</v>
      </c>
      <c r="E4" s="360">
        <f>countifs(Melee!$M:$M,"L",Melee!$F:$F,B4)</f>
        <v>2</v>
      </c>
      <c r="F4" s="361">
        <f t="shared" si="4"/>
        <v>2</v>
      </c>
      <c r="G4" s="362">
        <f>sum(COUNTIFS(Melee!A:A,"Weekly",Melee!$F:$F,B4),COUNTIFS(Melee!A:A,"Monthly",Melee!$F:$F,B4),COUNTIFS(Melee!A:A,"Local",Melee!$F:$F,B4),COUNTIFS(Melee!A:A,"Arcadian",Melee!$F:$F,B4),COUNTIFS(Melee!A:A,"Regional",Melee!$F:$F,B4),COUNTIFS(Melee!A:A,"Major",Melee!$F:$F,B4),COUNTIFS(Melee!A:A,"Super Major",Melee!$F:$F,B4))</f>
        <v>1</v>
      </c>
      <c r="H4" s="363">
        <f t="shared" si="5"/>
        <v>2</v>
      </c>
      <c r="I4" s="380">
        <f>sum(D4:D6)/(sum(D4:D6)+sum(E4:E6))</f>
        <v>0.25</v>
      </c>
      <c r="J4" s="381">
        <f t="shared" ref="J4:K4" si="6">sum(D4:D6)</f>
        <v>2</v>
      </c>
      <c r="K4" s="381">
        <f t="shared" si="6"/>
        <v>6</v>
      </c>
      <c r="L4" s="382">
        <f>J4+K4</f>
        <v>8</v>
      </c>
      <c r="M4" s="375"/>
      <c r="P4" s="376"/>
      <c r="Q4" s="377" t="s">
        <v>1357</v>
      </c>
      <c r="R4" s="378">
        <f>countif(Melee!$L:$L,"L")</f>
        <v>1652</v>
      </c>
      <c r="S4" s="379">
        <f>countif(Melee!$M:$M,"L")</f>
        <v>638</v>
      </c>
    </row>
    <row r="5" ht="21.75" customHeight="1">
      <c r="A5" s="357">
        <v>42309.0</v>
      </c>
      <c r="B5" s="373" t="str">
        <f t="shared" si="3"/>
        <v>Nov-2015</v>
      </c>
      <c r="C5" s="374" t="s">
        <v>1355</v>
      </c>
      <c r="D5" s="360">
        <f>countifs(Melee!$M:$M,"W",Melee!$F:$F,B5)</f>
        <v>0</v>
      </c>
      <c r="E5" s="360">
        <f>countifs(Melee!$M:$M,"L",Melee!$F:$F,B5)</f>
        <v>0</v>
      </c>
      <c r="F5" s="361">
        <f t="shared" si="4"/>
        <v>0</v>
      </c>
      <c r="G5" s="362">
        <f>sum(COUNTIFS(Melee!A:A,"Weekly",Melee!$F:$F,B5),COUNTIFS(Melee!A:A,"Monthly",Melee!$F:$F,B5),COUNTIFS(Melee!A:A,"Local",Melee!$F:$F,B5),COUNTIFS(Melee!A:A,"Arcadian",Melee!$F:$F,B5),COUNTIFS(Melee!A:A,"Regional",Melee!$F:$F,B5),COUNTIFS(Melee!A:A,"Major",Melee!$F:$F,B5),COUNTIFS(Melee!A:A,"Super Major",Melee!$F:$F,B5))</f>
        <v>0</v>
      </c>
      <c r="H5" s="363" t="str">
        <f t="shared" si="5"/>
        <v>#DIV/0!</v>
      </c>
      <c r="I5" s="375"/>
      <c r="L5" s="376"/>
      <c r="M5" s="375"/>
      <c r="P5" s="376"/>
      <c r="Q5" s="377" t="s">
        <v>1358</v>
      </c>
      <c r="R5" s="378">
        <f t="shared" ref="R5:S5" si="7">R3+R4</f>
        <v>3690</v>
      </c>
      <c r="S5" s="379">
        <f t="shared" si="7"/>
        <v>1473</v>
      </c>
    </row>
    <row r="6" ht="21.75" customHeight="1">
      <c r="A6" s="357">
        <v>42339.0</v>
      </c>
      <c r="B6" s="373" t="str">
        <f t="shared" si="3"/>
        <v>Dec-2015</v>
      </c>
      <c r="C6" s="359">
        <f>countifs(Melee!$M:$M,"W",Melee!$F:$F,B6)/(countifs(Melee!$M:$M,"W",Melee!$F:$F,B6)+countifs(Melee!$M:$M,"L",Melee!$F:$F,B6))</f>
        <v>0.3333333333</v>
      </c>
      <c r="D6" s="360">
        <f>countifs(Melee!$M:$M,"W",Melee!$F:$F,B6)</f>
        <v>2</v>
      </c>
      <c r="E6" s="360">
        <f>countifs(Melee!$M:$M,"L",Melee!$F:$F,B6)</f>
        <v>4</v>
      </c>
      <c r="F6" s="361">
        <f t="shared" si="4"/>
        <v>6</v>
      </c>
      <c r="G6" s="362">
        <f>sum(COUNTIFS(Melee!A:A,"Weekly",Melee!$F:$F,B6),COUNTIFS(Melee!A:A,"Monthly",Melee!$F:$F,B6),COUNTIFS(Melee!A:A,"Local",Melee!$F:$F,B6),COUNTIFS(Melee!A:A,"Arcadian",Melee!$F:$F,B6),COUNTIFS(Melee!A:A,"Regional",Melee!$F:$F,B6),COUNTIFS(Melee!A:A,"Major",Melee!$F:$F,B6),COUNTIFS(Melee!A:A,"Super Major",Melee!$F:$F,B6))</f>
        <v>1</v>
      </c>
      <c r="H6" s="363">
        <f t="shared" si="5"/>
        <v>6</v>
      </c>
      <c r="I6" s="375"/>
      <c r="L6" s="376"/>
      <c r="M6" s="375"/>
      <c r="P6" s="376"/>
      <c r="Q6" s="383" t="s">
        <v>1349</v>
      </c>
      <c r="R6" s="384">
        <f>countif(Melee!$L:$L,"W")/(countif(Melee!$L:$L,"W")+countif(Melee!$L:$L,"L"))</f>
        <v>0.552303523</v>
      </c>
      <c r="S6" s="385">
        <f>countif(Melee!$M:$M,"W")/(countif(Melee!$M:$M,"W")+countif(Melee!$M:$M,"L"))</f>
        <v>0.5668703327</v>
      </c>
    </row>
    <row r="7" ht="21.75" customHeight="1">
      <c r="A7" s="386">
        <v>42370.0</v>
      </c>
      <c r="B7" s="373" t="str">
        <f t="shared" si="3"/>
        <v>Jan-2016</v>
      </c>
      <c r="C7" s="359">
        <f>countifs(Melee!$M:$M,"W",Melee!$F:$F,B7)/(countifs(Melee!$M:$M,"W",Melee!$F:$F,B7)+countifs(Melee!$M:$M,"L",Melee!$F:$F,B7))</f>
        <v>0</v>
      </c>
      <c r="D7" s="360">
        <f>countifs(Melee!$M:$M,"W",Melee!$F:$F,B7)</f>
        <v>0</v>
      </c>
      <c r="E7" s="360">
        <f>countifs(Melee!$M:$M,"L",Melee!$F:$F,B7)</f>
        <v>2</v>
      </c>
      <c r="F7" s="361">
        <f t="shared" si="4"/>
        <v>2</v>
      </c>
      <c r="G7" s="362">
        <f>sum(COUNTIFS(Melee!A:A,"Weekly",Melee!$F:$F,B7),COUNTIFS(Melee!A:A,"Monthly",Melee!$F:$F,B7),COUNTIFS(Melee!A:A,"Local",Melee!$F:$F,B7),COUNTIFS(Melee!A:A,"Arcadian",Melee!$F:$F,B7),COUNTIFS(Melee!A:A,"Regional",Melee!$F:$F,B7),COUNTIFS(Melee!A:A,"Major",Melee!$F:$F,B7),COUNTIFS(Melee!A:A,"Super Major",Melee!$F:$F,B7))</f>
        <v>1</v>
      </c>
      <c r="H7" s="363">
        <f t="shared" si="5"/>
        <v>2</v>
      </c>
      <c r="I7" s="380">
        <f>sum(D7:D9)/(sum(D7:D9)+sum(E7:E9))</f>
        <v>0.3846153846</v>
      </c>
      <c r="J7" s="381">
        <f t="shared" ref="J7:K7" si="8">sum(D7:D9)</f>
        <v>10</v>
      </c>
      <c r="K7" s="381">
        <f t="shared" si="8"/>
        <v>16</v>
      </c>
      <c r="L7" s="382">
        <f>J7+K7</f>
        <v>26</v>
      </c>
      <c r="M7" s="375"/>
      <c r="P7" s="376"/>
      <c r="Q7" s="371" t="s">
        <v>1359</v>
      </c>
      <c r="R7" s="355"/>
      <c r="S7" s="362">
        <f>sum(COUNTIFS(Melee!A:A,"Weekly"),COUNTIFS(Melee!A:A,"Bar Tourney"),COUNTIFS(Melee!A:A,"Local"),COUNTIFS(Melee!A:A,"Arcadian"),COUNTIFS(Melee!A:A,"Regional"),COUNTIFS(Melee!A:A,"Major"),COUNTIFS(Melee!A:A,"Super Major"))</f>
        <v>265</v>
      </c>
    </row>
    <row r="8" ht="21.75" customHeight="1">
      <c r="A8" s="357">
        <v>42401.0</v>
      </c>
      <c r="B8" s="373" t="str">
        <f t="shared" si="3"/>
        <v>Feb-2016</v>
      </c>
      <c r="C8" s="359">
        <f>countifs(Melee!$M:$M,"W",Melee!$F:$F,B8)/(countifs(Melee!$M:$M,"W",Melee!$F:$F,B8)+countifs(Melee!$M:$M,"L",Melee!$F:$F,B8))</f>
        <v>0.4</v>
      </c>
      <c r="D8" s="360">
        <f>countifs(Melee!$M:$M,"W",Melee!$F:$F,B8)</f>
        <v>2</v>
      </c>
      <c r="E8" s="360">
        <f>countifs(Melee!$M:$M,"L",Melee!$F:$F,B8)</f>
        <v>3</v>
      </c>
      <c r="F8" s="361">
        <f t="shared" si="4"/>
        <v>5</v>
      </c>
      <c r="G8" s="362">
        <f>sum(COUNTIFS(Melee!A:A,"Weekly",Melee!$F:$F,B8),COUNTIFS(Melee!A:A,"Monthly",Melee!$F:$F,B8),COUNTIFS(Melee!A:A,"Local",Melee!$F:$F,B8),COUNTIFS(Melee!A:A,"Arcadian",Melee!$F:$F,B8),COUNTIFS(Melee!A:A,"Regional",Melee!$F:$F,B8),COUNTIFS(Melee!A:A,"Major",Melee!$F:$F,B8),COUNTIFS(Melee!A:A,"Super Major",Melee!$F:$F,B8))</f>
        <v>1</v>
      </c>
      <c r="H8" s="363">
        <f t="shared" si="5"/>
        <v>5</v>
      </c>
      <c r="I8" s="375"/>
      <c r="L8" s="376"/>
      <c r="M8" s="375"/>
      <c r="P8" s="376"/>
      <c r="Q8" s="387"/>
      <c r="S8" s="25"/>
    </row>
    <row r="9" ht="21.75" customHeight="1">
      <c r="A9" s="357">
        <v>42430.0</v>
      </c>
      <c r="B9" s="373" t="str">
        <f t="shared" si="3"/>
        <v>Mar-2016</v>
      </c>
      <c r="C9" s="359">
        <f>countifs(Melee!$M:$M,"W",Melee!$F:$F,B9)/(countifs(Melee!$M:$M,"W",Melee!$F:$F,B9)+countifs(Melee!$M:$M,"L",Melee!$F:$F,B9))</f>
        <v>0.4210526316</v>
      </c>
      <c r="D9" s="360">
        <f>countifs(Melee!$M:$M,"W",Melee!$F:$F,B9)</f>
        <v>8</v>
      </c>
      <c r="E9" s="360">
        <f>countifs(Melee!$M:$M,"L",Melee!$F:$F,B9)</f>
        <v>11</v>
      </c>
      <c r="F9" s="361">
        <f t="shared" si="4"/>
        <v>19</v>
      </c>
      <c r="G9" s="362">
        <f>sum(COUNTIFS(Melee!A:A,"Weekly",Melee!$F:$F,B9),COUNTIFS(Melee!A:A,"Monthly",Melee!$F:$F,B9),COUNTIFS(Melee!A:A,"Local",Melee!$F:$F,B9),COUNTIFS(Melee!A:A,"Arcadian",Melee!$F:$F,B9),COUNTIFS(Melee!A:A,"Regional",Melee!$F:$F,B9),COUNTIFS(Melee!A:A,"Major",Melee!$F:$F,B9),COUNTIFS(Melee!A:A,"Super Major",Melee!$F:$F,B9))</f>
        <v>4</v>
      </c>
      <c r="H9" s="363">
        <f t="shared" si="5"/>
        <v>4.75</v>
      </c>
      <c r="I9" s="375"/>
      <c r="L9" s="376"/>
      <c r="M9" s="375"/>
      <c r="P9" s="376"/>
      <c r="Q9" s="387"/>
      <c r="S9" s="25"/>
      <c r="Y9" s="388"/>
    </row>
    <row r="10" ht="21.75" customHeight="1">
      <c r="A10" s="357">
        <v>42461.0</v>
      </c>
      <c r="B10" s="373" t="str">
        <f t="shared" si="3"/>
        <v>Apr-2016</v>
      </c>
      <c r="C10" s="359">
        <f>countifs(Melee!$M:$M,"W",Melee!$F:$F,B10)/(countifs(Melee!$M:$M,"W",Melee!$F:$F,B10)+countifs(Melee!$M:$M,"L",Melee!$F:$F,B10))</f>
        <v>0.5</v>
      </c>
      <c r="D10" s="360">
        <f>countifs(Melee!$M:$M,"W",Melee!$F:$F,B10)</f>
        <v>4</v>
      </c>
      <c r="E10" s="360">
        <f>countifs(Melee!$M:$M,"L",Melee!$F:$F,B10)</f>
        <v>4</v>
      </c>
      <c r="F10" s="361">
        <f t="shared" si="4"/>
        <v>8</v>
      </c>
      <c r="G10" s="362">
        <f>sum(COUNTIFS(Melee!A:A,"Weekly",Melee!$F:$F,B10),COUNTIFS(Melee!A:A,"Monthly",Melee!$F:$F,B10),COUNTIFS(Melee!A:A,"Local",Melee!$F:$F,B10),COUNTIFS(Melee!A:A,"Arcadian",Melee!$F:$F,B10),COUNTIFS(Melee!A:A,"Regional",Melee!$F:$F,B10),COUNTIFS(Melee!A:A,"Major",Melee!$F:$F,B10),COUNTIFS(Melee!A:A,"Super Major",Melee!$F:$F,B10))</f>
        <v>2</v>
      </c>
      <c r="H10" s="363">
        <f t="shared" si="5"/>
        <v>4</v>
      </c>
      <c r="I10" s="380">
        <f>sum(D10:D12)/(sum(D10:D12)+sum(E10:E12))</f>
        <v>0.4029850746</v>
      </c>
      <c r="J10" s="381">
        <f t="shared" ref="J10:K10" si="9">sum(D10:D12)</f>
        <v>27</v>
      </c>
      <c r="K10" s="381">
        <f t="shared" si="9"/>
        <v>40</v>
      </c>
      <c r="L10" s="382">
        <f>J10+K10</f>
        <v>67</v>
      </c>
      <c r="M10" s="375"/>
      <c r="P10" s="376"/>
      <c r="Q10" s="387"/>
      <c r="S10" s="25"/>
    </row>
    <row r="11" ht="21.75" customHeight="1">
      <c r="A11" s="357">
        <v>42491.0</v>
      </c>
      <c r="B11" s="373" t="str">
        <f t="shared" si="3"/>
        <v>May-2016</v>
      </c>
      <c r="C11" s="359">
        <f>countifs(Melee!$M:$M,"W",Melee!$F:$F,B11)/(countifs(Melee!$M:$M,"W",Melee!$F:$F,B11)+countifs(Melee!$M:$M,"L",Melee!$F:$F,B11))</f>
        <v>0.4</v>
      </c>
      <c r="D11" s="360">
        <f>countifs(Melee!$M:$M,"W",Melee!$F:$F,B11)</f>
        <v>8</v>
      </c>
      <c r="E11" s="360">
        <f>countifs(Melee!$M:$M,"L",Melee!$F:$F,B11)</f>
        <v>12</v>
      </c>
      <c r="F11" s="361">
        <f t="shared" si="4"/>
        <v>20</v>
      </c>
      <c r="G11" s="362">
        <f>sum(COUNTIFS(Melee!A:A,"Weekly",Melee!$F:$F,B11),COUNTIFS(Melee!A:A,"Monthly",Melee!$F:$F,B11),COUNTIFS(Melee!A:A,"Local",Melee!$F:$F,B11),COUNTIFS(Melee!A:A,"Arcadian",Melee!$F:$F,B11),COUNTIFS(Melee!A:A,"Regional",Melee!$F:$F,B11),COUNTIFS(Melee!A:A,"Major",Melee!$F:$F,B11),COUNTIFS(Melee!A:A,"Super Major",Melee!$F:$F,B11))</f>
        <v>4</v>
      </c>
      <c r="H11" s="363">
        <f t="shared" si="5"/>
        <v>5</v>
      </c>
      <c r="I11" s="375"/>
      <c r="L11" s="376"/>
      <c r="M11" s="375"/>
      <c r="P11" s="376"/>
      <c r="Q11" s="387"/>
    </row>
    <row r="12" ht="21.75" customHeight="1">
      <c r="A12" s="357">
        <v>42522.0</v>
      </c>
      <c r="B12" s="373" t="str">
        <f t="shared" si="3"/>
        <v>Jun-2016</v>
      </c>
      <c r="C12" s="359">
        <f>countifs(Melee!$M:$M,"W",Melee!$F:$F,B12)/(countifs(Melee!$M:$M,"W",Melee!$F:$F,B12)+countifs(Melee!$M:$M,"L",Melee!$F:$F,B12))</f>
        <v>0.3846153846</v>
      </c>
      <c r="D12" s="360">
        <f>countifs(Melee!$M:$M,"W",Melee!$F:$F,B12)</f>
        <v>15</v>
      </c>
      <c r="E12" s="360">
        <f>countifs(Melee!$M:$M,"L",Melee!$F:$F,B12)</f>
        <v>24</v>
      </c>
      <c r="F12" s="361">
        <f t="shared" si="4"/>
        <v>39</v>
      </c>
      <c r="G12" s="362">
        <f>sum(COUNTIFS(Melee!A:A,"Weekly",Melee!$F:$F,B12),COUNTIFS(Melee!A:A,"Monthly",Melee!$F:$F,B12),COUNTIFS(Melee!A:A,"Local",Melee!$F:$F,B12),COUNTIFS(Melee!A:A,"Arcadian",Melee!$F:$F,B12),COUNTIFS(Melee!A:A,"Regional",Melee!$F:$F,B12),COUNTIFS(Melee!A:A,"Major",Melee!$F:$F,B12),COUNTIFS(Melee!A:A,"Super Major",Melee!$F:$F,B12))</f>
        <v>10</v>
      </c>
      <c r="H12" s="363">
        <f t="shared" si="5"/>
        <v>3.9</v>
      </c>
      <c r="I12" s="375"/>
      <c r="L12" s="376"/>
      <c r="M12" s="375"/>
      <c r="P12" s="376"/>
      <c r="Q12" s="387"/>
    </row>
    <row r="13" ht="21.75" customHeight="1">
      <c r="A13" s="357">
        <v>42552.0</v>
      </c>
      <c r="B13" s="389" t="str">
        <f t="shared" si="3"/>
        <v>Jul-2016</v>
      </c>
      <c r="C13" s="359">
        <f>countifs(Melee!$M:$M,"W",Melee!$F:$F,B13)/(countifs(Melee!$M:$M,"W",Melee!$F:$F,B13)+countifs(Melee!$M:$M,"L",Melee!$F:$F,B13))</f>
        <v>0.3913043478</v>
      </c>
      <c r="D13" s="360">
        <f>countifs(Melee!$M:$M,"W",Melee!$F:$F,B13)</f>
        <v>18</v>
      </c>
      <c r="E13" s="360">
        <f>countifs(Melee!$M:$M,"L",Melee!$F:$F,B13)</f>
        <v>28</v>
      </c>
      <c r="F13" s="361">
        <f t="shared" si="4"/>
        <v>46</v>
      </c>
      <c r="G13" s="362">
        <f>sum(COUNTIFS(Melee!A:A,"Weekly",Melee!$F:$F,B13),COUNTIFS(Melee!A:A,"Monthly",Melee!$F:$F,B13),COUNTIFS(Melee!A:A,"Local",Melee!$F:$F,B13),COUNTIFS(Melee!A:A,"Arcadian",Melee!$F:$F,B13),COUNTIFS(Melee!A:A,"Regional",Melee!$F:$F,B13),COUNTIFS(Melee!A:A,"Major",Melee!$F:$F,B13),COUNTIFS(Melee!A:A,"Super Major",Melee!$F:$F,B13))</f>
        <v>10</v>
      </c>
      <c r="H13" s="363">
        <f t="shared" si="5"/>
        <v>4.6</v>
      </c>
      <c r="I13" s="380">
        <f>sum(D13:D15)/(sum(D13:D15)+sum(E13:E15))</f>
        <v>0.4608695652</v>
      </c>
      <c r="J13" s="381">
        <f t="shared" ref="J13:K13" si="10">sum(D13:D15)</f>
        <v>53</v>
      </c>
      <c r="K13" s="381">
        <f t="shared" si="10"/>
        <v>62</v>
      </c>
      <c r="L13" s="382">
        <f>J13+K13</f>
        <v>115</v>
      </c>
      <c r="M13" s="375"/>
      <c r="P13" s="376"/>
      <c r="Q13" s="387"/>
    </row>
    <row r="14" ht="21.75" customHeight="1">
      <c r="A14" s="357">
        <v>42583.0</v>
      </c>
      <c r="B14" s="390" t="str">
        <f t="shared" si="3"/>
        <v>Aug-2016</v>
      </c>
      <c r="C14" s="359">
        <f>countifs(Melee!$M:$M,"W",Melee!$F:$F,B14)/(countifs(Melee!$M:$M,"W",Melee!$F:$F,B14)+countifs(Melee!$M:$M,"L",Melee!$F:$F,B14))</f>
        <v>0.4888888889</v>
      </c>
      <c r="D14" s="360">
        <f>countifs(Melee!$M:$M,"W",Melee!$F:$F,B14)</f>
        <v>22</v>
      </c>
      <c r="E14" s="360">
        <f>countifs(Melee!$M:$M,"L",Melee!$F:$F,B14)</f>
        <v>23</v>
      </c>
      <c r="F14" s="361">
        <f t="shared" si="4"/>
        <v>45</v>
      </c>
      <c r="G14" s="362">
        <f>sum(COUNTIFS(Melee!A:A,"Weekly",Melee!$F:$F,B14),COUNTIFS(Melee!A:A,"Monthly",Melee!$F:$F,B14),COUNTIFS(Melee!A:A,"Local",Melee!$F:$F,B14),COUNTIFS(Melee!A:A,"Arcadian",Melee!$F:$F,B14),COUNTIFS(Melee!A:A,"Regional",Melee!$F:$F,B14),COUNTIFS(Melee!A:A,"Major",Melee!$F:$F,B14),COUNTIFS(Melee!A:A,"Super Major",Melee!$F:$F,B14))</f>
        <v>10</v>
      </c>
      <c r="H14" s="363">
        <f t="shared" si="5"/>
        <v>4.5</v>
      </c>
      <c r="I14" s="375"/>
      <c r="L14" s="376"/>
      <c r="M14" s="391">
        <f>sum(D14:D25)/(sum(D14:E25))</f>
        <v>0.5359116022</v>
      </c>
      <c r="N14" s="392">
        <f t="shared" ref="N14:O14" si="11">sum(D14:D25)</f>
        <v>194</v>
      </c>
      <c r="O14" s="393">
        <f t="shared" si="11"/>
        <v>168</v>
      </c>
      <c r="P14" s="394">
        <f>N14+O14</f>
        <v>362</v>
      </c>
      <c r="Q14" s="387"/>
    </row>
    <row r="15" ht="21.75" customHeight="1">
      <c r="A15" s="357">
        <v>42614.0</v>
      </c>
      <c r="B15" s="395" t="str">
        <f t="shared" si="3"/>
        <v>Sep-2016</v>
      </c>
      <c r="C15" s="359">
        <f>countifs(Melee!$M:$M,"W",Melee!$F:$F,B15)/(countifs(Melee!$M:$M,"W",Melee!$F:$F,B15)+countifs(Melee!$M:$M,"L",Melee!$F:$F,B15))</f>
        <v>0.5416666667</v>
      </c>
      <c r="D15" s="360">
        <f>countifs(Melee!$M:$M,"W",Melee!$F:$F,B15)</f>
        <v>13</v>
      </c>
      <c r="E15" s="360">
        <f>countifs(Melee!$M:$M,"L",Melee!$F:$F,B15)</f>
        <v>11</v>
      </c>
      <c r="F15" s="361">
        <f t="shared" si="4"/>
        <v>24</v>
      </c>
      <c r="G15" s="362">
        <f>sum(COUNTIFS(Melee!A:A,"Weekly",Melee!$F:$F,B15),COUNTIFS(Melee!A:A,"Monthly",Melee!$F:$F,B15),COUNTIFS(Melee!A:A,"Local",Melee!$F:$F,B15),COUNTIFS(Melee!A:A,"Arcadian",Melee!$F:$F,B15),COUNTIFS(Melee!A:A,"Regional",Melee!$F:$F,B15),COUNTIFS(Melee!A:A,"Major",Melee!$F:$F,B15),COUNTIFS(Melee!A:A,"Super Major",Melee!$F:$F,B15))</f>
        <v>4</v>
      </c>
      <c r="H15" s="363">
        <f t="shared" si="5"/>
        <v>6</v>
      </c>
      <c r="I15" s="375"/>
      <c r="L15" s="376"/>
      <c r="M15" s="375"/>
      <c r="P15" s="376"/>
      <c r="Q15" s="387"/>
    </row>
    <row r="16" ht="21.75" customHeight="1">
      <c r="A16" s="357">
        <v>42644.0</v>
      </c>
      <c r="B16" s="395" t="str">
        <f t="shared" si="3"/>
        <v>Oct-2016</v>
      </c>
      <c r="C16" s="359">
        <f>countifs(Melee!$M:$M,"W",Melee!$F:$F,B16)/(countifs(Melee!$M:$M,"W",Melee!$F:$F,B16)+countifs(Melee!$M:$M,"L",Melee!$F:$F,B16))</f>
        <v>0.45</v>
      </c>
      <c r="D16" s="360">
        <f>countifs(Melee!$M:$M,"W",Melee!$F:$F,B16)</f>
        <v>9</v>
      </c>
      <c r="E16" s="360">
        <f>countifs(Melee!$M:$M,"L",Melee!$F:$F,B16)</f>
        <v>11</v>
      </c>
      <c r="F16" s="361">
        <f t="shared" si="4"/>
        <v>20</v>
      </c>
      <c r="G16" s="362">
        <f>sum(COUNTIFS(Melee!A:A,"Weekly",Melee!$F:$F,B16),COUNTIFS(Melee!A:A,"Monthly",Melee!$F:$F,B16),COUNTIFS(Melee!A:A,"Local",Melee!$F:$F,B16),COUNTIFS(Melee!A:A,"Arcadian",Melee!$F:$F,B16),COUNTIFS(Melee!A:A,"Regional",Melee!$F:$F,B16),COUNTIFS(Melee!A:A,"Major",Melee!$F:$F,B16),COUNTIFS(Melee!A:A,"Super Major",Melee!$F:$F,B16))</f>
        <v>4</v>
      </c>
      <c r="H16" s="363">
        <f t="shared" si="5"/>
        <v>5</v>
      </c>
      <c r="I16" s="380">
        <f>sum(D16:D18)/(sum(D16:D18)+sum(E16:E18))</f>
        <v>0.5151515152</v>
      </c>
      <c r="J16" s="381">
        <f t="shared" ref="J16:K16" si="12">sum(D16:D18)</f>
        <v>34</v>
      </c>
      <c r="K16" s="381">
        <f t="shared" si="12"/>
        <v>32</v>
      </c>
      <c r="L16" s="382">
        <f>J16+K16</f>
        <v>66</v>
      </c>
      <c r="M16" s="375"/>
      <c r="P16" s="376"/>
      <c r="Q16" s="387"/>
    </row>
    <row r="17" ht="21.75" customHeight="1">
      <c r="A17" s="357">
        <v>42675.0</v>
      </c>
      <c r="B17" s="395" t="str">
        <f t="shared" si="3"/>
        <v>Nov-2016</v>
      </c>
      <c r="C17" s="359">
        <f>countifs(Melee!$M:$M,"W",Melee!$F:$F,B17)/(countifs(Melee!$M:$M,"W",Melee!$F:$F,B17)+countifs(Melee!$M:$M,"L",Melee!$F:$F,B17))</f>
        <v>0.53125</v>
      </c>
      <c r="D17" s="360">
        <f>countifs(Melee!$M:$M,"W",Melee!$F:$F,B17)</f>
        <v>17</v>
      </c>
      <c r="E17" s="360">
        <f>countifs(Melee!$M:$M,"L",Melee!$F:$F,B17)</f>
        <v>15</v>
      </c>
      <c r="F17" s="361">
        <f t="shared" si="4"/>
        <v>32</v>
      </c>
      <c r="G17" s="362">
        <f>sum(COUNTIFS(Melee!A:A,"Weekly",Melee!$F:$F,B17),COUNTIFS(Melee!A:A,"Monthly",Melee!$F:$F,B17),COUNTIFS(Melee!A:A,"Local",Melee!$F:$F,B17),COUNTIFS(Melee!A:A,"Arcadian",Melee!$F:$F,B17),COUNTIFS(Melee!A:A,"Regional",Melee!$F:$F,B17),COUNTIFS(Melee!A:A,"Major",Melee!$F:$F,B17),COUNTIFS(Melee!A:A,"Super Major",Melee!$F:$F,B17))</f>
        <v>5</v>
      </c>
      <c r="H17" s="363">
        <f t="shared" si="5"/>
        <v>6.4</v>
      </c>
      <c r="I17" s="375"/>
      <c r="L17" s="376"/>
      <c r="M17" s="375"/>
      <c r="P17" s="376"/>
      <c r="Q17" s="387"/>
    </row>
    <row r="18" ht="21.75" customHeight="1">
      <c r="A18" s="357">
        <v>42705.0</v>
      </c>
      <c r="B18" s="395" t="str">
        <f t="shared" si="3"/>
        <v>Dec-2016</v>
      </c>
      <c r="C18" s="359">
        <f>countifs(Melee!$M:$M,"W",Melee!$F:$F,B18)/(countifs(Melee!$M:$M,"W",Melee!$F:$F,B18)+countifs(Melee!$M:$M,"L",Melee!$F:$F,B18))</f>
        <v>0.5714285714</v>
      </c>
      <c r="D18" s="360">
        <f>countifs(Melee!$M:$M,"W",Melee!$F:$F,B18)</f>
        <v>8</v>
      </c>
      <c r="E18" s="360">
        <f>countifs(Melee!$M:$M,"L",Melee!$F:$F,B18)</f>
        <v>6</v>
      </c>
      <c r="F18" s="361">
        <f t="shared" si="4"/>
        <v>14</v>
      </c>
      <c r="G18" s="362">
        <f>sum(COUNTIFS(Melee!A:A,"Weekly",Melee!$F:$F,B18),COUNTIFS(Melee!A:A,"Monthly",Melee!$F:$F,B18),COUNTIFS(Melee!A:A,"Local",Melee!$F:$F,B18),COUNTIFS(Melee!A:A,"Arcadian",Melee!$F:$F,B18),COUNTIFS(Melee!A:A,"Regional",Melee!$F:$F,B18),COUNTIFS(Melee!A:A,"Major",Melee!$F:$F,B18),COUNTIFS(Melee!A:A,"Super Major",Melee!$F:$F,B18))</f>
        <v>3</v>
      </c>
      <c r="H18" s="363">
        <f t="shared" si="5"/>
        <v>4.666666667</v>
      </c>
      <c r="I18" s="375"/>
      <c r="L18" s="376"/>
      <c r="M18" s="375"/>
      <c r="P18" s="376"/>
      <c r="Q18" s="387"/>
    </row>
    <row r="19" ht="21.75" customHeight="1">
      <c r="A19" s="357">
        <v>42736.0</v>
      </c>
      <c r="B19" s="395" t="str">
        <f t="shared" si="3"/>
        <v>Jan-2017</v>
      </c>
      <c r="C19" s="359">
        <f>countifs(Melee!$M:$M,"W",Melee!$F:$F,B19)/(countifs(Melee!$M:$M,"W",Melee!$F:$F,B19)+countifs(Melee!$M:$M,"L",Melee!$F:$F,B19))</f>
        <v>0.4074074074</v>
      </c>
      <c r="D19" s="360">
        <f>countifs(Melee!$M:$M,"W",Melee!$F:$F,B19)</f>
        <v>11</v>
      </c>
      <c r="E19" s="360">
        <f>countifs(Melee!$M:$M,"L",Melee!$F:$F,B19)</f>
        <v>16</v>
      </c>
      <c r="F19" s="361">
        <f t="shared" si="4"/>
        <v>27</v>
      </c>
      <c r="G19" s="362">
        <f>sum(COUNTIFS(Melee!A:A,"Weekly",Melee!$F:$F,B19),COUNTIFS(Melee!A:A,"Monthly",Melee!$F:$F,B19),COUNTIFS(Melee!A:A,"Local",Melee!$F:$F,B19),COUNTIFS(Melee!A:A,"Arcadian",Melee!$F:$F,B19),COUNTIFS(Melee!A:A,"Regional",Melee!$F:$F,B19),COUNTIFS(Melee!A:A,"Major",Melee!$F:$F,B19),COUNTIFS(Melee!A:A,"Super Major",Melee!$F:$F,B19))</f>
        <v>7</v>
      </c>
      <c r="H19" s="363">
        <f t="shared" si="5"/>
        <v>3.857142857</v>
      </c>
      <c r="I19" s="380">
        <f>sum(D19:D21)/(sum(D19:D21)+sum(E19:E21))</f>
        <v>0.4242424242</v>
      </c>
      <c r="J19" s="381">
        <f t="shared" ref="J19:K19" si="13">sum(D19:D21)</f>
        <v>28</v>
      </c>
      <c r="K19" s="381">
        <f t="shared" si="13"/>
        <v>38</v>
      </c>
      <c r="L19" s="382">
        <f>J19+K19</f>
        <v>66</v>
      </c>
      <c r="M19" s="375"/>
      <c r="P19" s="376"/>
      <c r="Q19" s="387"/>
      <c r="Z19" s="396"/>
    </row>
    <row r="20" ht="21.75" customHeight="1">
      <c r="A20" s="357">
        <v>42767.0</v>
      </c>
      <c r="B20" s="395" t="str">
        <f t="shared" si="3"/>
        <v>Feb-2017</v>
      </c>
      <c r="C20" s="359">
        <f>countifs(Melee!$M:$M,"W",Melee!$F:$F,B20)/(countifs(Melee!$M:$M,"W",Melee!$F:$F,B20)+countifs(Melee!$M:$M,"L",Melee!$F:$F,B20))</f>
        <v>0.4545454545</v>
      </c>
      <c r="D20" s="360">
        <f>countifs(Melee!$M:$M,"W",Melee!$F:$F,B20)</f>
        <v>5</v>
      </c>
      <c r="E20" s="360">
        <f>countifs(Melee!$M:$M,"L",Melee!$F:$F,B20)</f>
        <v>6</v>
      </c>
      <c r="F20" s="361">
        <f t="shared" si="4"/>
        <v>11</v>
      </c>
      <c r="G20" s="362">
        <f>sum(COUNTIFS(Melee!A:A,"Weekly",Melee!$F:$F,B20),COUNTIFS(Melee!A:A,"Monthly",Melee!$F:$F,B20),COUNTIFS(Melee!A:A,"Local",Melee!$F:$F,B20),COUNTIFS(Melee!A:A,"Arcadian",Melee!$F:$F,B20),COUNTIFS(Melee!A:A,"Regional",Melee!$F:$F,B20),COUNTIFS(Melee!A:A,"Major",Melee!$F:$F,B20),COUNTIFS(Melee!A:A,"Super Major",Melee!$F:$F,B20))</f>
        <v>3</v>
      </c>
      <c r="H20" s="363">
        <f t="shared" si="5"/>
        <v>3.666666667</v>
      </c>
      <c r="I20" s="375"/>
      <c r="L20" s="376"/>
      <c r="M20" s="375"/>
      <c r="P20" s="376"/>
      <c r="Q20" s="387"/>
    </row>
    <row r="21" ht="21.75" customHeight="1">
      <c r="A21" s="357">
        <v>42795.0</v>
      </c>
      <c r="B21" s="395" t="str">
        <f t="shared" si="3"/>
        <v>Mar-2017</v>
      </c>
      <c r="C21" s="359">
        <f>countifs(Melee!$M:$M,"W",Melee!$F:$F,B21)/(countifs(Melee!$M:$M,"W",Melee!$F:$F,B21)+countifs(Melee!$M:$M,"L",Melee!$F:$F,B21))</f>
        <v>0.4285714286</v>
      </c>
      <c r="D21" s="360">
        <f>countifs(Melee!$M:$M,"W",Melee!$F:$F,B21)</f>
        <v>12</v>
      </c>
      <c r="E21" s="360">
        <f>countifs(Melee!$M:$M,"L",Melee!$F:$F,B21)</f>
        <v>16</v>
      </c>
      <c r="F21" s="361">
        <f t="shared" si="4"/>
        <v>28</v>
      </c>
      <c r="G21" s="362">
        <f>sum(COUNTIFS(Melee!A:A,"Weekly",Melee!$F:$F,B21),COUNTIFS(Melee!A:A,"Monthly",Melee!$F:$F,B21),COUNTIFS(Melee!A:A,"Local",Melee!$F:$F,B21),COUNTIFS(Melee!A:A,"Arcadian",Melee!$F:$F,B21),COUNTIFS(Melee!A:A,"Regional",Melee!$F:$F,B21),COUNTIFS(Melee!A:A,"Major",Melee!$F:$F,B21),COUNTIFS(Melee!A:A,"Super Major",Melee!$F:$F,B21))</f>
        <v>5</v>
      </c>
      <c r="H21" s="363">
        <f t="shared" si="5"/>
        <v>5.6</v>
      </c>
      <c r="I21" s="375"/>
      <c r="L21" s="376"/>
      <c r="M21" s="375"/>
      <c r="P21" s="376"/>
      <c r="Q21" s="387"/>
    </row>
    <row r="22" ht="21.75" customHeight="1">
      <c r="A22" s="357">
        <v>42826.0</v>
      </c>
      <c r="B22" s="395" t="str">
        <f t="shared" si="3"/>
        <v>Apr-2017</v>
      </c>
      <c r="C22" s="359">
        <f>countifs(Melee!$M:$M,"W",Melee!$F:$F,B22)/(countifs(Melee!$M:$M,"W",Melee!$F:$F,B22)+countifs(Melee!$M:$M,"L",Melee!$F:$F,B22))</f>
        <v>0.6086956522</v>
      </c>
      <c r="D22" s="360">
        <f>countifs(Melee!$M:$M,"W",Melee!$F:$F,B22)</f>
        <v>14</v>
      </c>
      <c r="E22" s="360">
        <f>countifs(Melee!$M:$M,"L",Melee!$F:$F,B22)</f>
        <v>9</v>
      </c>
      <c r="F22" s="361">
        <f t="shared" si="4"/>
        <v>23</v>
      </c>
      <c r="G22" s="362">
        <f>sum(COUNTIFS(Melee!A:A,"Weekly",Melee!$F:$F,B22),COUNTIFS(Melee!A:A,"Monthly",Melee!$F:$F,B22),COUNTIFS(Melee!A:A,"Local",Melee!$F:$F,B22),COUNTIFS(Melee!A:A,"Arcadian",Melee!$F:$F,B22),COUNTIFS(Melee!A:A,"Regional",Melee!$F:$F,B22),COUNTIFS(Melee!A:A,"Major",Melee!$F:$F,B22),COUNTIFS(Melee!A:A,"Super Major",Melee!$F:$F,B22))</f>
        <v>4</v>
      </c>
      <c r="H22" s="363">
        <f t="shared" si="5"/>
        <v>5.75</v>
      </c>
      <c r="I22" s="380">
        <f>sum(D22:D24)/(sum(D22:D24)+sum(E22:E24))</f>
        <v>0.6033057851</v>
      </c>
      <c r="J22" s="381">
        <f t="shared" ref="J22:K22" si="14">sum(D22:D24)</f>
        <v>73</v>
      </c>
      <c r="K22" s="381">
        <f t="shared" si="14"/>
        <v>48</v>
      </c>
      <c r="L22" s="382">
        <f>J22+K22</f>
        <v>121</v>
      </c>
      <c r="M22" s="375"/>
      <c r="P22" s="376"/>
      <c r="Q22" s="387"/>
    </row>
    <row r="23" ht="21.75" customHeight="1">
      <c r="A23" s="357">
        <v>42856.0</v>
      </c>
      <c r="B23" s="395" t="str">
        <f t="shared" si="3"/>
        <v>May-2017</v>
      </c>
      <c r="C23" s="359">
        <f>countifs(Melee!$M:$M,"W",Melee!$F:$F,B23)/(countifs(Melee!$M:$M,"W",Melee!$F:$F,B23)+countifs(Melee!$M:$M,"L",Melee!$F:$F,B23))</f>
        <v>0.5789473684</v>
      </c>
      <c r="D23" s="360">
        <f>countifs(Melee!$M:$M,"W",Melee!$F:$F,B23)</f>
        <v>33</v>
      </c>
      <c r="E23" s="360">
        <f>countifs(Melee!$M:$M,"L",Melee!$F:$F,B23)</f>
        <v>24</v>
      </c>
      <c r="F23" s="361">
        <f t="shared" si="4"/>
        <v>57</v>
      </c>
      <c r="G23" s="362">
        <f>sum(COUNTIFS(Melee!A:A,"Weekly",Melee!$F:$F,B23),COUNTIFS(Melee!A:A,"Monthly",Melee!$F:$F,B23),COUNTIFS(Melee!A:A,"Local",Melee!$F:$F,B23),COUNTIFS(Melee!A:A,"Arcadian",Melee!$F:$F,B23),COUNTIFS(Melee!A:A,"Regional",Melee!$F:$F,B23),COUNTIFS(Melee!A:A,"Major",Melee!$F:$F,B23),COUNTIFS(Melee!A:A,"Super Major",Melee!$F:$F,B23))</f>
        <v>9</v>
      </c>
      <c r="H23" s="363">
        <f t="shared" si="5"/>
        <v>6.333333333</v>
      </c>
      <c r="I23" s="375"/>
      <c r="L23" s="376"/>
      <c r="M23" s="375"/>
      <c r="P23" s="376"/>
      <c r="Q23" s="387"/>
    </row>
    <row r="24" ht="21.75" customHeight="1">
      <c r="A24" s="357">
        <v>42887.0</v>
      </c>
      <c r="B24" s="395" t="str">
        <f t="shared" si="3"/>
        <v>Jun-2017</v>
      </c>
      <c r="C24" s="359">
        <f>countifs(Melee!$M:$M,"W",Melee!$F:$F,B24)/(countifs(Melee!$M:$M,"W",Melee!$F:$F,B24)+countifs(Melee!$M:$M,"L",Melee!$F:$F,B24))</f>
        <v>0.6341463415</v>
      </c>
      <c r="D24" s="360">
        <f>countifs(Melee!$M:$M,"W",Melee!$F:$F,B24)</f>
        <v>26</v>
      </c>
      <c r="E24" s="360">
        <f>countifs(Melee!$M:$M,"L",Melee!$F:$F,B24)</f>
        <v>15</v>
      </c>
      <c r="F24" s="361">
        <f t="shared" si="4"/>
        <v>41</v>
      </c>
      <c r="G24" s="362">
        <f>sum(COUNTIFS(Melee!A:A,"Weekly",Melee!$F:$F,B24),COUNTIFS(Melee!A:A,"Monthly",Melee!$F:$F,B24),COUNTIFS(Melee!A:A,"Local",Melee!$F:$F,B24),COUNTIFS(Melee!A:A,"Arcadian",Melee!$F:$F,B24),COUNTIFS(Melee!A:A,"Regional",Melee!$F:$F,B24),COUNTIFS(Melee!A:A,"Major",Melee!$F:$F,B24),COUNTIFS(Melee!A:A,"Super Major",Melee!$F:$F,B24))</f>
        <v>7</v>
      </c>
      <c r="H24" s="363">
        <f t="shared" si="5"/>
        <v>5.857142857</v>
      </c>
      <c r="I24" s="375"/>
      <c r="L24" s="376"/>
      <c r="M24" s="375"/>
      <c r="P24" s="376"/>
      <c r="Q24" s="387"/>
    </row>
    <row r="25" ht="21.75" customHeight="1">
      <c r="A25" s="357">
        <v>42917.0</v>
      </c>
      <c r="B25" s="397" t="str">
        <f t="shared" si="3"/>
        <v>Jul-2017</v>
      </c>
      <c r="C25" s="359">
        <f>countifs(Melee!$M:$M,"W",Melee!$F:$F,B25)/(countifs(Melee!$M:$M,"W",Melee!$F:$F,B25)+countifs(Melee!$M:$M,"L",Melee!$F:$F,B25))</f>
        <v>0.6</v>
      </c>
      <c r="D25" s="360">
        <f>countifs(Melee!$M:$M,"W",Melee!$F:$F,B25)</f>
        <v>24</v>
      </c>
      <c r="E25" s="360">
        <f>countifs(Melee!$M:$M,"L",Melee!$F:$F,B25)</f>
        <v>16</v>
      </c>
      <c r="F25" s="361">
        <f t="shared" si="4"/>
        <v>40</v>
      </c>
      <c r="G25" s="362">
        <f>sum(COUNTIFS(Melee!A:A,"Weekly",Melee!$F:$F,B25),COUNTIFS(Melee!A:A,"Monthly",Melee!$F:$F,B25),COUNTIFS(Melee!A:A,"Local",Melee!$F:$F,B25),COUNTIFS(Melee!A:A,"Arcadian",Melee!$F:$F,B25),COUNTIFS(Melee!A:A,"Regional",Melee!$F:$F,B25),COUNTIFS(Melee!A:A,"Major",Melee!$F:$F,B25),COUNTIFS(Melee!A:A,"Super Major",Melee!$F:$F,B25))</f>
        <v>8</v>
      </c>
      <c r="H25" s="363">
        <f t="shared" si="5"/>
        <v>5</v>
      </c>
      <c r="I25" s="380">
        <f>sum(D25:D27)/(sum(D25:D27)+sum(E25:E27))</f>
        <v>0.5944055944</v>
      </c>
      <c r="J25" s="381">
        <f t="shared" ref="J25:K25" si="15">sum(D25:D27)</f>
        <v>85</v>
      </c>
      <c r="K25" s="381">
        <f t="shared" si="15"/>
        <v>58</v>
      </c>
      <c r="L25" s="382">
        <f>J25+K25</f>
        <v>143</v>
      </c>
      <c r="M25" s="375"/>
      <c r="P25" s="376"/>
      <c r="Q25" s="387"/>
    </row>
    <row r="26" ht="21.75" customHeight="1">
      <c r="A26" s="357">
        <v>42948.0</v>
      </c>
      <c r="B26" s="398" t="str">
        <f t="shared" si="3"/>
        <v>Aug-2017</v>
      </c>
      <c r="C26" s="359">
        <f>countifs(Melee!$M:$M,"W",Melee!$F:$F,B26)/(countifs(Melee!$M:$M,"W",Melee!$F:$F,B26)+countifs(Melee!$M:$M,"L",Melee!$F:$F,B26))</f>
        <v>0.6285714286</v>
      </c>
      <c r="D26" s="360">
        <f>countifs(Melee!$M:$M,"W",Melee!$F:$F,B26)</f>
        <v>44</v>
      </c>
      <c r="E26" s="360">
        <f>countifs(Melee!$M:$M,"L",Melee!$F:$F,B26)</f>
        <v>26</v>
      </c>
      <c r="F26" s="361">
        <f t="shared" si="4"/>
        <v>70</v>
      </c>
      <c r="G26" s="362">
        <f>sum(COUNTIFS(Melee!A:A,"Weekly",Melee!$F:$F,B26),COUNTIFS(Melee!A:A,"Monthly",Melee!$F:$F,B26),COUNTIFS(Melee!A:A,"Local",Melee!$F:$F,B26),COUNTIFS(Melee!A:A,"Arcadian",Melee!$F:$F,B26),COUNTIFS(Melee!A:A,"Regional",Melee!$F:$F,B26),COUNTIFS(Melee!A:A,"Major",Melee!$F:$F,B26),COUNTIFS(Melee!A:A,"Super Major",Melee!$F:$F,B26))</f>
        <v>11</v>
      </c>
      <c r="H26" s="363">
        <f t="shared" si="5"/>
        <v>6.363636364</v>
      </c>
      <c r="I26" s="375"/>
      <c r="L26" s="376"/>
      <c r="M26" s="399">
        <f>sum(D26:D37)/(sum(D26:E37))</f>
        <v>0.602173913</v>
      </c>
      <c r="N26" s="400">
        <f t="shared" ref="N26:O26" si="16">sum(D26:D37)</f>
        <v>277</v>
      </c>
      <c r="O26" s="400">
        <f t="shared" si="16"/>
        <v>183</v>
      </c>
      <c r="P26" s="401">
        <f>N26+O26</f>
        <v>460</v>
      </c>
      <c r="Q26" s="387"/>
    </row>
    <row r="27" ht="21.75" customHeight="1">
      <c r="A27" s="357">
        <v>42979.0</v>
      </c>
      <c r="B27" s="398" t="str">
        <f t="shared" si="3"/>
        <v>Sep-2017</v>
      </c>
      <c r="C27" s="359">
        <f>countifs(Melee!$M:$M,"W",Melee!$F:$F,B27)/(countifs(Melee!$M:$M,"W",Melee!$F:$F,B27)+countifs(Melee!$M:$M,"L",Melee!$F:$F,B27))</f>
        <v>0.5151515152</v>
      </c>
      <c r="D27" s="360">
        <f>countifs(Melee!$M:$M,"W",Melee!$F:$F,B27)</f>
        <v>17</v>
      </c>
      <c r="E27" s="360">
        <f>countifs(Melee!$M:$M,"L",Melee!$F:$F,B27)</f>
        <v>16</v>
      </c>
      <c r="F27" s="361">
        <f t="shared" si="4"/>
        <v>33</v>
      </c>
      <c r="G27" s="362">
        <f>sum(COUNTIFS(Melee!A:A,"Weekly",Melee!$F:$F,B27),COUNTIFS(Melee!A:A,"Monthly",Melee!$F:$F,B27),COUNTIFS(Melee!A:A,"Local",Melee!$F:$F,B27),COUNTIFS(Melee!A:A,"Arcadian",Melee!$F:$F,B27),COUNTIFS(Melee!A:A,"Regional",Melee!$F:$F,B27),COUNTIFS(Melee!A:A,"Major",Melee!$F:$F,B27),COUNTIFS(Melee!A:A,"Super Major",Melee!$F:$F,B27))</f>
        <v>7</v>
      </c>
      <c r="H27" s="363">
        <f t="shared" si="5"/>
        <v>4.714285714</v>
      </c>
      <c r="I27" s="375"/>
      <c r="L27" s="376"/>
      <c r="M27" s="375"/>
      <c r="P27" s="376"/>
      <c r="Q27" s="402"/>
    </row>
    <row r="28" ht="21.75" customHeight="1">
      <c r="A28" s="357">
        <v>43009.0</v>
      </c>
      <c r="B28" s="398" t="str">
        <f t="shared" si="3"/>
        <v>Oct-2017</v>
      </c>
      <c r="C28" s="359">
        <f>countifs(Melee!$M:$M,"W",Melee!$F:$F,B28)/(countifs(Melee!$M:$M,"W",Melee!$F:$F,B28)+countifs(Melee!$M:$M,"L",Melee!$F:$F,B28))</f>
        <v>0.5294117647</v>
      </c>
      <c r="D28" s="360">
        <f>countifs(Melee!$M:$M,"W",Melee!$F:$F,B28)</f>
        <v>9</v>
      </c>
      <c r="E28" s="360">
        <f>countifs(Melee!$M:$M,"L",Melee!$F:$F,B28)</f>
        <v>8</v>
      </c>
      <c r="F28" s="361">
        <f t="shared" si="4"/>
        <v>17</v>
      </c>
      <c r="G28" s="362">
        <f>sum(COUNTIFS(Melee!A:A,"Weekly",Melee!$F:$F,B28),COUNTIFS(Melee!A:A,"Monthly",Melee!$F:$F,B28),COUNTIFS(Melee!A:A,"Local",Melee!$F:$F,B28),COUNTIFS(Melee!A:A,"Arcadian",Melee!$F:$F,B28),COUNTIFS(Melee!A:A,"Regional",Melee!$F:$F,B28),COUNTIFS(Melee!A:A,"Major",Melee!$F:$F,B28),COUNTIFS(Melee!A:A,"Super Major",Melee!$F:$F,B28))</f>
        <v>4</v>
      </c>
      <c r="H28" s="363">
        <f t="shared" si="5"/>
        <v>4.25</v>
      </c>
      <c r="I28" s="380">
        <f>sum(D28:D30)/(sum(D28:D30)+sum(E28:E30))</f>
        <v>0.5612244898</v>
      </c>
      <c r="J28" s="381">
        <f t="shared" ref="J28:K28" si="17">sum(D28:D30)</f>
        <v>55</v>
      </c>
      <c r="K28" s="381">
        <f t="shared" si="17"/>
        <v>43</v>
      </c>
      <c r="L28" s="382">
        <f>J28+K28</f>
        <v>98</v>
      </c>
      <c r="M28" s="375"/>
      <c r="P28" s="376"/>
      <c r="Q28" s="403"/>
    </row>
    <row r="29" ht="21.75" customHeight="1">
      <c r="A29" s="357">
        <v>43040.0</v>
      </c>
      <c r="B29" s="398" t="str">
        <f t="shared" si="3"/>
        <v>Nov-2017</v>
      </c>
      <c r="C29" s="359">
        <f>countifs(Melee!$M:$M,"W",Melee!$F:$F,B29)/(countifs(Melee!$M:$M,"W",Melee!$F:$F,B29)+countifs(Melee!$M:$M,"L",Melee!$F:$F,B29))</f>
        <v>0.5714285714</v>
      </c>
      <c r="D29" s="360">
        <f>countifs(Melee!$M:$M,"W",Melee!$F:$F,B29)</f>
        <v>32</v>
      </c>
      <c r="E29" s="360">
        <f>countifs(Melee!$M:$M,"L",Melee!$F:$F,B29)</f>
        <v>24</v>
      </c>
      <c r="F29" s="361">
        <f t="shared" si="4"/>
        <v>56</v>
      </c>
      <c r="G29" s="362">
        <f>sum(COUNTIFS(Melee!A:A,"Weekly",Melee!$F:$F,B29),COUNTIFS(Melee!A:A,"Monthly",Melee!$F:$F,B29),COUNTIFS(Melee!A:A,"Local",Melee!$F:$F,B29),COUNTIFS(Melee!A:A,"Arcadian",Melee!$F:$F,B29),COUNTIFS(Melee!A:A,"Regional",Melee!$F:$F,B29),COUNTIFS(Melee!A:A,"Major",Melee!$F:$F,B29),COUNTIFS(Melee!A:A,"Super Major",Melee!$F:$F,B29))</f>
        <v>9</v>
      </c>
      <c r="H29" s="363">
        <f t="shared" si="5"/>
        <v>6.222222222</v>
      </c>
      <c r="I29" s="375"/>
      <c r="L29" s="376"/>
      <c r="M29" s="375"/>
      <c r="P29" s="376"/>
      <c r="Q29" s="387"/>
    </row>
    <row r="30" ht="21.75" customHeight="1">
      <c r="A30" s="357">
        <v>43070.0</v>
      </c>
      <c r="B30" s="398" t="str">
        <f t="shared" si="3"/>
        <v>Dec-2017</v>
      </c>
      <c r="C30" s="359">
        <f>countifs(Melee!$M:$M,"W",Melee!$F:$F,B30)/(countifs(Melee!$M:$M,"W",Melee!$F:$F,B30)+countifs(Melee!$M:$M,"L",Melee!$F:$F,B30))</f>
        <v>0.56</v>
      </c>
      <c r="D30" s="360">
        <f>countifs(Melee!$M:$M,"W",Melee!$F:$F,B30)</f>
        <v>14</v>
      </c>
      <c r="E30" s="360">
        <f>countifs(Melee!$M:$M,"L",Melee!$F:$F,B30)</f>
        <v>11</v>
      </c>
      <c r="F30" s="361">
        <f t="shared" si="4"/>
        <v>25</v>
      </c>
      <c r="G30" s="362">
        <f>sum(COUNTIFS(Melee!A:A,"Weekly",Melee!$F:$F,B30),COUNTIFS(Melee!A:A,"Monthly",Melee!$F:$F,B30),COUNTIFS(Melee!A:A,"Local",Melee!$F:$F,B30),COUNTIFS(Melee!A:A,"Arcadian",Melee!$F:$F,B30),COUNTIFS(Melee!A:A,"Regional",Melee!$F:$F,B30),COUNTIFS(Melee!A:A,"Major",Melee!$F:$F,B30),COUNTIFS(Melee!A:A,"Super Major",Melee!$F:$F,B30))</f>
        <v>4</v>
      </c>
      <c r="H30" s="363">
        <f t="shared" si="5"/>
        <v>6.25</v>
      </c>
      <c r="I30" s="375"/>
      <c r="L30" s="376"/>
      <c r="M30" s="375"/>
      <c r="P30" s="376"/>
      <c r="Q30" s="387"/>
    </row>
    <row r="31" ht="21.75" customHeight="1">
      <c r="A31" s="357">
        <v>43101.0</v>
      </c>
      <c r="B31" s="398" t="str">
        <f t="shared" si="3"/>
        <v>Jan-2018</v>
      </c>
      <c r="C31" s="359">
        <f>countifs(Melee!$M:$M,"W",Melee!$F:$F,B31)/(countifs(Melee!$M:$M,"W",Melee!$F:$F,B31)+countifs(Melee!$M:$M,"L",Melee!$F:$F,B31))</f>
        <v>0.6315789474</v>
      </c>
      <c r="D31" s="360">
        <f>countifs(Melee!$M:$M,"W",Melee!$F:$F,B31)</f>
        <v>24</v>
      </c>
      <c r="E31" s="360">
        <f>countifs(Melee!$M:$M,"L",Melee!$F:$F,B31)</f>
        <v>14</v>
      </c>
      <c r="F31" s="361">
        <f t="shared" si="4"/>
        <v>38</v>
      </c>
      <c r="G31" s="362">
        <f>sum(COUNTIFS(Melee!A:A,"Weekly",Melee!$F:$F,B31),COUNTIFS(Melee!A:A,"Monthly",Melee!$F:$F,B31),COUNTIFS(Melee!A:A,"Local",Melee!$F:$F,B31),COUNTIFS(Melee!A:A,"Arcadian",Melee!$F:$F,B31),COUNTIFS(Melee!A:A,"Regional",Melee!$F:$F,B31),COUNTIFS(Melee!A:A,"Major",Melee!$F:$F,B31),COUNTIFS(Melee!A:A,"Super Major",Melee!$F:$F,B31))</f>
        <v>6</v>
      </c>
      <c r="H31" s="363">
        <f t="shared" si="5"/>
        <v>6.333333333</v>
      </c>
      <c r="I31" s="380">
        <f>sum(D31:D33)/(sum(D31:D33)+sum(E31:E33))</f>
        <v>0.5983606557</v>
      </c>
      <c r="J31" s="381">
        <f t="shared" ref="J31:K31" si="18">sum(D31:D33)</f>
        <v>73</v>
      </c>
      <c r="K31" s="381">
        <f t="shared" si="18"/>
        <v>49</v>
      </c>
      <c r="L31" s="382">
        <f>J31+K31</f>
        <v>122</v>
      </c>
      <c r="M31" s="375"/>
      <c r="P31" s="376"/>
      <c r="Q31" s="387"/>
    </row>
    <row r="32" ht="21.75" customHeight="1">
      <c r="A32" s="357">
        <v>43132.0</v>
      </c>
      <c r="B32" s="398" t="str">
        <f t="shared" si="3"/>
        <v>Feb-2018</v>
      </c>
      <c r="C32" s="359">
        <f>countifs(Melee!$M:$M,"W",Melee!$F:$F,B32)/(countifs(Melee!$M:$M,"W",Melee!$F:$F,B32)+countifs(Melee!$M:$M,"L",Melee!$F:$F,B32))</f>
        <v>0.6428571429</v>
      </c>
      <c r="D32" s="360">
        <f>countifs(Melee!$M:$M,"W",Melee!$F:$F,B32)</f>
        <v>36</v>
      </c>
      <c r="E32" s="360">
        <f>countifs(Melee!$M:$M,"L",Melee!$F:$F,B32)</f>
        <v>20</v>
      </c>
      <c r="F32" s="361">
        <f t="shared" si="4"/>
        <v>56</v>
      </c>
      <c r="G32" s="362">
        <f>sum(COUNTIFS(Melee!A:A,"Weekly",Melee!$F:$F,B32),COUNTIFS(Melee!A:A,"Monthly",Melee!$F:$F,B32),COUNTIFS(Melee!A:A,"Local",Melee!$F:$F,B32),COUNTIFS(Melee!A:A,"Arcadian",Melee!$F:$F,B32),COUNTIFS(Melee!A:A,"Regional",Melee!$F:$F,B32),COUNTIFS(Melee!A:A,"Major",Melee!$F:$F,B32),COUNTIFS(Melee!A:A,"Super Major",Melee!$F:$F,B32))</f>
        <v>7</v>
      </c>
      <c r="H32" s="363">
        <f t="shared" si="5"/>
        <v>8</v>
      </c>
      <c r="I32" s="375"/>
      <c r="L32" s="376"/>
      <c r="M32" s="375"/>
      <c r="P32" s="376"/>
      <c r="Q32" s="387"/>
    </row>
    <row r="33" ht="21.75" customHeight="1">
      <c r="A33" s="357">
        <v>43160.0</v>
      </c>
      <c r="B33" s="398" t="str">
        <f t="shared" si="3"/>
        <v>Mar-2018</v>
      </c>
      <c r="C33" s="359">
        <f>countifs(Melee!$M:$M,"W",Melee!$F:$F,B33)/(countifs(Melee!$M:$M,"W",Melee!$F:$F,B33)+countifs(Melee!$M:$M,"L",Melee!$F:$F,B33))</f>
        <v>0.4642857143</v>
      </c>
      <c r="D33" s="360">
        <f>countifs(Melee!$M:$M,"W",Melee!$F:$F,B33)</f>
        <v>13</v>
      </c>
      <c r="E33" s="360">
        <f>countifs(Melee!$M:$M,"L",Melee!$F:$F,B33)</f>
        <v>15</v>
      </c>
      <c r="F33" s="361">
        <f t="shared" si="4"/>
        <v>28</v>
      </c>
      <c r="G33" s="362">
        <f>sum(COUNTIFS(Melee!A:A,"Weekly",Melee!$F:$F,B33),COUNTIFS(Melee!A:A,"Monthly",Melee!$F:$F,B33),COUNTIFS(Melee!A:A,"Local",Melee!$F:$F,B33),COUNTIFS(Melee!A:A,"Arcadian",Melee!$F:$F,B33),COUNTIFS(Melee!A:A,"Regional",Melee!$F:$F,B33),COUNTIFS(Melee!A:A,"Major",Melee!$F:$F,B33),COUNTIFS(Melee!A:A,"Super Major",Melee!$F:$F,B33))</f>
        <v>6</v>
      </c>
      <c r="H33" s="363">
        <f t="shared" si="5"/>
        <v>4.666666667</v>
      </c>
      <c r="I33" s="375"/>
      <c r="L33" s="376"/>
      <c r="M33" s="375"/>
      <c r="P33" s="376"/>
      <c r="Q33" s="387"/>
    </row>
    <row r="34" ht="21.75" customHeight="1">
      <c r="A34" s="357">
        <v>43191.0</v>
      </c>
      <c r="B34" s="398" t="str">
        <f t="shared" si="3"/>
        <v>Apr-2018</v>
      </c>
      <c r="C34" s="359">
        <f>countifs(Melee!$M:$M,"W",Melee!$F:$F,B34)/(countifs(Melee!$M:$M,"W",Melee!$F:$F,B34)+countifs(Melee!$M:$M,"L",Melee!$F:$F,B34))</f>
        <v>0.6862745098</v>
      </c>
      <c r="D34" s="360">
        <f>countifs(Melee!$M:$M,"W",Melee!$F:$F,B34)</f>
        <v>35</v>
      </c>
      <c r="E34" s="360">
        <f>countifs(Melee!$M:$M,"L",Melee!$F:$F,B34)</f>
        <v>16</v>
      </c>
      <c r="F34" s="361">
        <f t="shared" si="4"/>
        <v>51</v>
      </c>
      <c r="G34" s="362">
        <f>sum(COUNTIFS(Melee!A:A,"Weekly",Melee!$F:$F,B34),COUNTIFS(Melee!A:A,"Monthly",Melee!$F:$F,B34),COUNTIFS(Melee!A:A,"Local",Melee!$F:$F,B34),COUNTIFS(Melee!A:A,"Arcadian",Melee!$F:$F,B34),COUNTIFS(Melee!A:A,"Regional",Melee!$F:$F,B34),COUNTIFS(Melee!A:A,"Major",Melee!$F:$F,B34),COUNTIFS(Melee!A:A,"Super Major",Melee!$F:$F,B34))</f>
        <v>6</v>
      </c>
      <c r="H34" s="363">
        <f t="shared" si="5"/>
        <v>8.5</v>
      </c>
      <c r="I34" s="380">
        <f>sum(D34:D36)/(sum(D34:D36)+sum(E34:E36))</f>
        <v>0.6597938144</v>
      </c>
      <c r="J34" s="381">
        <f t="shared" ref="J34:K34" si="19">sum(D34:D36)</f>
        <v>64</v>
      </c>
      <c r="K34" s="381">
        <f t="shared" si="19"/>
        <v>33</v>
      </c>
      <c r="L34" s="382">
        <f>J34+K34</f>
        <v>97</v>
      </c>
      <c r="M34" s="375"/>
      <c r="P34" s="376"/>
      <c r="Q34" s="387"/>
    </row>
    <row r="35" ht="21.75" customHeight="1">
      <c r="A35" s="357">
        <v>43221.0</v>
      </c>
      <c r="B35" s="398" t="str">
        <f t="shared" si="3"/>
        <v>May-2018</v>
      </c>
      <c r="C35" s="359">
        <f>countifs(Melee!$M:$M,"W",Melee!$F:$F,B35)/(countifs(Melee!$M:$M,"W",Melee!$F:$F,B35)+countifs(Melee!$M:$M,"L",Melee!$F:$F,B35))</f>
        <v>0.6451612903</v>
      </c>
      <c r="D35" s="360">
        <f>countifs(Melee!$M:$M,"W",Melee!$F:$F,B35)</f>
        <v>20</v>
      </c>
      <c r="E35" s="360">
        <f>countifs(Melee!$M:$M,"L",Melee!$F:$F,B35)</f>
        <v>11</v>
      </c>
      <c r="F35" s="361">
        <f t="shared" si="4"/>
        <v>31</v>
      </c>
      <c r="G35" s="362">
        <f>sum(COUNTIFS(Melee!A:A,"Weekly",Melee!$F:$F,B35),COUNTIFS(Melee!A:A,"Monthly",Melee!$F:$F,B35),COUNTIFS(Melee!A:A,"Local",Melee!$F:$F,B35),COUNTIFS(Melee!A:A,"Arcadian",Melee!$F:$F,B35),COUNTIFS(Melee!A:A,"Regional",Melee!$F:$F,B35),COUNTIFS(Melee!A:A,"Major",Melee!$F:$F,B35),COUNTIFS(Melee!A:A,"Super Major",Melee!$F:$F,B35))</f>
        <v>4</v>
      </c>
      <c r="H35" s="363">
        <f t="shared" si="5"/>
        <v>7.75</v>
      </c>
      <c r="I35" s="375"/>
      <c r="L35" s="376"/>
      <c r="M35" s="375"/>
      <c r="P35" s="376"/>
      <c r="Q35" s="387"/>
    </row>
    <row r="36" ht="21.75" customHeight="1">
      <c r="A36" s="357">
        <v>43252.0</v>
      </c>
      <c r="B36" s="398" t="str">
        <f t="shared" si="3"/>
        <v>Jun-2018</v>
      </c>
      <c r="C36" s="359">
        <f>countifs(Melee!$M:$M,"W",Melee!$F:$F,B36)/(countifs(Melee!$M:$M,"W",Melee!$F:$F,B36)+countifs(Melee!$M:$M,"L",Melee!$F:$F,B36))</f>
        <v>0.6</v>
      </c>
      <c r="D36" s="360">
        <f>countifs(Melee!$M:$M,"W",Melee!$F:$F,B36)</f>
        <v>9</v>
      </c>
      <c r="E36" s="360">
        <f>countifs(Melee!$M:$M,"L",Melee!$F:$F,B36)</f>
        <v>6</v>
      </c>
      <c r="F36" s="361">
        <f t="shared" si="4"/>
        <v>15</v>
      </c>
      <c r="G36" s="362">
        <f>sum(COUNTIFS(Melee!A:A,"Weekly",Melee!$F:$F,B36),COUNTIFS(Melee!A:A,"Monthly",Melee!$F:$F,B36),COUNTIFS(Melee!A:A,"Local",Melee!$F:$F,B36),COUNTIFS(Melee!A:A,"Arcadian",Melee!$F:$F,B36),COUNTIFS(Melee!A:A,"Regional",Melee!$F:$F,B36),COUNTIFS(Melee!A:A,"Major",Melee!$F:$F,B36),COUNTIFS(Melee!A:A,"Super Major",Melee!$F:$F,B36))</f>
        <v>3</v>
      </c>
      <c r="H36" s="363">
        <f t="shared" si="5"/>
        <v>5</v>
      </c>
      <c r="I36" s="375"/>
      <c r="L36" s="376"/>
      <c r="M36" s="375"/>
      <c r="P36" s="376"/>
      <c r="Q36" s="387"/>
    </row>
    <row r="37" ht="21.75" customHeight="1">
      <c r="A37" s="357">
        <v>43282.0</v>
      </c>
      <c r="B37" s="398" t="str">
        <f t="shared" si="3"/>
        <v>Jul-2018</v>
      </c>
      <c r="C37" s="359">
        <f>countifs(Melee!$M:$M,"W",Melee!$F:$F,B37)/(countifs(Melee!$M:$M,"W",Melee!$F:$F,B37)+countifs(Melee!$M:$M,"L",Melee!$F:$F,B37))</f>
        <v>0.6</v>
      </c>
      <c r="D37" s="360">
        <f>countifs(Melee!$M:$M,"W",Melee!$F:$F,B37)</f>
        <v>24</v>
      </c>
      <c r="E37" s="360">
        <f>countifs(Melee!$M:$M,"L",Melee!$F:$F,B37)</f>
        <v>16</v>
      </c>
      <c r="F37" s="361">
        <f t="shared" si="4"/>
        <v>40</v>
      </c>
      <c r="G37" s="362">
        <f>sum(COUNTIFS(Melee!A:A,"Weekly",Melee!$F:$F,B37),COUNTIFS(Melee!A:A,"Monthly",Melee!$F:$F,B37),COUNTIFS(Melee!A:A,"Local",Melee!$F:$F,B37),COUNTIFS(Melee!A:A,"Arcadian",Melee!$F:$F,B37),COUNTIFS(Melee!A:A,"Regional",Melee!$F:$F,B37),COUNTIFS(Melee!A:A,"Major",Melee!$F:$F,B37),COUNTIFS(Melee!A:A,"Super Major",Melee!$F:$F,B37))</f>
        <v>8</v>
      </c>
      <c r="H37" s="363">
        <f t="shared" si="5"/>
        <v>5</v>
      </c>
      <c r="I37" s="380">
        <f>sum(D37:D39)/(sum(D37:D39)+sum(E37:E39))</f>
        <v>0.6346153846</v>
      </c>
      <c r="J37" s="381">
        <f t="shared" ref="J37:K37" si="20">sum(D37:D39)</f>
        <v>66</v>
      </c>
      <c r="K37" s="381">
        <f t="shared" si="20"/>
        <v>38</v>
      </c>
      <c r="L37" s="382">
        <f>J37+K37</f>
        <v>104</v>
      </c>
      <c r="M37" s="375"/>
      <c r="P37" s="376"/>
      <c r="Q37" s="387"/>
    </row>
    <row r="38" ht="21.75" customHeight="1">
      <c r="A38" s="357">
        <v>43313.0</v>
      </c>
      <c r="B38" s="404" t="str">
        <f t="shared" si="3"/>
        <v>Aug-2018</v>
      </c>
      <c r="C38" s="359">
        <f>countifs(Melee!$M:$M,"W",Melee!$F:$F,B38)/(countifs(Melee!$M:$M,"W",Melee!$F:$F,B38)+countifs(Melee!$M:$M,"L",Melee!$F:$F,B38))</f>
        <v>0.6551724138</v>
      </c>
      <c r="D38" s="360">
        <f>countifs(Melee!$M:$M,"W",Melee!$F:$F,B38)</f>
        <v>19</v>
      </c>
      <c r="E38" s="360">
        <f>countifs(Melee!$M:$M,"L",Melee!$F:$F,B38)</f>
        <v>10</v>
      </c>
      <c r="F38" s="361">
        <f t="shared" si="4"/>
        <v>29</v>
      </c>
      <c r="G38" s="362">
        <f>sum(COUNTIFS(Melee!A:A,"Weekly",Melee!$F:$F,B38),COUNTIFS(Melee!A:A,"Monthly",Melee!$F:$F,B38),COUNTIFS(Melee!A:A,"Local",Melee!$F:$F,B38),COUNTIFS(Melee!A:A,"Arcadian",Melee!$F:$F,B38),COUNTIFS(Melee!A:A,"Regional",Melee!$F:$F,B38),COUNTIFS(Melee!A:A,"Major",Melee!$F:$F,B38),COUNTIFS(Melee!A:A,"Super Major",Melee!$F:$F,B38))</f>
        <v>5</v>
      </c>
      <c r="H38" s="363">
        <f t="shared" si="5"/>
        <v>5.8</v>
      </c>
      <c r="I38" s="375"/>
      <c r="L38" s="376"/>
      <c r="M38" s="405">
        <f>sum(D38:D49)/(sum(D38:E49))</f>
        <v>0.6153846154</v>
      </c>
      <c r="N38" s="406">
        <f t="shared" ref="N38:O38" si="21">sum(D38:D49)</f>
        <v>184</v>
      </c>
      <c r="O38" s="407">
        <f t="shared" si="21"/>
        <v>115</v>
      </c>
      <c r="P38" s="408">
        <f>N38+O38</f>
        <v>299</v>
      </c>
      <c r="Q38" s="387"/>
    </row>
    <row r="39" ht="21.75" customHeight="1">
      <c r="A39" s="357">
        <v>43344.0</v>
      </c>
      <c r="B39" s="404" t="str">
        <f t="shared" si="3"/>
        <v>Sep-2018</v>
      </c>
      <c r="C39" s="359">
        <f>countifs(Melee!$M:$M,"W",Melee!$F:$F,B39)/(countifs(Melee!$M:$M,"W",Melee!$F:$F,B39)+countifs(Melee!$M:$M,"L",Melee!$F:$F,B39))</f>
        <v>0.6571428571</v>
      </c>
      <c r="D39" s="360">
        <f>countifs(Melee!$M:$M,"W",Melee!$F:$F,B39)</f>
        <v>23</v>
      </c>
      <c r="E39" s="360">
        <f>countifs(Melee!$M:$M,"L",Melee!$F:$F,B39)</f>
        <v>12</v>
      </c>
      <c r="F39" s="361">
        <f t="shared" si="4"/>
        <v>35</v>
      </c>
      <c r="G39" s="362">
        <f>sum(COUNTIFS(Melee!A:A,"Weekly",Melee!$F:$F,B39),COUNTIFS(Melee!A:A,"Monthly",Melee!$F:$F,B39),COUNTIFS(Melee!A:A,"Local",Melee!$F:$F,B39),COUNTIFS(Melee!A:A,"Arcadian",Melee!$F:$F,B39),COUNTIFS(Melee!A:A,"Regional",Melee!$F:$F,B39),COUNTIFS(Melee!A:A,"Major",Melee!$F:$F,B39),COUNTIFS(Melee!A:A,"Super Major",Melee!$F:$F,B39))</f>
        <v>5</v>
      </c>
      <c r="H39" s="363">
        <f t="shared" si="5"/>
        <v>7</v>
      </c>
      <c r="I39" s="375"/>
      <c r="L39" s="376"/>
      <c r="M39" s="375"/>
      <c r="P39" s="376"/>
      <c r="Q39" s="387"/>
    </row>
    <row r="40" ht="21.75" customHeight="1">
      <c r="A40" s="357">
        <v>43374.0</v>
      </c>
      <c r="B40" s="404" t="str">
        <f t="shared" si="3"/>
        <v>Oct-2018</v>
      </c>
      <c r="C40" s="359">
        <f>countifs(Melee!$M:$M,"W",Melee!$F:$F,B40)/(countifs(Melee!$M:$M,"W",Melee!$F:$F,B40)+countifs(Melee!$M:$M,"L",Melee!$F:$F,B40))</f>
        <v>0.68</v>
      </c>
      <c r="D40" s="360">
        <f>countifs(Melee!$M:$M,"W",Melee!$F:$F,B40)</f>
        <v>17</v>
      </c>
      <c r="E40" s="360">
        <f>countifs(Melee!$M:$M,"L",Melee!$F:$F,B40)</f>
        <v>8</v>
      </c>
      <c r="F40" s="361">
        <f t="shared" si="4"/>
        <v>25</v>
      </c>
      <c r="G40" s="362">
        <f>sum(COUNTIFS(Melee!A:A,"Weekly",Melee!$F:$F,B40),COUNTIFS(Melee!A:A,"Monthly",Melee!$F:$F,B40),COUNTIFS(Melee!A:A,"Local",Melee!$F:$F,B40),COUNTIFS(Melee!A:A,"Arcadian",Melee!$F:$F,B40),COUNTIFS(Melee!A:A,"Regional",Melee!$F:$F,B40),COUNTIFS(Melee!A:A,"Major",Melee!$F:$F,B40),COUNTIFS(Melee!A:A,"Super Major",Melee!$F:$F,B40))</f>
        <v>4</v>
      </c>
      <c r="H40" s="363">
        <f t="shared" si="5"/>
        <v>6.25</v>
      </c>
      <c r="I40" s="380">
        <f>sum(D40:D42)/(sum(D40:D42)+sum(E40:E42))</f>
        <v>0.6617647059</v>
      </c>
      <c r="J40" s="381">
        <f t="shared" ref="J40:K40" si="22">sum(D40:D42)</f>
        <v>45</v>
      </c>
      <c r="K40" s="381">
        <f t="shared" si="22"/>
        <v>23</v>
      </c>
      <c r="L40" s="382">
        <f>J40+K40</f>
        <v>68</v>
      </c>
      <c r="M40" s="375"/>
      <c r="P40" s="376"/>
      <c r="Q40" s="387"/>
    </row>
    <row r="41" ht="21.75" customHeight="1">
      <c r="A41" s="357">
        <v>43405.0</v>
      </c>
      <c r="B41" s="404" t="str">
        <f t="shared" si="3"/>
        <v>Nov-2018</v>
      </c>
      <c r="C41" s="359">
        <f>countifs(Melee!$M:$M,"W",Melee!$F:$F,B41)/(countifs(Melee!$M:$M,"W",Melee!$F:$F,B41)+countifs(Melee!$M:$M,"L",Melee!$F:$F,B41))</f>
        <v>0.6206896552</v>
      </c>
      <c r="D41" s="360">
        <f>countifs(Melee!$M:$M,"W",Melee!$F:$F,B41)</f>
        <v>18</v>
      </c>
      <c r="E41" s="360">
        <f>countifs(Melee!$M:$M,"L",Melee!$F:$F,B41)</f>
        <v>11</v>
      </c>
      <c r="F41" s="361">
        <f t="shared" si="4"/>
        <v>29</v>
      </c>
      <c r="G41" s="362">
        <f>sum(COUNTIFS(Melee!A:A,"Weekly",Melee!$F:$F,B41),COUNTIFS(Melee!A:A,"Monthly",Melee!$F:$F,B41),COUNTIFS(Melee!A:A,"Local",Melee!$F:$F,B41),COUNTIFS(Melee!A:A,"Arcadian",Melee!$F:$F,B41),COUNTIFS(Melee!A:A,"Regional",Melee!$F:$F,B41),COUNTIFS(Melee!A:A,"Major",Melee!$F:$F,B41),COUNTIFS(Melee!A:A,"Super Major",Melee!$F:$F,B41))</f>
        <v>4</v>
      </c>
      <c r="H41" s="363">
        <f t="shared" si="5"/>
        <v>7.25</v>
      </c>
      <c r="I41" s="375"/>
      <c r="L41" s="376"/>
      <c r="M41" s="375"/>
      <c r="P41" s="376"/>
      <c r="Q41" s="387"/>
    </row>
    <row r="42" ht="21.75" customHeight="1">
      <c r="A42" s="357">
        <v>43435.0</v>
      </c>
      <c r="B42" s="404" t="str">
        <f t="shared" si="3"/>
        <v>Dec-2018</v>
      </c>
      <c r="C42" s="359">
        <f>countifs(Melee!$M:$M,"W",Melee!$F:$F,B42)/(countifs(Melee!$M:$M,"W",Melee!$F:$F,B42)+countifs(Melee!$M:$M,"L",Melee!$F:$F,B42))</f>
        <v>0.7142857143</v>
      </c>
      <c r="D42" s="360">
        <f>countifs(Melee!$M:$M,"W",Melee!$F:$F,B42)</f>
        <v>10</v>
      </c>
      <c r="E42" s="360">
        <f>countifs(Melee!$M:$M,"L",Melee!$F:$F,B42)</f>
        <v>4</v>
      </c>
      <c r="F42" s="361">
        <f t="shared" si="4"/>
        <v>14</v>
      </c>
      <c r="G42" s="362">
        <f>sum(COUNTIFS(Melee!A:A,"Weekly",Melee!$F:$F,B42),COUNTIFS(Melee!A:A,"Monthly",Melee!$F:$F,B42),COUNTIFS(Melee!A:A,"Local",Melee!$F:$F,B42),COUNTIFS(Melee!A:A,"Arcadian",Melee!$F:$F,B42),COUNTIFS(Melee!A:A,"Regional",Melee!$F:$F,B42),COUNTIFS(Melee!A:A,"Major",Melee!$F:$F,B42),COUNTIFS(Melee!A:A,"Super Major",Melee!$F:$F,B42))</f>
        <v>2</v>
      </c>
      <c r="H42" s="363">
        <f t="shared" si="5"/>
        <v>7</v>
      </c>
      <c r="I42" s="375"/>
      <c r="L42" s="376"/>
      <c r="M42" s="375"/>
      <c r="P42" s="376"/>
      <c r="Q42" s="387"/>
    </row>
    <row r="43" ht="21.75" customHeight="1">
      <c r="A43" s="357">
        <v>43466.0</v>
      </c>
      <c r="B43" s="404" t="str">
        <f t="shared" si="3"/>
        <v>Jan-2019</v>
      </c>
      <c r="C43" s="359">
        <f>countifs(Melee!$M:$M,"W",Melee!$F:$F,B43)/(countifs(Melee!$M:$M,"W",Melee!$F:$F,B43)+countifs(Melee!$M:$M,"L",Melee!$F:$F,B43))</f>
        <v>0.5588235294</v>
      </c>
      <c r="D43" s="360">
        <f>countifs(Melee!$M:$M,"W",Melee!$F:$F,B43)</f>
        <v>19</v>
      </c>
      <c r="E43" s="360">
        <f>countifs(Melee!$M:$M,"L",Melee!$F:$F,B43)</f>
        <v>15</v>
      </c>
      <c r="F43" s="361">
        <f t="shared" si="4"/>
        <v>34</v>
      </c>
      <c r="G43" s="362">
        <f>sum(COUNTIFS(Melee!A:A,"Weekly",Melee!$F:$F,B43),COUNTIFS(Melee!A:A,"Monthly",Melee!$F:$F,B43),COUNTIFS(Melee!A:A,"Local",Melee!$F:$F,B43),COUNTIFS(Melee!A:A,"Arcadian",Melee!$F:$F,B43),COUNTIFS(Melee!A:A,"Regional",Melee!$F:$F,B43),COUNTIFS(Melee!A:A,"Major",Melee!$F:$F,B43),COUNTIFS(Melee!A:A,"Super Major",Melee!$F:$F,B43))</f>
        <v>6</v>
      </c>
      <c r="H43" s="363">
        <f t="shared" si="5"/>
        <v>5.666666667</v>
      </c>
      <c r="I43" s="380">
        <f>sum(D43:D45)/(sum(D43:D45)+sum(E43:E45))</f>
        <v>0.5714285714</v>
      </c>
      <c r="J43" s="381">
        <f t="shared" ref="J43:K43" si="23">sum(D43:D45)</f>
        <v>44</v>
      </c>
      <c r="K43" s="381">
        <f t="shared" si="23"/>
        <v>33</v>
      </c>
      <c r="L43" s="382">
        <f>J43+K43</f>
        <v>77</v>
      </c>
      <c r="M43" s="375"/>
      <c r="P43" s="376"/>
      <c r="Q43" s="387"/>
    </row>
    <row r="44" ht="21.75" customHeight="1">
      <c r="A44" s="357">
        <v>43497.0</v>
      </c>
      <c r="B44" s="404" t="str">
        <f t="shared" si="3"/>
        <v>Feb-2019</v>
      </c>
      <c r="C44" s="359">
        <f>countifs(Melee!$M:$M,"W",Melee!$F:$F,B44)/(countifs(Melee!$M:$M,"W",Melee!$F:$F,B44)+countifs(Melee!$M:$M,"L",Melee!$F:$F,B44))</f>
        <v>0.5833333333</v>
      </c>
      <c r="D44" s="360">
        <f>countifs(Melee!$M:$M,"W",Melee!$F:$F,B44)</f>
        <v>14</v>
      </c>
      <c r="E44" s="360">
        <f>countifs(Melee!$M:$M,"L",Melee!$F:$F,B44)</f>
        <v>10</v>
      </c>
      <c r="F44" s="361">
        <f t="shared" si="4"/>
        <v>24</v>
      </c>
      <c r="G44" s="362">
        <f>sum(COUNTIFS(Melee!A:A,"Weekly",Melee!$F:$F,B44),COUNTIFS(Melee!A:A,"Monthly",Melee!$F:$F,B44),COUNTIFS(Melee!A:A,"Local",Melee!$F:$F,B44),COUNTIFS(Melee!A:A,"Arcadian",Melee!$F:$F,B44),COUNTIFS(Melee!A:A,"Regional",Melee!$F:$F,B44),COUNTIFS(Melee!A:A,"Major",Melee!$F:$F,B44),COUNTIFS(Melee!A:A,"Super Major",Melee!$F:$F,B44))</f>
        <v>4</v>
      </c>
      <c r="H44" s="363">
        <f t="shared" si="5"/>
        <v>6</v>
      </c>
      <c r="I44" s="375"/>
      <c r="L44" s="376"/>
      <c r="M44" s="375"/>
      <c r="P44" s="376"/>
      <c r="Q44" s="387"/>
    </row>
    <row r="45" ht="21.75" customHeight="1">
      <c r="A45" s="357">
        <v>43525.0</v>
      </c>
      <c r="B45" s="404" t="str">
        <f t="shared" si="3"/>
        <v>Mar-2019</v>
      </c>
      <c r="C45" s="359">
        <f>countifs(Melee!$M:$M,"W",Melee!$F:$F,B45)/(countifs(Melee!$M:$M,"W",Melee!$F:$F,B45)+countifs(Melee!$M:$M,"L",Melee!$F:$F,B45))</f>
        <v>0.5789473684</v>
      </c>
      <c r="D45" s="360">
        <f>countifs(Melee!$M:$M,"W",Melee!$F:$F,B45)</f>
        <v>11</v>
      </c>
      <c r="E45" s="360">
        <f>countifs(Melee!$M:$M,"L",Melee!$F:$F,B45)</f>
        <v>8</v>
      </c>
      <c r="F45" s="361">
        <f t="shared" si="4"/>
        <v>19</v>
      </c>
      <c r="G45" s="362">
        <f>sum(COUNTIFS(Melee!A:A,"Weekly",Melee!$F:$F,B45),COUNTIFS(Melee!A:A,"Monthly",Melee!$F:$F,B45),COUNTIFS(Melee!A:A,"Local",Melee!$F:$F,B45),COUNTIFS(Melee!A:A,"Arcadian",Melee!$F:$F,B45),COUNTIFS(Melee!A:A,"Regional",Melee!$F:$F,B45),COUNTIFS(Melee!A:A,"Major",Melee!$F:$F,B45),COUNTIFS(Melee!A:A,"Super Major",Melee!$F:$F,B45))</f>
        <v>4</v>
      </c>
      <c r="H45" s="363">
        <f t="shared" si="5"/>
        <v>4.75</v>
      </c>
      <c r="I45" s="375"/>
      <c r="L45" s="376"/>
      <c r="M45" s="375"/>
      <c r="P45" s="376"/>
      <c r="Q45" s="387"/>
    </row>
    <row r="46" ht="21.75" customHeight="1">
      <c r="A46" s="357">
        <v>43556.0</v>
      </c>
      <c r="B46" s="404" t="str">
        <f t="shared" si="3"/>
        <v>Apr-2019</v>
      </c>
      <c r="C46" s="359">
        <f>countifs(Melee!$M:$M,"W",Melee!$F:$F,B46)/(countifs(Melee!$M:$M,"W",Melee!$F:$F,B46)+countifs(Melee!$M:$M,"L",Melee!$F:$F,B46))</f>
        <v>0.5384615385</v>
      </c>
      <c r="D46" s="360">
        <f>countifs(Melee!$M:$M,"W",Melee!$F:$F,B46)</f>
        <v>7</v>
      </c>
      <c r="E46" s="360">
        <f>countifs(Melee!$M:$M,"L",Melee!$F:$F,B46)</f>
        <v>6</v>
      </c>
      <c r="F46" s="361">
        <f t="shared" si="4"/>
        <v>13</v>
      </c>
      <c r="G46" s="362">
        <f>sum(COUNTIFS(Melee!A:A,"Weekly",Melee!$F:$F,B46),COUNTIFS(Melee!A:A,"Monthly",Melee!$F:$F,B46),COUNTIFS(Melee!A:A,"Local",Melee!$F:$F,B46),COUNTIFS(Melee!A:A,"Arcadian",Melee!$F:$F,B46),COUNTIFS(Melee!A:A,"Regional",Melee!$F:$F,B46),COUNTIFS(Melee!A:A,"Major",Melee!$F:$F,B46),COUNTIFS(Melee!A:A,"Super Major",Melee!$F:$F,B46))</f>
        <v>2</v>
      </c>
      <c r="H46" s="363">
        <f t="shared" si="5"/>
        <v>6.5</v>
      </c>
      <c r="I46" s="380">
        <f>sum(D46:D48)/(sum(D46:D48)+sum(E46:E48))</f>
        <v>0.5970149254</v>
      </c>
      <c r="J46" s="381">
        <f t="shared" ref="J46:K46" si="24">sum(D46:D48)</f>
        <v>40</v>
      </c>
      <c r="K46" s="381">
        <f t="shared" si="24"/>
        <v>27</v>
      </c>
      <c r="L46" s="382">
        <f>J46+K46</f>
        <v>67</v>
      </c>
      <c r="M46" s="375"/>
      <c r="P46" s="376"/>
      <c r="Q46" s="387"/>
    </row>
    <row r="47" ht="21.75" customHeight="1">
      <c r="A47" s="357">
        <v>43586.0</v>
      </c>
      <c r="B47" s="404" t="str">
        <f t="shared" si="3"/>
        <v>May-2019</v>
      </c>
      <c r="C47" s="359">
        <f>countifs(Melee!$M:$M,"W",Melee!$F:$F,B47)/(countifs(Melee!$M:$M,"W",Melee!$F:$F,B47)+countifs(Melee!$M:$M,"L",Melee!$F:$F,B47))</f>
        <v>0.6666666667</v>
      </c>
      <c r="D47" s="360">
        <f>countifs(Melee!$M:$M,"W",Melee!$F:$F,B47)</f>
        <v>20</v>
      </c>
      <c r="E47" s="360">
        <f>countifs(Melee!$M:$M,"L",Melee!$F:$F,B47)</f>
        <v>10</v>
      </c>
      <c r="F47" s="361">
        <f t="shared" si="4"/>
        <v>30</v>
      </c>
      <c r="G47" s="362">
        <f>sum(COUNTIFS(Melee!A:A,"Weekly",Melee!$F:$F,B47),COUNTIFS(Melee!A:A,"Monthly",Melee!$F:$F,B47),COUNTIFS(Melee!A:A,"Local",Melee!$F:$F,B47),COUNTIFS(Melee!A:A,"Arcadian",Melee!$F:$F,B47),COUNTIFS(Melee!A:A,"Regional",Melee!$F:$F,B47),COUNTIFS(Melee!A:A,"Major",Melee!$F:$F,B47),COUNTIFS(Melee!A:A,"Super Major",Melee!$F:$F,B47))</f>
        <v>3</v>
      </c>
      <c r="H47" s="363">
        <f t="shared" si="5"/>
        <v>10</v>
      </c>
      <c r="I47" s="375"/>
      <c r="L47" s="376"/>
      <c r="M47" s="375"/>
      <c r="P47" s="376"/>
      <c r="Q47" s="387"/>
    </row>
    <row r="48" ht="21.75" customHeight="1">
      <c r="A48" s="357">
        <v>43617.0</v>
      </c>
      <c r="B48" s="404" t="str">
        <f t="shared" si="3"/>
        <v>Jun-2019</v>
      </c>
      <c r="C48" s="359">
        <f>countifs(Melee!$M:$M,"W",Melee!$F:$F,B48)/(countifs(Melee!$M:$M,"W",Melee!$F:$F,B48)+countifs(Melee!$M:$M,"L",Melee!$F:$F,B48))</f>
        <v>0.5416666667</v>
      </c>
      <c r="D48" s="360">
        <f>countifs(Melee!$M:$M,"W",Melee!$F:$F,B48)</f>
        <v>13</v>
      </c>
      <c r="E48" s="360">
        <f>countifs(Melee!$M:$M,"L",Melee!$F:$F,B48)</f>
        <v>11</v>
      </c>
      <c r="F48" s="361">
        <f t="shared" si="4"/>
        <v>24</v>
      </c>
      <c r="G48" s="362">
        <f>sum(COUNTIFS(Melee!A:A,"Weekly",Melee!$F:$F,B48),COUNTIFS(Melee!A:A,"Monthly",Melee!$F:$F,B48),COUNTIFS(Melee!A:A,"Local",Melee!$F:$F,B48),COUNTIFS(Melee!A:A,"Arcadian",Melee!$F:$F,B48),COUNTIFS(Melee!A:A,"Regional",Melee!$F:$F,B48),COUNTIFS(Melee!A:A,"Major",Melee!$F:$F,B48),COUNTIFS(Melee!A:A,"Super Major",Melee!$F:$F,B48))</f>
        <v>5</v>
      </c>
      <c r="H48" s="363">
        <f t="shared" si="5"/>
        <v>4.8</v>
      </c>
      <c r="I48" s="375"/>
      <c r="L48" s="376"/>
      <c r="M48" s="375"/>
      <c r="P48" s="376"/>
      <c r="Q48" s="387"/>
    </row>
    <row r="49" ht="21.75" customHeight="1">
      <c r="A49" s="357">
        <v>43647.0</v>
      </c>
      <c r="B49" s="404" t="str">
        <f t="shared" si="3"/>
        <v>Jul-2019</v>
      </c>
      <c r="C49" s="359">
        <f>countifs(Melee!$M:$M,"W",Melee!$F:$F,B49)/(countifs(Melee!$M:$M,"W",Melee!$F:$F,B49)+countifs(Melee!$M:$M,"L",Melee!$F:$F,B49))</f>
        <v>0.5652173913</v>
      </c>
      <c r="D49" s="360">
        <f>countifs(Melee!$M:$M,"W",Melee!$F:$F,B49)</f>
        <v>13</v>
      </c>
      <c r="E49" s="360">
        <f>countifs(Melee!$M:$M,"L",Melee!$F:$F,B49)</f>
        <v>10</v>
      </c>
      <c r="F49" s="361">
        <f t="shared" si="4"/>
        <v>23</v>
      </c>
      <c r="G49" s="362">
        <f>sum(COUNTIFS(Melee!A:A,"Weekly",Melee!$F:$F,B49),COUNTIFS(Melee!A:A,"Monthly",Melee!$F:$F,B49),COUNTIFS(Melee!A:A,"Local",Melee!$F:$F,B49),COUNTIFS(Melee!A:A,"Arcadian",Melee!$F:$F,B49),COUNTIFS(Melee!A:A,"Regional",Melee!$F:$F,B49),COUNTIFS(Melee!A:A,"Major",Melee!$F:$F,B49),COUNTIFS(Melee!A:A,"Super Major",Melee!$F:$F,B49))</f>
        <v>4</v>
      </c>
      <c r="H49" s="363">
        <f t="shared" si="5"/>
        <v>5.75</v>
      </c>
      <c r="I49" s="380">
        <f>sum(D49:D51)/(sum(D49:D51)+sum(E49:E51))</f>
        <v>0.5471698113</v>
      </c>
      <c r="J49" s="381">
        <f t="shared" ref="J49:K49" si="25">sum(D49:D51)</f>
        <v>29</v>
      </c>
      <c r="K49" s="381">
        <f t="shared" si="25"/>
        <v>24</v>
      </c>
      <c r="L49" s="382">
        <f>J49+K49</f>
        <v>53</v>
      </c>
      <c r="M49" s="375"/>
      <c r="P49" s="376"/>
      <c r="Q49" s="387"/>
    </row>
    <row r="50" ht="21.75" customHeight="1">
      <c r="A50" s="357">
        <v>43678.0</v>
      </c>
      <c r="B50" s="409" t="str">
        <f t="shared" si="3"/>
        <v>Aug-2019</v>
      </c>
      <c r="C50" s="359">
        <f>countifs(Melee!$M:$M,"W",Melee!$F:$F,B50)/(countifs(Melee!$M:$M,"W",Melee!$F:$F,B50)+countifs(Melee!$M:$M,"L",Melee!$F:$F,B50))</f>
        <v>0.4666666667</v>
      </c>
      <c r="D50" s="360">
        <f>countifs(Melee!$M:$M,"W",Melee!$F:$F,B50)</f>
        <v>7</v>
      </c>
      <c r="E50" s="360">
        <f>countifs(Melee!$M:$M,"L",Melee!$F:$F,B50)</f>
        <v>8</v>
      </c>
      <c r="F50" s="361">
        <f t="shared" si="4"/>
        <v>15</v>
      </c>
      <c r="G50" s="362">
        <f>sum(COUNTIFS(Melee!A:A,"Weekly",Melee!$F:$F,B50),COUNTIFS(Melee!A:A,"Monthly",Melee!$F:$F,B50),COUNTIFS(Melee!A:A,"Local",Melee!$F:$F,B50),COUNTIFS(Melee!A:A,"Arcadian",Melee!$F:$F,B50),COUNTIFS(Melee!A:A,"Regional",Melee!$F:$F,B50),COUNTIFS(Melee!A:A,"Major",Melee!$F:$F,B50),COUNTIFS(Melee!A:A,"Super Major",Melee!$F:$F,B50))</f>
        <v>4</v>
      </c>
      <c r="H50" s="363">
        <f t="shared" si="5"/>
        <v>3.75</v>
      </c>
      <c r="I50" s="375"/>
      <c r="L50" s="376"/>
      <c r="M50" s="410">
        <f>sum(D50:D61)/(sum(D50:E61))</f>
        <v>0.605</v>
      </c>
      <c r="N50" s="411">
        <f t="shared" ref="N50:O50" si="26">sum(D50:D61)</f>
        <v>121</v>
      </c>
      <c r="O50" s="411">
        <f t="shared" si="26"/>
        <v>79</v>
      </c>
      <c r="P50" s="412">
        <f>N50+O50</f>
        <v>200</v>
      </c>
      <c r="Q50" s="387"/>
    </row>
    <row r="51" ht="21.75" customHeight="1">
      <c r="A51" s="357">
        <v>43709.0</v>
      </c>
      <c r="B51" s="409" t="str">
        <f t="shared" si="3"/>
        <v>Sep-2019</v>
      </c>
      <c r="C51" s="359">
        <f>countifs(Melee!$M:$M,"W",Melee!$F:$F,B51)/(countifs(Melee!$M:$M,"W",Melee!$F:$F,B51)+countifs(Melee!$M:$M,"L",Melee!$F:$F,B51))</f>
        <v>0.6</v>
      </c>
      <c r="D51" s="360">
        <f>countifs(Melee!$M:$M,"W",Melee!$F:$F,B51)</f>
        <v>9</v>
      </c>
      <c r="E51" s="360">
        <f>countifs(Melee!$M:$M,"L",Melee!$F:$F,B51)</f>
        <v>6</v>
      </c>
      <c r="F51" s="361">
        <f t="shared" si="4"/>
        <v>15</v>
      </c>
      <c r="G51" s="362">
        <f>sum(COUNTIFS(Melee!A:A,"Weekly",Melee!$F:$F,B51),COUNTIFS(Melee!A:A,"Monthly",Melee!$F:$F,B51),COUNTIFS(Melee!A:A,"Local",Melee!$F:$F,B51),COUNTIFS(Melee!A:A,"Arcadian",Melee!$F:$F,B51),COUNTIFS(Melee!A:A,"Regional",Melee!$F:$F,B51),COUNTIFS(Melee!A:A,"Major",Melee!$F:$F,B51),COUNTIFS(Melee!A:A,"Super Major",Melee!$F:$F,B51))</f>
        <v>2</v>
      </c>
      <c r="H51" s="363">
        <f t="shared" si="5"/>
        <v>7.5</v>
      </c>
      <c r="I51" s="375"/>
      <c r="L51" s="376"/>
      <c r="M51" s="375"/>
      <c r="P51" s="376"/>
      <c r="Q51" s="387"/>
    </row>
    <row r="52" ht="21.75" customHeight="1">
      <c r="A52" s="357">
        <v>43739.0</v>
      </c>
      <c r="B52" s="409" t="str">
        <f t="shared" si="3"/>
        <v>Oct-2019</v>
      </c>
      <c r="C52" s="359">
        <f>countifs(Melee!$M:$M,"W",Melee!$F:$F,B52)/(countifs(Melee!$M:$M,"W",Melee!$F:$F,B52)+countifs(Melee!$M:$M,"L",Melee!$F:$F,B52))</f>
        <v>0.56</v>
      </c>
      <c r="D52" s="360">
        <f>countifs(Melee!$M:$M,"W",Melee!$F:$F,B52)</f>
        <v>14</v>
      </c>
      <c r="E52" s="360">
        <f>countifs(Melee!$M:$M,"L",Melee!$F:$F,B52)</f>
        <v>11</v>
      </c>
      <c r="F52" s="361">
        <f t="shared" si="4"/>
        <v>25</v>
      </c>
      <c r="G52" s="362">
        <f>sum(COUNTIFS(Melee!A:A,"Weekly",Melee!$F:$F,B52),COUNTIFS(Melee!A:A,"Monthly",Melee!$F:$F,B52),COUNTIFS(Melee!A:A,"Local",Melee!$F:$F,B52),COUNTIFS(Melee!A:A,"Arcadian",Melee!$F:$F,B52),COUNTIFS(Melee!A:A,"Regional",Melee!$F:$F,B52),COUNTIFS(Melee!A:A,"Major",Melee!$F:$F,B52),COUNTIFS(Melee!A:A,"Super Major",Melee!$F:$F,B52))</f>
        <v>4</v>
      </c>
      <c r="H52" s="363">
        <f t="shared" si="5"/>
        <v>6.25</v>
      </c>
      <c r="I52" s="380">
        <f>sum(D52:D54)/(sum(D52:D54)+sum(E52:E54))</f>
        <v>0.6</v>
      </c>
      <c r="J52" s="381">
        <f t="shared" ref="J52:K52" si="27">sum(D52:D54)</f>
        <v>36</v>
      </c>
      <c r="K52" s="381">
        <f t="shared" si="27"/>
        <v>24</v>
      </c>
      <c r="L52" s="382">
        <f>J52+K52</f>
        <v>60</v>
      </c>
      <c r="M52" s="375"/>
      <c r="P52" s="376"/>
      <c r="Q52" s="387"/>
    </row>
    <row r="53" ht="21.75" customHeight="1">
      <c r="A53" s="357">
        <v>43770.0</v>
      </c>
      <c r="B53" s="409" t="str">
        <f t="shared" si="3"/>
        <v>Nov-2019</v>
      </c>
      <c r="C53" s="359">
        <f>countifs(Melee!$M:$M,"W",Melee!$F:$F,B53)/(countifs(Melee!$M:$M,"W",Melee!$F:$F,B53)+countifs(Melee!$M:$M,"L",Melee!$F:$F,B53))</f>
        <v>0.5882352941</v>
      </c>
      <c r="D53" s="360">
        <f>countifs(Melee!$M:$M,"W",Melee!$F:$F,B53)</f>
        <v>10</v>
      </c>
      <c r="E53" s="360">
        <f>countifs(Melee!$M:$M,"L",Melee!$F:$F,B53)</f>
        <v>7</v>
      </c>
      <c r="F53" s="361">
        <f t="shared" si="4"/>
        <v>17</v>
      </c>
      <c r="G53" s="362">
        <f>sum(COUNTIFS(Melee!A:A,"Weekly",Melee!$F:$F,B53),COUNTIFS(Melee!A:A,"Monthly",Melee!$F:$F,B53),COUNTIFS(Melee!A:A,"Local",Melee!$F:$F,B53),COUNTIFS(Melee!A:A,"Arcadian",Melee!$F:$F,B53),COUNTIFS(Melee!A:A,"Regional",Melee!$F:$F,B53),COUNTIFS(Melee!A:A,"Major",Melee!$F:$F,B53),COUNTIFS(Melee!A:A,"Super Major",Melee!$F:$F,B53))</f>
        <v>3</v>
      </c>
      <c r="H53" s="363">
        <f t="shared" si="5"/>
        <v>5.666666667</v>
      </c>
      <c r="I53" s="375"/>
      <c r="L53" s="376"/>
      <c r="M53" s="375"/>
      <c r="P53" s="376"/>
      <c r="Q53" s="387"/>
    </row>
    <row r="54" ht="21.75" customHeight="1">
      <c r="A54" s="357">
        <v>43800.0</v>
      </c>
      <c r="B54" s="409" t="str">
        <f t="shared" si="3"/>
        <v>Dec-2019</v>
      </c>
      <c r="C54" s="359">
        <f>countifs(Melee!$M:$M,"W",Melee!$F:$F,B54)/(countifs(Melee!$M:$M,"W",Melee!$F:$F,B54)+countifs(Melee!$M:$M,"L",Melee!$F:$F,B54))</f>
        <v>0.6666666667</v>
      </c>
      <c r="D54" s="360">
        <f>countifs(Melee!$M:$M,"W",Melee!$F:$F,B54)</f>
        <v>12</v>
      </c>
      <c r="E54" s="360">
        <f>countifs(Melee!$M:$M,"L",Melee!$F:$F,B54)</f>
        <v>6</v>
      </c>
      <c r="F54" s="361">
        <f t="shared" si="4"/>
        <v>18</v>
      </c>
      <c r="G54" s="362">
        <f>sum(COUNTIFS(Melee!A:A,"Weekly",Melee!$F:$F,B54),COUNTIFS(Melee!A:A,"Monthly",Melee!$F:$F,B54),COUNTIFS(Melee!A:A,"Local",Melee!$F:$F,B54),COUNTIFS(Melee!A:A,"Arcadian",Melee!$F:$F,B54),COUNTIFS(Melee!A:A,"Regional",Melee!$F:$F,B54),COUNTIFS(Melee!A:A,"Major",Melee!$F:$F,B54),COUNTIFS(Melee!A:A,"Super Major",Melee!$F:$F,B54))</f>
        <v>3</v>
      </c>
      <c r="H54" s="363">
        <f t="shared" si="5"/>
        <v>6</v>
      </c>
      <c r="I54" s="375"/>
      <c r="L54" s="376"/>
      <c r="M54" s="375"/>
      <c r="P54" s="376"/>
      <c r="Q54" s="387"/>
    </row>
    <row r="55" ht="21.75" customHeight="1">
      <c r="A55" s="357">
        <v>43831.0</v>
      </c>
      <c r="B55" s="409" t="str">
        <f t="shared" si="3"/>
        <v>Jan-2020</v>
      </c>
      <c r="C55" s="359">
        <f>countifs(Melee!$M:$M,"W",Melee!$F:$F,B55)/(countifs(Melee!$M:$M,"W",Melee!$F:$F,B55)+countifs(Melee!$M:$M,"L",Melee!$F:$F,B55))</f>
        <v>0.6176470588</v>
      </c>
      <c r="D55" s="360">
        <f>countifs(Melee!$M:$M,"W",Melee!$F:$F,B55)</f>
        <v>21</v>
      </c>
      <c r="E55" s="360">
        <f>countifs(Melee!$M:$M,"L",Melee!$F:$F,B55)</f>
        <v>13</v>
      </c>
      <c r="F55" s="361">
        <f t="shared" si="4"/>
        <v>34</v>
      </c>
      <c r="G55" s="362">
        <f>sum(COUNTIFS(Melee!A:A,"Weekly",Melee!$F:$F,B55),COUNTIFS(Melee!A:A,"Monthly",Melee!$F:$F,B55),COUNTIFS(Melee!A:A,"Local",Melee!$F:$F,B55),COUNTIFS(Melee!A:A,"Arcadian",Melee!$F:$F,B55),COUNTIFS(Melee!A:A,"Regional",Melee!$F:$F,B55),COUNTIFS(Melee!A:A,"Major",Melee!$F:$F,B55),COUNTIFS(Melee!A:A,"Super Major",Melee!$F:$F,B55))</f>
        <v>4</v>
      </c>
      <c r="H55" s="363">
        <f t="shared" si="5"/>
        <v>8.5</v>
      </c>
      <c r="I55" s="380">
        <f>sum(D55:D57)/(sum(D55:D57)+sum(E55:E57))</f>
        <v>0.6272727273</v>
      </c>
      <c r="J55" s="381">
        <f t="shared" ref="J55:K55" si="28">sum(D55:D57)</f>
        <v>69</v>
      </c>
      <c r="K55" s="381">
        <f t="shared" si="28"/>
        <v>41</v>
      </c>
      <c r="L55" s="382">
        <f>J55+K55</f>
        <v>110</v>
      </c>
      <c r="M55" s="375"/>
      <c r="P55" s="376"/>
      <c r="Q55" s="387"/>
    </row>
    <row r="56" ht="21.75" customHeight="1">
      <c r="A56" s="357">
        <v>43862.0</v>
      </c>
      <c r="B56" s="409" t="str">
        <f t="shared" si="3"/>
        <v>Feb-2020</v>
      </c>
      <c r="C56" s="359">
        <f>countifs(Melee!$M:$M,"W",Melee!$F:$F,B56)/(countifs(Melee!$M:$M,"W",Melee!$F:$F,B56)+countifs(Melee!$M:$M,"L",Melee!$F:$F,B56))</f>
        <v>0.6315789474</v>
      </c>
      <c r="D56" s="360">
        <f>countifs(Melee!$M:$M,"W",Melee!$F:$F,B56)</f>
        <v>48</v>
      </c>
      <c r="E56" s="360">
        <f>countifs(Melee!$M:$M,"L",Melee!$F:$F,B56)</f>
        <v>28</v>
      </c>
      <c r="F56" s="361">
        <f t="shared" si="4"/>
        <v>76</v>
      </c>
      <c r="G56" s="362">
        <f>sum(COUNTIFS(Melee!A:A,"Weekly",Melee!$F:$F,B56),COUNTIFS(Melee!A:A,"Monthly",Melee!$F:$F,B56),COUNTIFS(Melee!A:A,"Local",Melee!$F:$F,B56),COUNTIFS(Melee!A:A,"Arcadian",Melee!$F:$F,B56),COUNTIFS(Melee!A:A,"Regional",Melee!$F:$F,B56),COUNTIFS(Melee!A:A,"Major",Melee!$F:$F,B56),COUNTIFS(Melee!A:A,"Super Major",Melee!$F:$F,B56))</f>
        <v>9</v>
      </c>
      <c r="H56" s="363">
        <f t="shared" si="5"/>
        <v>8.444444444</v>
      </c>
      <c r="I56" s="375"/>
      <c r="L56" s="376"/>
      <c r="M56" s="375"/>
      <c r="P56" s="376"/>
      <c r="Q56" s="387"/>
    </row>
    <row r="57" ht="21.75" customHeight="1">
      <c r="A57" s="357">
        <v>43891.0</v>
      </c>
      <c r="B57" s="409"/>
      <c r="C57" s="359"/>
      <c r="D57" s="360"/>
      <c r="E57" s="360"/>
      <c r="F57" s="361"/>
      <c r="G57" s="362"/>
      <c r="H57" s="363"/>
      <c r="I57" s="375"/>
      <c r="L57" s="376"/>
      <c r="M57" s="375"/>
      <c r="P57" s="376"/>
      <c r="Q57" s="387"/>
    </row>
    <row r="58" ht="21.75" customHeight="1">
      <c r="A58" s="357">
        <v>43922.0</v>
      </c>
      <c r="B58" s="387"/>
      <c r="C58" s="413"/>
      <c r="D58" s="414"/>
      <c r="E58" s="414"/>
      <c r="F58" s="415"/>
      <c r="G58" s="362"/>
      <c r="H58" s="363"/>
      <c r="I58" s="416"/>
      <c r="J58" s="417"/>
      <c r="K58" s="418"/>
      <c r="L58" s="419"/>
      <c r="M58" s="375"/>
      <c r="P58" s="376"/>
      <c r="Q58" s="387"/>
    </row>
    <row r="59" ht="21.75" customHeight="1">
      <c r="A59" s="357">
        <v>43952.0</v>
      </c>
      <c r="B59" s="387"/>
      <c r="C59" s="413"/>
      <c r="D59" s="414"/>
      <c r="E59" s="414"/>
      <c r="F59" s="415"/>
      <c r="G59" s="362"/>
      <c r="H59" s="363"/>
      <c r="I59" s="416"/>
      <c r="J59" s="417"/>
      <c r="K59" s="418"/>
      <c r="L59" s="419"/>
      <c r="M59" s="375"/>
      <c r="P59" s="376"/>
      <c r="Q59" s="387"/>
    </row>
    <row r="60" ht="21.75" customHeight="1">
      <c r="A60" s="357">
        <v>43983.0</v>
      </c>
      <c r="B60" s="387"/>
      <c r="C60" s="413"/>
      <c r="D60" s="414"/>
      <c r="E60" s="414"/>
      <c r="F60" s="415"/>
      <c r="G60" s="362"/>
      <c r="H60" s="363"/>
      <c r="I60" s="416"/>
      <c r="J60" s="417"/>
      <c r="K60" s="418"/>
      <c r="L60" s="419"/>
      <c r="M60" s="375"/>
      <c r="P60" s="376"/>
      <c r="Q60" s="387"/>
    </row>
    <row r="61" ht="21.75" customHeight="1">
      <c r="A61" s="357">
        <v>44013.0</v>
      </c>
      <c r="B61" s="387"/>
      <c r="C61" s="413"/>
      <c r="D61" s="414"/>
      <c r="E61" s="414"/>
      <c r="F61" s="415"/>
      <c r="G61" s="362"/>
      <c r="H61" s="363"/>
      <c r="I61" s="416"/>
      <c r="J61" s="417"/>
      <c r="K61" s="418"/>
      <c r="L61" s="419"/>
      <c r="M61" s="375"/>
      <c r="P61" s="376"/>
      <c r="Q61" s="387"/>
    </row>
    <row r="62" ht="21.75" customHeight="1">
      <c r="A62" s="357">
        <v>44044.0</v>
      </c>
      <c r="B62" s="387"/>
      <c r="C62" s="413"/>
      <c r="D62" s="414"/>
      <c r="E62" s="414"/>
      <c r="F62" s="415"/>
      <c r="G62" s="362"/>
      <c r="H62" s="363"/>
      <c r="I62" s="416"/>
      <c r="J62" s="417"/>
      <c r="K62" s="418"/>
      <c r="L62" s="419"/>
      <c r="M62" s="420"/>
      <c r="N62" s="421"/>
      <c r="O62" s="421"/>
      <c r="P62" s="422"/>
      <c r="Q62" s="387"/>
    </row>
    <row r="63" ht="21.75" customHeight="1">
      <c r="A63" s="357">
        <v>44075.0</v>
      </c>
      <c r="B63" s="387"/>
      <c r="C63" s="413"/>
      <c r="D63" s="414"/>
      <c r="E63" s="414"/>
      <c r="F63" s="415"/>
      <c r="G63" s="362"/>
      <c r="H63" s="363"/>
      <c r="I63" s="416"/>
      <c r="J63" s="417"/>
      <c r="K63" s="418"/>
      <c r="L63" s="419"/>
      <c r="M63" s="420"/>
      <c r="N63" s="421"/>
      <c r="O63" s="421"/>
      <c r="P63" s="422"/>
      <c r="Q63" s="387"/>
    </row>
    <row r="64" ht="21.75" customHeight="1">
      <c r="A64" s="357">
        <v>44105.0</v>
      </c>
      <c r="B64" s="387"/>
      <c r="C64" s="413"/>
      <c r="D64" s="414"/>
      <c r="E64" s="414"/>
      <c r="F64" s="415"/>
      <c r="G64" s="362"/>
      <c r="H64" s="363"/>
      <c r="I64" s="416"/>
      <c r="J64" s="417"/>
      <c r="K64" s="418"/>
      <c r="L64" s="419"/>
      <c r="M64" s="420"/>
      <c r="N64" s="421"/>
      <c r="O64" s="421"/>
      <c r="P64" s="422"/>
      <c r="Q64" s="387"/>
    </row>
    <row r="65" ht="21.75" customHeight="1">
      <c r="A65" s="357">
        <v>44136.0</v>
      </c>
      <c r="B65" s="387"/>
      <c r="C65" s="413"/>
      <c r="D65" s="414"/>
      <c r="E65" s="414"/>
      <c r="F65" s="415"/>
      <c r="G65" s="362"/>
      <c r="H65" s="363"/>
      <c r="I65" s="416"/>
      <c r="J65" s="417"/>
      <c r="K65" s="418"/>
      <c r="L65" s="419"/>
      <c r="M65" s="420"/>
      <c r="N65" s="421"/>
      <c r="O65" s="421"/>
      <c r="P65" s="422"/>
      <c r="Q65" s="387"/>
    </row>
    <row r="66" ht="21.75" customHeight="1">
      <c r="A66" s="357">
        <v>44166.0</v>
      </c>
      <c r="B66" s="387"/>
      <c r="C66" s="413"/>
      <c r="D66" s="414"/>
      <c r="E66" s="414"/>
      <c r="F66" s="415"/>
      <c r="G66" s="362"/>
      <c r="H66" s="363"/>
      <c r="I66" s="416"/>
      <c r="J66" s="417"/>
      <c r="K66" s="418"/>
      <c r="L66" s="419"/>
      <c r="M66" s="420"/>
      <c r="N66" s="421"/>
      <c r="O66" s="421"/>
      <c r="P66" s="422"/>
      <c r="Q66" s="387"/>
    </row>
    <row r="67" ht="21.75" customHeight="1">
      <c r="A67" s="357">
        <v>44197.0</v>
      </c>
      <c r="B67" s="387"/>
      <c r="C67" s="413"/>
      <c r="D67" s="414"/>
      <c r="E67" s="414"/>
      <c r="F67" s="415"/>
      <c r="G67" s="362"/>
      <c r="H67" s="363"/>
      <c r="I67" s="416"/>
      <c r="J67" s="417"/>
      <c r="K67" s="418"/>
      <c r="L67" s="419"/>
      <c r="M67" s="420"/>
      <c r="N67" s="421"/>
      <c r="O67" s="421"/>
      <c r="P67" s="422"/>
      <c r="Q67" s="387"/>
    </row>
    <row r="68" ht="21.75" customHeight="1">
      <c r="A68" s="357">
        <v>44228.0</v>
      </c>
      <c r="B68" s="387"/>
      <c r="C68" s="413"/>
      <c r="D68" s="414"/>
      <c r="E68" s="414"/>
      <c r="F68" s="415"/>
      <c r="G68" s="362"/>
      <c r="H68" s="363"/>
      <c r="I68" s="416"/>
      <c r="J68" s="417"/>
      <c r="K68" s="418"/>
      <c r="L68" s="419"/>
      <c r="M68" s="420"/>
      <c r="N68" s="421"/>
      <c r="O68" s="421"/>
      <c r="P68" s="422"/>
      <c r="Q68" s="387"/>
    </row>
    <row r="69" ht="21.75" customHeight="1">
      <c r="A69" s="357">
        <v>44256.0</v>
      </c>
      <c r="B69" s="387"/>
      <c r="C69" s="413"/>
      <c r="D69" s="414"/>
      <c r="E69" s="414"/>
      <c r="F69" s="415"/>
      <c r="G69" s="423"/>
      <c r="H69" s="424"/>
      <c r="I69" s="416"/>
      <c r="J69" s="417"/>
      <c r="K69" s="418"/>
      <c r="L69" s="419"/>
      <c r="M69" s="420"/>
      <c r="N69" s="421"/>
      <c r="O69" s="421"/>
      <c r="P69" s="422"/>
      <c r="Q69" s="387"/>
    </row>
    <row r="70" ht="21.75" customHeight="1">
      <c r="B70" s="387"/>
      <c r="C70" s="413"/>
      <c r="D70" s="414"/>
      <c r="E70" s="414"/>
      <c r="F70" s="415"/>
      <c r="G70" s="423"/>
      <c r="H70" s="424"/>
      <c r="I70" s="416"/>
      <c r="J70" s="417"/>
      <c r="K70" s="418"/>
      <c r="L70" s="419"/>
      <c r="M70" s="420"/>
      <c r="N70" s="421"/>
      <c r="O70" s="421"/>
      <c r="P70" s="422"/>
      <c r="Q70" s="387"/>
    </row>
    <row r="71" ht="21.75" customHeight="1">
      <c r="B71" s="387"/>
      <c r="C71" s="413"/>
      <c r="D71" s="414"/>
      <c r="E71" s="414"/>
      <c r="F71" s="415"/>
      <c r="G71" s="423"/>
      <c r="H71" s="424"/>
      <c r="I71" s="416"/>
      <c r="J71" s="417"/>
      <c r="K71" s="418"/>
      <c r="L71" s="419"/>
      <c r="M71" s="420"/>
      <c r="N71" s="421"/>
      <c r="O71" s="421"/>
      <c r="P71" s="422"/>
      <c r="Q71" s="387"/>
    </row>
    <row r="72" ht="21.75" customHeight="1">
      <c r="B72" s="387"/>
      <c r="C72" s="413"/>
      <c r="D72" s="414"/>
      <c r="E72" s="414"/>
      <c r="F72" s="415"/>
      <c r="G72" s="423"/>
      <c r="H72" s="424"/>
      <c r="I72" s="416"/>
      <c r="J72" s="417"/>
      <c r="K72" s="418"/>
      <c r="L72" s="419"/>
      <c r="M72" s="420"/>
      <c r="N72" s="421"/>
      <c r="O72" s="421"/>
      <c r="P72" s="422"/>
      <c r="Q72" s="387"/>
    </row>
    <row r="73" ht="21.75" customHeight="1">
      <c r="B73" s="387"/>
      <c r="C73" s="413"/>
      <c r="D73" s="414"/>
      <c r="E73" s="414"/>
      <c r="F73" s="415"/>
      <c r="G73" s="423"/>
      <c r="H73" s="424"/>
      <c r="I73" s="416"/>
      <c r="J73" s="417"/>
      <c r="K73" s="418"/>
      <c r="L73" s="419"/>
      <c r="M73" s="420"/>
      <c r="N73" s="421"/>
      <c r="O73" s="421"/>
      <c r="P73" s="422"/>
      <c r="Q73" s="387"/>
    </row>
    <row r="74" ht="21.75" customHeight="1">
      <c r="B74" s="387"/>
      <c r="C74" s="413"/>
      <c r="D74" s="414"/>
      <c r="E74" s="414"/>
      <c r="F74" s="415"/>
      <c r="G74" s="423"/>
      <c r="H74" s="424"/>
      <c r="I74" s="416"/>
      <c r="J74" s="417"/>
      <c r="K74" s="418"/>
      <c r="L74" s="419"/>
      <c r="M74" s="420"/>
      <c r="N74" s="421"/>
      <c r="O74" s="421"/>
      <c r="P74" s="422"/>
      <c r="Q74" s="387"/>
    </row>
    <row r="75" ht="21.75" customHeight="1">
      <c r="B75" s="387"/>
      <c r="C75" s="413"/>
      <c r="D75" s="414"/>
      <c r="E75" s="414"/>
      <c r="F75" s="415"/>
      <c r="G75" s="423"/>
      <c r="H75" s="424"/>
      <c r="I75" s="416"/>
      <c r="J75" s="417"/>
      <c r="K75" s="418"/>
      <c r="L75" s="419"/>
      <c r="M75" s="420"/>
      <c r="N75" s="421"/>
      <c r="O75" s="421"/>
      <c r="P75" s="422"/>
      <c r="Q75" s="387"/>
    </row>
    <row r="76" ht="21.75" customHeight="1">
      <c r="B76" s="387"/>
      <c r="C76" s="413"/>
      <c r="D76" s="414"/>
      <c r="E76" s="414"/>
      <c r="F76" s="415"/>
      <c r="G76" s="423"/>
      <c r="H76" s="424"/>
      <c r="I76" s="416"/>
      <c r="J76" s="417"/>
      <c r="K76" s="418"/>
      <c r="L76" s="419"/>
      <c r="M76" s="420"/>
      <c r="N76" s="421"/>
      <c r="O76" s="421"/>
      <c r="P76" s="422"/>
      <c r="Q76" s="387"/>
    </row>
    <row r="77" ht="21.75" customHeight="1">
      <c r="B77" s="387"/>
      <c r="C77" s="413"/>
      <c r="D77" s="414"/>
      <c r="E77" s="414"/>
      <c r="F77" s="415"/>
      <c r="G77" s="423"/>
      <c r="H77" s="424"/>
      <c r="I77" s="416"/>
      <c r="J77" s="417"/>
      <c r="K77" s="418"/>
      <c r="L77" s="419"/>
      <c r="M77" s="420"/>
      <c r="N77" s="421"/>
      <c r="O77" s="421"/>
      <c r="P77" s="422"/>
      <c r="Q77" s="387"/>
    </row>
    <row r="78" ht="21.75" customHeight="1">
      <c r="B78" s="387"/>
      <c r="C78" s="413"/>
      <c r="D78" s="414"/>
      <c r="E78" s="414"/>
      <c r="F78" s="415"/>
      <c r="G78" s="423"/>
      <c r="H78" s="424"/>
      <c r="I78" s="416"/>
      <c r="J78" s="417"/>
      <c r="K78" s="418"/>
      <c r="L78" s="419"/>
      <c r="M78" s="420"/>
      <c r="N78" s="421"/>
      <c r="O78" s="421"/>
      <c r="P78" s="422"/>
      <c r="Q78" s="387"/>
    </row>
    <row r="79" ht="21.75" customHeight="1">
      <c r="B79" s="387"/>
      <c r="C79" s="413"/>
      <c r="D79" s="414"/>
      <c r="E79" s="414"/>
      <c r="F79" s="415"/>
      <c r="G79" s="423"/>
      <c r="H79" s="424"/>
      <c r="I79" s="416"/>
      <c r="J79" s="417"/>
      <c r="K79" s="418"/>
      <c r="L79" s="419"/>
      <c r="M79" s="420"/>
      <c r="N79" s="421"/>
      <c r="O79" s="421"/>
      <c r="P79" s="422"/>
      <c r="Q79" s="387"/>
    </row>
    <row r="80" ht="21.75" customHeight="1">
      <c r="B80" s="387"/>
      <c r="C80" s="413"/>
      <c r="D80" s="414"/>
      <c r="E80" s="414"/>
      <c r="F80" s="415"/>
      <c r="G80" s="423"/>
      <c r="H80" s="424"/>
      <c r="I80" s="416"/>
      <c r="J80" s="417"/>
      <c r="K80" s="418"/>
      <c r="L80" s="419"/>
      <c r="M80" s="420"/>
      <c r="N80" s="421"/>
      <c r="O80" s="421"/>
      <c r="P80" s="422"/>
      <c r="Q80" s="387"/>
    </row>
    <row r="81" ht="21.75" customHeight="1">
      <c r="B81" s="387"/>
      <c r="C81" s="413"/>
      <c r="D81" s="414"/>
      <c r="E81" s="414"/>
      <c r="F81" s="415"/>
      <c r="G81" s="423"/>
      <c r="H81" s="424"/>
      <c r="I81" s="416"/>
      <c r="J81" s="417"/>
      <c r="K81" s="418"/>
      <c r="L81" s="419"/>
      <c r="M81" s="420"/>
      <c r="N81" s="421"/>
      <c r="O81" s="421"/>
      <c r="P81" s="422"/>
      <c r="Q81" s="387"/>
    </row>
    <row r="82" ht="21.75" customHeight="1">
      <c r="B82" s="387"/>
      <c r="C82" s="413"/>
      <c r="D82" s="414"/>
      <c r="E82" s="414"/>
      <c r="F82" s="415"/>
      <c r="G82" s="423"/>
      <c r="H82" s="424"/>
      <c r="I82" s="416"/>
      <c r="J82" s="417"/>
      <c r="K82" s="418"/>
      <c r="L82" s="419"/>
      <c r="M82" s="420"/>
      <c r="N82" s="421"/>
      <c r="O82" s="421"/>
      <c r="P82" s="422"/>
      <c r="Q82" s="387"/>
    </row>
    <row r="83" ht="21.75" customHeight="1">
      <c r="B83" s="387"/>
      <c r="C83" s="413"/>
      <c r="D83" s="414"/>
      <c r="E83" s="414"/>
      <c r="F83" s="415"/>
      <c r="G83" s="423"/>
      <c r="H83" s="424"/>
      <c r="I83" s="416"/>
      <c r="J83" s="417"/>
      <c r="K83" s="418"/>
      <c r="L83" s="419"/>
      <c r="M83" s="420"/>
      <c r="N83" s="421"/>
      <c r="O83" s="421"/>
      <c r="P83" s="422"/>
      <c r="Q83" s="387"/>
    </row>
    <row r="84" ht="21.75" customHeight="1">
      <c r="B84" s="387"/>
      <c r="C84" s="413"/>
      <c r="D84" s="414"/>
      <c r="E84" s="414"/>
      <c r="F84" s="415"/>
      <c r="G84" s="423"/>
      <c r="H84" s="424"/>
      <c r="I84" s="416"/>
      <c r="J84" s="417"/>
      <c r="K84" s="418"/>
      <c r="L84" s="419"/>
      <c r="M84" s="420"/>
      <c r="N84" s="421"/>
      <c r="O84" s="421"/>
      <c r="P84" s="422"/>
      <c r="Q84" s="387"/>
    </row>
    <row r="85" ht="21.75" customHeight="1">
      <c r="B85" s="387"/>
      <c r="C85" s="413"/>
      <c r="D85" s="414"/>
      <c r="E85" s="414"/>
      <c r="F85" s="415"/>
      <c r="G85" s="423"/>
      <c r="H85" s="424"/>
      <c r="I85" s="416"/>
      <c r="J85" s="417"/>
      <c r="K85" s="418"/>
      <c r="L85" s="419"/>
      <c r="M85" s="420"/>
      <c r="N85" s="421"/>
      <c r="O85" s="421"/>
      <c r="P85" s="422"/>
      <c r="Q85" s="387"/>
    </row>
    <row r="86" ht="21.75" customHeight="1">
      <c r="B86" s="387"/>
      <c r="C86" s="413"/>
      <c r="D86" s="414"/>
      <c r="E86" s="414"/>
      <c r="F86" s="415"/>
      <c r="G86" s="423"/>
      <c r="H86" s="424"/>
      <c r="I86" s="416"/>
      <c r="J86" s="417"/>
      <c r="K86" s="418"/>
      <c r="L86" s="419"/>
      <c r="M86" s="420"/>
      <c r="N86" s="421"/>
      <c r="O86" s="421"/>
      <c r="P86" s="422"/>
      <c r="Q86" s="387"/>
    </row>
    <row r="87" ht="21.75" customHeight="1">
      <c r="B87" s="387"/>
      <c r="C87" s="413"/>
      <c r="D87" s="414"/>
      <c r="E87" s="414"/>
      <c r="F87" s="415"/>
      <c r="G87" s="423"/>
      <c r="H87" s="424"/>
      <c r="I87" s="416"/>
      <c r="J87" s="417"/>
      <c r="K87" s="418"/>
      <c r="L87" s="419"/>
      <c r="M87" s="420"/>
      <c r="N87" s="421"/>
      <c r="O87" s="421"/>
      <c r="P87" s="422"/>
      <c r="Q87" s="387"/>
    </row>
    <row r="88" ht="21.75" customHeight="1">
      <c r="B88" s="387"/>
      <c r="C88" s="413"/>
      <c r="D88" s="414"/>
      <c r="E88" s="414"/>
      <c r="F88" s="415"/>
      <c r="G88" s="423"/>
      <c r="H88" s="424"/>
      <c r="I88" s="416"/>
      <c r="J88" s="417"/>
      <c r="K88" s="418"/>
      <c r="L88" s="419"/>
      <c r="M88" s="420"/>
      <c r="N88" s="421"/>
      <c r="O88" s="421"/>
      <c r="P88" s="422"/>
      <c r="Q88" s="387"/>
    </row>
    <row r="89" ht="21.75" customHeight="1">
      <c r="B89" s="387"/>
      <c r="C89" s="413"/>
      <c r="D89" s="414"/>
      <c r="E89" s="414"/>
      <c r="F89" s="415"/>
      <c r="G89" s="423"/>
      <c r="H89" s="424"/>
      <c r="I89" s="416"/>
      <c r="J89" s="417"/>
      <c r="K89" s="418"/>
      <c r="L89" s="419"/>
      <c r="M89" s="420"/>
      <c r="N89" s="421"/>
      <c r="O89" s="421"/>
      <c r="P89" s="422"/>
      <c r="Q89" s="387"/>
    </row>
    <row r="90" ht="21.75" customHeight="1">
      <c r="B90" s="387"/>
      <c r="C90" s="413"/>
      <c r="D90" s="414"/>
      <c r="E90" s="414"/>
      <c r="F90" s="415"/>
      <c r="G90" s="423"/>
      <c r="H90" s="424"/>
      <c r="I90" s="416"/>
      <c r="J90" s="417"/>
      <c r="K90" s="418"/>
      <c r="L90" s="419"/>
      <c r="M90" s="420"/>
      <c r="N90" s="421"/>
      <c r="O90" s="421"/>
      <c r="P90" s="422"/>
      <c r="Q90" s="387"/>
    </row>
    <row r="91" ht="21.75" customHeight="1">
      <c r="B91" s="387"/>
      <c r="C91" s="413"/>
      <c r="D91" s="414"/>
      <c r="E91" s="414"/>
      <c r="F91" s="415"/>
      <c r="G91" s="423"/>
      <c r="H91" s="424"/>
      <c r="I91" s="416"/>
      <c r="J91" s="417"/>
      <c r="K91" s="418"/>
      <c r="L91" s="419"/>
      <c r="M91" s="420"/>
      <c r="N91" s="421"/>
      <c r="O91" s="421"/>
      <c r="P91" s="422"/>
      <c r="Q91" s="387"/>
    </row>
    <row r="92" ht="21.75" customHeight="1">
      <c r="B92" s="387"/>
      <c r="C92" s="413"/>
      <c r="D92" s="414"/>
      <c r="E92" s="414"/>
      <c r="F92" s="415"/>
      <c r="G92" s="423"/>
      <c r="H92" s="424"/>
      <c r="I92" s="416"/>
      <c r="J92" s="417"/>
      <c r="K92" s="418"/>
      <c r="L92" s="419"/>
      <c r="M92" s="420"/>
      <c r="N92" s="421"/>
      <c r="O92" s="421"/>
      <c r="P92" s="422"/>
      <c r="Q92" s="387"/>
    </row>
    <row r="93" ht="21.75" customHeight="1">
      <c r="B93" s="387"/>
      <c r="C93" s="413"/>
      <c r="D93" s="414"/>
      <c r="E93" s="414"/>
      <c r="F93" s="415"/>
      <c r="G93" s="423"/>
      <c r="H93" s="424"/>
      <c r="I93" s="416"/>
      <c r="J93" s="417"/>
      <c r="K93" s="418"/>
      <c r="L93" s="419"/>
      <c r="M93" s="420"/>
      <c r="N93" s="421"/>
      <c r="O93" s="421"/>
      <c r="P93" s="422"/>
      <c r="Q93" s="387"/>
    </row>
    <row r="94" ht="21.75" customHeight="1">
      <c r="B94" s="387"/>
      <c r="C94" s="413"/>
      <c r="D94" s="414"/>
      <c r="E94" s="414"/>
      <c r="F94" s="415"/>
      <c r="G94" s="423"/>
      <c r="H94" s="424"/>
      <c r="I94" s="416"/>
      <c r="J94" s="417"/>
      <c r="K94" s="418"/>
      <c r="L94" s="419"/>
      <c r="M94" s="420"/>
      <c r="N94" s="421"/>
      <c r="O94" s="421"/>
      <c r="P94" s="422"/>
      <c r="Q94" s="387"/>
    </row>
    <row r="95" ht="21.75" customHeight="1">
      <c r="B95" s="387"/>
      <c r="C95" s="413"/>
      <c r="D95" s="414"/>
      <c r="E95" s="414"/>
      <c r="F95" s="415"/>
      <c r="G95" s="423"/>
      <c r="H95" s="424"/>
      <c r="I95" s="416"/>
      <c r="J95" s="417"/>
      <c r="K95" s="418"/>
      <c r="L95" s="419"/>
      <c r="M95" s="420"/>
      <c r="N95" s="421"/>
      <c r="O95" s="421"/>
      <c r="P95" s="422"/>
      <c r="Q95" s="387"/>
    </row>
    <row r="96" ht="21.75" customHeight="1">
      <c r="B96" s="387"/>
      <c r="C96" s="413"/>
      <c r="D96" s="414"/>
      <c r="E96" s="414"/>
      <c r="F96" s="415"/>
      <c r="G96" s="423"/>
      <c r="H96" s="424"/>
      <c r="I96" s="416"/>
      <c r="J96" s="417"/>
      <c r="K96" s="418"/>
      <c r="L96" s="419"/>
      <c r="M96" s="420"/>
      <c r="N96" s="421"/>
      <c r="O96" s="421"/>
      <c r="P96" s="422"/>
      <c r="Q96" s="387"/>
    </row>
    <row r="97" ht="21.75" customHeight="1">
      <c r="B97" s="387"/>
      <c r="C97" s="413"/>
      <c r="D97" s="414"/>
      <c r="E97" s="414"/>
      <c r="F97" s="415"/>
      <c r="G97" s="423"/>
      <c r="H97" s="424"/>
      <c r="I97" s="416"/>
      <c r="J97" s="417"/>
      <c r="K97" s="418"/>
      <c r="L97" s="419"/>
      <c r="M97" s="420"/>
      <c r="N97" s="421"/>
      <c r="O97" s="421"/>
      <c r="P97" s="422"/>
      <c r="Q97" s="387"/>
    </row>
    <row r="98" ht="21.75" customHeight="1">
      <c r="B98" s="387"/>
      <c r="C98" s="413"/>
      <c r="D98" s="414"/>
      <c r="E98" s="414"/>
      <c r="F98" s="415"/>
      <c r="G98" s="423"/>
      <c r="H98" s="424"/>
      <c r="I98" s="416"/>
      <c r="J98" s="417"/>
      <c r="K98" s="418"/>
      <c r="L98" s="419"/>
      <c r="M98" s="420"/>
      <c r="N98" s="421"/>
      <c r="O98" s="421"/>
      <c r="P98" s="422"/>
      <c r="Q98" s="387"/>
    </row>
    <row r="99" ht="21.75" customHeight="1">
      <c r="B99" s="387"/>
      <c r="C99" s="413"/>
      <c r="D99" s="414"/>
      <c r="E99" s="414"/>
      <c r="F99" s="415"/>
      <c r="G99" s="423"/>
      <c r="H99" s="424"/>
      <c r="I99" s="416"/>
      <c r="J99" s="417"/>
      <c r="K99" s="418"/>
      <c r="L99" s="419"/>
      <c r="M99" s="420"/>
      <c r="N99" s="421"/>
      <c r="O99" s="421"/>
      <c r="P99" s="422"/>
      <c r="Q99" s="387"/>
    </row>
    <row r="100" ht="21.75" customHeight="1">
      <c r="B100" s="387"/>
      <c r="C100" s="413"/>
      <c r="D100" s="414"/>
      <c r="E100" s="414"/>
      <c r="F100" s="415"/>
      <c r="G100" s="423"/>
      <c r="H100" s="424"/>
      <c r="I100" s="416"/>
      <c r="J100" s="417"/>
      <c r="K100" s="418"/>
      <c r="L100" s="419"/>
      <c r="M100" s="420"/>
      <c r="N100" s="421"/>
      <c r="O100" s="421"/>
      <c r="P100" s="422"/>
      <c r="Q100" s="387"/>
    </row>
    <row r="101" ht="21.75" customHeight="1">
      <c r="B101" s="387"/>
      <c r="C101" s="413"/>
      <c r="D101" s="414"/>
      <c r="E101" s="414"/>
      <c r="F101" s="415"/>
      <c r="G101" s="423"/>
      <c r="H101" s="424"/>
      <c r="I101" s="416"/>
      <c r="J101" s="417"/>
      <c r="K101" s="418"/>
      <c r="L101" s="419"/>
      <c r="M101" s="420"/>
      <c r="N101" s="421"/>
      <c r="O101" s="421"/>
      <c r="P101" s="422"/>
      <c r="Q101" s="387"/>
    </row>
    <row r="102" ht="21.75" customHeight="1">
      <c r="B102" s="387"/>
      <c r="C102" s="413"/>
      <c r="D102" s="414"/>
      <c r="E102" s="414"/>
      <c r="F102" s="415"/>
      <c r="G102" s="423"/>
      <c r="H102" s="424"/>
      <c r="I102" s="416"/>
      <c r="J102" s="417"/>
      <c r="K102" s="418"/>
      <c r="L102" s="419"/>
      <c r="M102" s="420"/>
      <c r="N102" s="421"/>
      <c r="O102" s="421"/>
      <c r="P102" s="422"/>
      <c r="Q102" s="387"/>
    </row>
    <row r="103" ht="21.75" customHeight="1">
      <c r="B103" s="387"/>
      <c r="C103" s="413"/>
      <c r="D103" s="414"/>
      <c r="E103" s="414"/>
      <c r="F103" s="415"/>
      <c r="G103" s="423"/>
      <c r="H103" s="424"/>
      <c r="I103" s="416"/>
      <c r="J103" s="417"/>
      <c r="K103" s="418"/>
      <c r="L103" s="419"/>
      <c r="M103" s="420"/>
      <c r="N103" s="421"/>
      <c r="O103" s="421"/>
      <c r="P103" s="422"/>
      <c r="Q103" s="387"/>
    </row>
    <row r="104" ht="21.75" customHeight="1">
      <c r="B104" s="387"/>
      <c r="C104" s="413"/>
      <c r="D104" s="414"/>
      <c r="E104" s="414"/>
      <c r="F104" s="415"/>
      <c r="G104" s="423"/>
      <c r="H104" s="424"/>
      <c r="I104" s="416"/>
      <c r="J104" s="417"/>
      <c r="K104" s="418"/>
      <c r="L104" s="419"/>
      <c r="M104" s="420"/>
      <c r="N104" s="421"/>
      <c r="O104" s="421"/>
      <c r="P104" s="422"/>
      <c r="Q104" s="387"/>
    </row>
    <row r="105" ht="21.75" customHeight="1">
      <c r="B105" s="387"/>
      <c r="C105" s="413"/>
      <c r="D105" s="414"/>
      <c r="E105" s="414"/>
      <c r="F105" s="415"/>
      <c r="G105" s="423"/>
      <c r="H105" s="424"/>
      <c r="I105" s="416"/>
      <c r="J105" s="417"/>
      <c r="K105" s="418"/>
      <c r="L105" s="419"/>
      <c r="M105" s="420"/>
      <c r="N105" s="421"/>
      <c r="O105" s="421"/>
      <c r="P105" s="422"/>
      <c r="Q105" s="387"/>
    </row>
    <row r="106" ht="21.75" customHeight="1">
      <c r="B106" s="387"/>
      <c r="C106" s="413"/>
      <c r="D106" s="414"/>
      <c r="E106" s="414"/>
      <c r="F106" s="415"/>
      <c r="G106" s="423"/>
      <c r="H106" s="424"/>
      <c r="I106" s="416"/>
      <c r="J106" s="417"/>
      <c r="K106" s="418"/>
      <c r="L106" s="419"/>
      <c r="M106" s="420"/>
      <c r="N106" s="421"/>
      <c r="O106" s="421"/>
      <c r="P106" s="422"/>
      <c r="Q106" s="387"/>
    </row>
    <row r="107" ht="21.75" customHeight="1">
      <c r="B107" s="387"/>
      <c r="C107" s="413"/>
      <c r="D107" s="414"/>
      <c r="E107" s="414"/>
      <c r="F107" s="415"/>
      <c r="G107" s="423"/>
      <c r="H107" s="424"/>
      <c r="I107" s="416"/>
      <c r="J107" s="417"/>
      <c r="K107" s="418"/>
      <c r="L107" s="419"/>
      <c r="M107" s="420"/>
      <c r="N107" s="421"/>
      <c r="O107" s="421"/>
      <c r="P107" s="422"/>
      <c r="Q107" s="387"/>
    </row>
    <row r="108" ht="21.75" customHeight="1">
      <c r="B108" s="387"/>
      <c r="C108" s="413"/>
      <c r="D108" s="414"/>
      <c r="E108" s="414"/>
      <c r="F108" s="415"/>
      <c r="G108" s="423"/>
      <c r="H108" s="424"/>
      <c r="I108" s="416"/>
      <c r="J108" s="417"/>
      <c r="K108" s="418"/>
      <c r="L108" s="419"/>
      <c r="M108" s="420"/>
      <c r="N108" s="421"/>
      <c r="O108" s="421"/>
      <c r="P108" s="422"/>
      <c r="Q108" s="387"/>
    </row>
    <row r="109" ht="21.75" customHeight="1">
      <c r="B109" s="387"/>
      <c r="C109" s="413"/>
      <c r="D109" s="414"/>
      <c r="E109" s="414"/>
      <c r="F109" s="415"/>
      <c r="G109" s="423"/>
      <c r="H109" s="424"/>
      <c r="I109" s="416"/>
      <c r="J109" s="417"/>
      <c r="K109" s="418"/>
      <c r="L109" s="419"/>
      <c r="M109" s="420"/>
      <c r="N109" s="421"/>
      <c r="O109" s="421"/>
      <c r="P109" s="422"/>
      <c r="Q109" s="387"/>
    </row>
    <row r="110" ht="21.75" customHeight="1">
      <c r="B110" s="387"/>
      <c r="C110" s="413"/>
      <c r="D110" s="414"/>
      <c r="E110" s="414"/>
      <c r="F110" s="415"/>
      <c r="G110" s="423"/>
      <c r="H110" s="424"/>
      <c r="I110" s="416"/>
      <c r="J110" s="417"/>
      <c r="K110" s="418"/>
      <c r="L110" s="419"/>
      <c r="M110" s="420"/>
      <c r="N110" s="421"/>
      <c r="O110" s="421"/>
      <c r="P110" s="422"/>
      <c r="Q110" s="387"/>
    </row>
    <row r="111" ht="21.75" customHeight="1">
      <c r="B111" s="387"/>
      <c r="C111" s="413"/>
      <c r="D111" s="414"/>
      <c r="E111" s="414"/>
      <c r="F111" s="415"/>
      <c r="G111" s="423"/>
      <c r="H111" s="424"/>
      <c r="I111" s="416"/>
      <c r="J111" s="417"/>
      <c r="K111" s="418"/>
      <c r="L111" s="419"/>
      <c r="M111" s="420"/>
      <c r="N111" s="421"/>
      <c r="O111" s="421"/>
      <c r="P111" s="422"/>
      <c r="Q111" s="387"/>
    </row>
    <row r="112" ht="21.75" customHeight="1">
      <c r="B112" s="387"/>
      <c r="C112" s="413"/>
      <c r="D112" s="414"/>
      <c r="E112" s="414"/>
      <c r="F112" s="415"/>
      <c r="G112" s="423"/>
      <c r="H112" s="424"/>
      <c r="I112" s="416"/>
      <c r="J112" s="417"/>
      <c r="K112" s="418"/>
      <c r="L112" s="419"/>
      <c r="M112" s="420"/>
      <c r="N112" s="421"/>
      <c r="O112" s="421"/>
      <c r="P112" s="422"/>
      <c r="Q112" s="387"/>
    </row>
    <row r="113" ht="21.75" customHeight="1">
      <c r="B113" s="387"/>
      <c r="C113" s="413"/>
      <c r="D113" s="414"/>
      <c r="E113" s="414"/>
      <c r="F113" s="415"/>
      <c r="G113" s="423"/>
      <c r="H113" s="424"/>
      <c r="I113" s="416"/>
      <c r="J113" s="417"/>
      <c r="K113" s="418"/>
      <c r="L113" s="419"/>
      <c r="M113" s="420"/>
      <c r="N113" s="421"/>
      <c r="O113" s="421"/>
      <c r="P113" s="422"/>
      <c r="Q113" s="387"/>
    </row>
    <row r="114" ht="21.75" customHeight="1">
      <c r="B114" s="387"/>
      <c r="C114" s="413"/>
      <c r="D114" s="414"/>
      <c r="E114" s="414"/>
      <c r="F114" s="415"/>
      <c r="G114" s="423"/>
      <c r="H114" s="424"/>
      <c r="I114" s="416"/>
      <c r="J114" s="417"/>
      <c r="K114" s="418"/>
      <c r="L114" s="419"/>
      <c r="M114" s="420"/>
      <c r="N114" s="421"/>
      <c r="O114" s="421"/>
      <c r="P114" s="422"/>
      <c r="Q114" s="387"/>
    </row>
    <row r="115" ht="21.75" customHeight="1">
      <c r="B115" s="387"/>
      <c r="C115" s="413"/>
      <c r="D115" s="414"/>
      <c r="E115" s="414"/>
      <c r="F115" s="415"/>
      <c r="G115" s="423"/>
      <c r="H115" s="424"/>
      <c r="I115" s="416"/>
      <c r="J115" s="417"/>
      <c r="K115" s="418"/>
      <c r="L115" s="419"/>
      <c r="M115" s="420"/>
      <c r="N115" s="421"/>
      <c r="O115" s="421"/>
      <c r="P115" s="422"/>
      <c r="Q115" s="387"/>
    </row>
    <row r="116" ht="21.75" customHeight="1">
      <c r="B116" s="387"/>
      <c r="C116" s="413"/>
      <c r="D116" s="414"/>
      <c r="E116" s="414"/>
      <c r="F116" s="415"/>
      <c r="G116" s="423"/>
      <c r="H116" s="424"/>
      <c r="I116" s="416"/>
      <c r="J116" s="417"/>
      <c r="K116" s="418"/>
      <c r="L116" s="419"/>
      <c r="M116" s="420"/>
      <c r="N116" s="421"/>
      <c r="O116" s="421"/>
      <c r="P116" s="422"/>
      <c r="Q116" s="387"/>
    </row>
    <row r="117" ht="21.75" customHeight="1">
      <c r="B117" s="387"/>
      <c r="C117" s="413"/>
      <c r="D117" s="414"/>
      <c r="E117" s="414"/>
      <c r="F117" s="415"/>
      <c r="G117" s="423"/>
      <c r="H117" s="424"/>
      <c r="I117" s="416"/>
      <c r="J117" s="417"/>
      <c r="K117" s="418"/>
      <c r="L117" s="419"/>
      <c r="M117" s="420"/>
      <c r="N117" s="421"/>
      <c r="O117" s="421"/>
      <c r="P117" s="422"/>
      <c r="Q117" s="387"/>
    </row>
    <row r="118" ht="21.75" customHeight="1">
      <c r="B118" s="387"/>
      <c r="C118" s="413"/>
      <c r="D118" s="414"/>
      <c r="E118" s="414"/>
      <c r="F118" s="415"/>
      <c r="G118" s="423"/>
      <c r="H118" s="424"/>
      <c r="I118" s="416"/>
      <c r="J118" s="417"/>
      <c r="K118" s="418"/>
      <c r="L118" s="419"/>
      <c r="M118" s="420"/>
      <c r="N118" s="421"/>
      <c r="O118" s="421"/>
      <c r="P118" s="422"/>
      <c r="Q118" s="387"/>
    </row>
    <row r="119" ht="21.75" customHeight="1">
      <c r="B119" s="387"/>
      <c r="C119" s="413"/>
      <c r="D119" s="414"/>
      <c r="E119" s="414"/>
      <c r="F119" s="415"/>
      <c r="G119" s="423"/>
      <c r="H119" s="424"/>
      <c r="I119" s="416"/>
      <c r="J119" s="417"/>
      <c r="K119" s="418"/>
      <c r="L119" s="419"/>
      <c r="M119" s="420"/>
      <c r="N119" s="421"/>
      <c r="O119" s="421"/>
      <c r="P119" s="422"/>
      <c r="Q119" s="387"/>
    </row>
    <row r="120" ht="21.75" customHeight="1">
      <c r="B120" s="387"/>
      <c r="C120" s="413"/>
      <c r="D120" s="414"/>
      <c r="E120" s="414"/>
      <c r="F120" s="415"/>
      <c r="G120" s="423"/>
      <c r="H120" s="424"/>
      <c r="I120" s="416"/>
      <c r="J120" s="417"/>
      <c r="K120" s="418"/>
      <c r="L120" s="419"/>
      <c r="M120" s="420"/>
      <c r="N120" s="421"/>
      <c r="O120" s="421"/>
      <c r="P120" s="422"/>
      <c r="Q120" s="387"/>
    </row>
    <row r="121" ht="21.75" customHeight="1">
      <c r="B121" s="387"/>
      <c r="C121" s="413"/>
      <c r="D121" s="414"/>
      <c r="E121" s="414"/>
      <c r="F121" s="415"/>
      <c r="G121" s="423"/>
      <c r="H121" s="424"/>
      <c r="I121" s="416"/>
      <c r="J121" s="417"/>
      <c r="K121" s="418"/>
      <c r="L121" s="419"/>
      <c r="M121" s="420"/>
      <c r="N121" s="421"/>
      <c r="O121" s="421"/>
      <c r="P121" s="422"/>
      <c r="Q121" s="387"/>
    </row>
    <row r="122" ht="21.75" customHeight="1">
      <c r="B122" s="387"/>
      <c r="C122" s="413"/>
      <c r="D122" s="414"/>
      <c r="E122" s="414"/>
      <c r="F122" s="415"/>
      <c r="G122" s="423"/>
      <c r="H122" s="424"/>
      <c r="I122" s="416"/>
      <c r="J122" s="417"/>
      <c r="K122" s="418"/>
      <c r="L122" s="419"/>
      <c r="M122" s="420"/>
      <c r="N122" s="421"/>
      <c r="O122" s="421"/>
      <c r="P122" s="422"/>
      <c r="Q122" s="387"/>
    </row>
    <row r="123" ht="21.75" customHeight="1">
      <c r="B123" s="387"/>
      <c r="C123" s="413"/>
      <c r="D123" s="414"/>
      <c r="E123" s="414"/>
      <c r="F123" s="415"/>
      <c r="G123" s="423"/>
      <c r="H123" s="424"/>
      <c r="I123" s="416"/>
      <c r="J123" s="417"/>
      <c r="K123" s="418"/>
      <c r="L123" s="419"/>
      <c r="M123" s="420"/>
      <c r="N123" s="421"/>
      <c r="O123" s="421"/>
      <c r="P123" s="422"/>
      <c r="Q123" s="387"/>
    </row>
    <row r="124" ht="21.75" customHeight="1">
      <c r="B124" s="387"/>
      <c r="C124" s="413"/>
      <c r="D124" s="414"/>
      <c r="E124" s="414"/>
      <c r="F124" s="415"/>
      <c r="G124" s="423"/>
      <c r="H124" s="424"/>
      <c r="I124" s="416"/>
      <c r="J124" s="417"/>
      <c r="K124" s="418"/>
      <c r="L124" s="419"/>
      <c r="M124" s="420"/>
      <c r="N124" s="421"/>
      <c r="O124" s="421"/>
      <c r="P124" s="422"/>
      <c r="Q124" s="387"/>
    </row>
    <row r="125" ht="21.75" customHeight="1">
      <c r="B125" s="387"/>
      <c r="C125" s="413"/>
      <c r="D125" s="414"/>
      <c r="E125" s="414"/>
      <c r="F125" s="415"/>
      <c r="G125" s="423"/>
      <c r="H125" s="424"/>
      <c r="I125" s="416"/>
      <c r="J125" s="417"/>
      <c r="K125" s="418"/>
      <c r="L125" s="419"/>
      <c r="M125" s="420"/>
      <c r="N125" s="421"/>
      <c r="O125" s="421"/>
      <c r="P125" s="422"/>
      <c r="Q125" s="387"/>
    </row>
    <row r="126" ht="21.75" customHeight="1">
      <c r="B126" s="387"/>
      <c r="C126" s="413"/>
      <c r="D126" s="414"/>
      <c r="E126" s="414"/>
      <c r="F126" s="415"/>
      <c r="G126" s="423"/>
      <c r="H126" s="424"/>
      <c r="I126" s="416"/>
      <c r="J126" s="417"/>
      <c r="K126" s="418"/>
      <c r="L126" s="419"/>
      <c r="M126" s="420"/>
      <c r="N126" s="421"/>
      <c r="O126" s="421"/>
      <c r="P126" s="422"/>
      <c r="Q126" s="387"/>
    </row>
    <row r="127" ht="21.75" customHeight="1">
      <c r="B127" s="387"/>
      <c r="C127" s="413"/>
      <c r="D127" s="414"/>
      <c r="E127" s="414"/>
      <c r="F127" s="415"/>
      <c r="G127" s="423"/>
      <c r="H127" s="424"/>
      <c r="I127" s="416"/>
      <c r="J127" s="417"/>
      <c r="K127" s="418"/>
      <c r="L127" s="419"/>
      <c r="M127" s="420"/>
      <c r="N127" s="421"/>
      <c r="O127" s="421"/>
      <c r="P127" s="422"/>
      <c r="Q127" s="387"/>
    </row>
    <row r="128" ht="21.75" customHeight="1">
      <c r="B128" s="387"/>
      <c r="C128" s="413"/>
      <c r="D128" s="414"/>
      <c r="E128" s="414"/>
      <c r="F128" s="415"/>
      <c r="G128" s="423"/>
      <c r="H128" s="424"/>
      <c r="I128" s="416"/>
      <c r="J128" s="417"/>
      <c r="K128" s="418"/>
      <c r="L128" s="419"/>
      <c r="M128" s="420"/>
      <c r="N128" s="421"/>
      <c r="O128" s="421"/>
      <c r="P128" s="422"/>
      <c r="Q128" s="387"/>
    </row>
    <row r="129" ht="21.75" customHeight="1">
      <c r="B129" s="387"/>
      <c r="C129" s="413"/>
      <c r="D129" s="414"/>
      <c r="E129" s="414"/>
      <c r="F129" s="415"/>
      <c r="G129" s="423"/>
      <c r="H129" s="424"/>
      <c r="I129" s="416"/>
      <c r="J129" s="417"/>
      <c r="K129" s="418"/>
      <c r="L129" s="419"/>
      <c r="M129" s="420"/>
      <c r="N129" s="421"/>
      <c r="O129" s="421"/>
      <c r="P129" s="422"/>
      <c r="Q129" s="387"/>
    </row>
    <row r="130" ht="21.75" customHeight="1">
      <c r="B130" s="387"/>
      <c r="C130" s="413"/>
      <c r="D130" s="414"/>
      <c r="E130" s="414"/>
      <c r="F130" s="415"/>
      <c r="G130" s="423"/>
      <c r="H130" s="424"/>
      <c r="I130" s="416"/>
      <c r="J130" s="417"/>
      <c r="K130" s="418"/>
      <c r="L130" s="419"/>
      <c r="M130" s="420"/>
      <c r="N130" s="421"/>
      <c r="O130" s="421"/>
      <c r="P130" s="422"/>
      <c r="Q130" s="387"/>
    </row>
    <row r="131" ht="21.75" customHeight="1">
      <c r="B131" s="387"/>
      <c r="C131" s="413"/>
      <c r="D131" s="414"/>
      <c r="E131" s="414"/>
      <c r="F131" s="415"/>
      <c r="G131" s="423"/>
      <c r="H131" s="424"/>
      <c r="I131" s="416"/>
      <c r="J131" s="417"/>
      <c r="K131" s="418"/>
      <c r="L131" s="419"/>
      <c r="M131" s="420"/>
      <c r="N131" s="421"/>
      <c r="O131" s="421"/>
      <c r="P131" s="422"/>
      <c r="Q131" s="387"/>
    </row>
    <row r="132" ht="21.75" customHeight="1">
      <c r="B132" s="387"/>
      <c r="C132" s="413"/>
      <c r="D132" s="414"/>
      <c r="E132" s="414"/>
      <c r="F132" s="415"/>
      <c r="G132" s="423"/>
      <c r="H132" s="424"/>
      <c r="I132" s="416"/>
      <c r="J132" s="417"/>
      <c r="K132" s="418"/>
      <c r="L132" s="419"/>
      <c r="M132" s="420"/>
      <c r="N132" s="421"/>
      <c r="O132" s="421"/>
      <c r="P132" s="422"/>
      <c r="Q132" s="387"/>
    </row>
    <row r="133" ht="21.75" customHeight="1">
      <c r="B133" s="387"/>
      <c r="C133" s="413"/>
      <c r="D133" s="414"/>
      <c r="E133" s="414"/>
      <c r="F133" s="415"/>
      <c r="G133" s="423"/>
      <c r="H133" s="424"/>
      <c r="I133" s="416"/>
      <c r="J133" s="417"/>
      <c r="K133" s="418"/>
      <c r="L133" s="419"/>
      <c r="M133" s="420"/>
      <c r="N133" s="421"/>
      <c r="O133" s="421"/>
      <c r="P133" s="422"/>
      <c r="Q133" s="387"/>
    </row>
    <row r="134" ht="21.75" customHeight="1">
      <c r="B134" s="387"/>
      <c r="C134" s="413"/>
      <c r="D134" s="414"/>
      <c r="E134" s="414"/>
      <c r="F134" s="415"/>
      <c r="G134" s="423"/>
      <c r="H134" s="424"/>
      <c r="I134" s="416"/>
      <c r="J134" s="417"/>
      <c r="K134" s="418"/>
      <c r="L134" s="419"/>
      <c r="M134" s="420"/>
      <c r="N134" s="421"/>
      <c r="O134" s="421"/>
      <c r="P134" s="422"/>
      <c r="Q134" s="387"/>
    </row>
    <row r="135" ht="21.75" customHeight="1">
      <c r="B135" s="387"/>
      <c r="C135" s="413"/>
      <c r="D135" s="414"/>
      <c r="E135" s="414"/>
      <c r="F135" s="415"/>
      <c r="G135" s="423"/>
      <c r="H135" s="424"/>
      <c r="I135" s="416"/>
      <c r="J135" s="417"/>
      <c r="K135" s="418"/>
      <c r="L135" s="419"/>
      <c r="M135" s="420"/>
      <c r="N135" s="421"/>
      <c r="O135" s="421"/>
      <c r="P135" s="422"/>
      <c r="Q135" s="387"/>
    </row>
    <row r="136" ht="21.75" customHeight="1">
      <c r="B136" s="387"/>
      <c r="C136" s="413"/>
      <c r="D136" s="414"/>
      <c r="E136" s="414"/>
      <c r="F136" s="415"/>
      <c r="G136" s="423"/>
      <c r="H136" s="424"/>
      <c r="I136" s="416"/>
      <c r="J136" s="417"/>
      <c r="K136" s="418"/>
      <c r="L136" s="419"/>
      <c r="M136" s="420"/>
      <c r="N136" s="421"/>
      <c r="O136" s="421"/>
      <c r="P136" s="422"/>
      <c r="Q136" s="387"/>
    </row>
    <row r="137" ht="21.75" customHeight="1">
      <c r="B137" s="387"/>
      <c r="C137" s="413"/>
      <c r="D137" s="414"/>
      <c r="E137" s="414"/>
      <c r="F137" s="415"/>
      <c r="G137" s="423"/>
      <c r="H137" s="424"/>
      <c r="I137" s="416"/>
      <c r="J137" s="417"/>
      <c r="K137" s="418"/>
      <c r="L137" s="419"/>
      <c r="M137" s="420"/>
      <c r="N137" s="421"/>
      <c r="O137" s="421"/>
      <c r="P137" s="422"/>
      <c r="Q137" s="387"/>
    </row>
    <row r="138" ht="21.75" customHeight="1">
      <c r="B138" s="387"/>
      <c r="C138" s="413"/>
      <c r="D138" s="414"/>
      <c r="E138" s="414"/>
      <c r="F138" s="415"/>
      <c r="G138" s="423"/>
      <c r="H138" s="424"/>
      <c r="I138" s="416"/>
      <c r="J138" s="417"/>
      <c r="K138" s="418"/>
      <c r="L138" s="419"/>
      <c r="M138" s="420"/>
      <c r="N138" s="421"/>
      <c r="O138" s="421"/>
      <c r="P138" s="422"/>
      <c r="Q138" s="387"/>
    </row>
    <row r="139" ht="21.75" customHeight="1">
      <c r="B139" s="387"/>
      <c r="C139" s="413"/>
      <c r="D139" s="414"/>
      <c r="E139" s="414"/>
      <c r="F139" s="415"/>
      <c r="G139" s="423"/>
      <c r="H139" s="424"/>
      <c r="I139" s="416"/>
      <c r="J139" s="417"/>
      <c r="K139" s="418"/>
      <c r="L139" s="419"/>
      <c r="M139" s="420"/>
      <c r="N139" s="421"/>
      <c r="O139" s="421"/>
      <c r="P139" s="422"/>
      <c r="Q139" s="387"/>
    </row>
    <row r="140" ht="21.75" customHeight="1">
      <c r="B140" s="387"/>
      <c r="C140" s="413"/>
      <c r="D140" s="414"/>
      <c r="E140" s="414"/>
      <c r="F140" s="415"/>
      <c r="G140" s="423"/>
      <c r="H140" s="424"/>
      <c r="I140" s="416"/>
      <c r="J140" s="417"/>
      <c r="K140" s="418"/>
      <c r="L140" s="419"/>
      <c r="M140" s="420"/>
      <c r="N140" s="421"/>
      <c r="O140" s="421"/>
      <c r="P140" s="422"/>
      <c r="Q140" s="387"/>
    </row>
    <row r="141" ht="21.75" customHeight="1">
      <c r="B141" s="387"/>
      <c r="C141" s="413"/>
      <c r="D141" s="414"/>
      <c r="E141" s="414"/>
      <c r="F141" s="415"/>
      <c r="G141" s="423"/>
      <c r="H141" s="424"/>
      <c r="I141" s="416"/>
      <c r="J141" s="417"/>
      <c r="K141" s="418"/>
      <c r="L141" s="419"/>
      <c r="M141" s="420"/>
      <c r="N141" s="421"/>
      <c r="O141" s="421"/>
      <c r="P141" s="422"/>
      <c r="Q141" s="387"/>
    </row>
    <row r="142" ht="21.75" customHeight="1">
      <c r="B142" s="387"/>
      <c r="C142" s="413"/>
      <c r="D142" s="414"/>
      <c r="E142" s="414"/>
      <c r="F142" s="415"/>
      <c r="G142" s="423"/>
      <c r="H142" s="424"/>
      <c r="I142" s="416"/>
      <c r="J142" s="417"/>
      <c r="K142" s="418"/>
      <c r="L142" s="419"/>
      <c r="M142" s="420"/>
      <c r="N142" s="421"/>
      <c r="O142" s="421"/>
      <c r="P142" s="422"/>
      <c r="Q142" s="387"/>
    </row>
    <row r="143" ht="21.75" customHeight="1">
      <c r="B143" s="387"/>
      <c r="C143" s="413"/>
      <c r="D143" s="414"/>
      <c r="E143" s="414"/>
      <c r="F143" s="415"/>
      <c r="G143" s="423"/>
      <c r="H143" s="424"/>
      <c r="I143" s="416"/>
      <c r="J143" s="417"/>
      <c r="K143" s="418"/>
      <c r="L143" s="419"/>
      <c r="M143" s="420"/>
      <c r="N143" s="421"/>
      <c r="O143" s="421"/>
      <c r="P143" s="422"/>
      <c r="Q143" s="387"/>
    </row>
    <row r="144" ht="21.75" customHeight="1">
      <c r="B144" s="387"/>
      <c r="C144" s="413"/>
      <c r="D144" s="414"/>
      <c r="E144" s="414"/>
      <c r="F144" s="415"/>
      <c r="G144" s="423"/>
      <c r="H144" s="424"/>
      <c r="I144" s="416"/>
      <c r="J144" s="417"/>
      <c r="K144" s="418"/>
      <c r="L144" s="419"/>
      <c r="M144" s="420"/>
      <c r="N144" s="421"/>
      <c r="O144" s="421"/>
      <c r="P144" s="422"/>
      <c r="Q144" s="387"/>
    </row>
    <row r="145" ht="21.75" customHeight="1">
      <c r="B145" s="387"/>
      <c r="C145" s="413"/>
      <c r="D145" s="414"/>
      <c r="E145" s="414"/>
      <c r="F145" s="415"/>
      <c r="G145" s="423"/>
      <c r="H145" s="424"/>
      <c r="I145" s="416"/>
      <c r="J145" s="417"/>
      <c r="K145" s="418"/>
      <c r="L145" s="419"/>
      <c r="M145" s="420"/>
      <c r="N145" s="421"/>
      <c r="O145" s="421"/>
      <c r="P145" s="422"/>
      <c r="Q145" s="387"/>
    </row>
    <row r="146" ht="21.75" customHeight="1">
      <c r="B146" s="387"/>
      <c r="C146" s="413"/>
      <c r="D146" s="414"/>
      <c r="E146" s="414"/>
      <c r="F146" s="415"/>
      <c r="G146" s="423"/>
      <c r="H146" s="424"/>
      <c r="I146" s="416"/>
      <c r="J146" s="417"/>
      <c r="K146" s="418"/>
      <c r="L146" s="419"/>
      <c r="M146" s="420"/>
      <c r="N146" s="421"/>
      <c r="O146" s="421"/>
      <c r="P146" s="422"/>
      <c r="Q146" s="387"/>
    </row>
    <row r="147" ht="21.75" customHeight="1">
      <c r="B147" s="387"/>
      <c r="C147" s="413"/>
      <c r="D147" s="414"/>
      <c r="E147" s="414"/>
      <c r="F147" s="415"/>
      <c r="G147" s="423"/>
      <c r="H147" s="424"/>
      <c r="I147" s="416"/>
      <c r="J147" s="417"/>
      <c r="K147" s="418"/>
      <c r="L147" s="419"/>
      <c r="M147" s="420"/>
      <c r="N147" s="421"/>
      <c r="O147" s="421"/>
      <c r="P147" s="422"/>
      <c r="Q147" s="387"/>
    </row>
    <row r="148" ht="21.75" customHeight="1">
      <c r="B148" s="387"/>
      <c r="C148" s="413"/>
      <c r="D148" s="414"/>
      <c r="E148" s="414"/>
      <c r="F148" s="415"/>
      <c r="G148" s="423"/>
      <c r="H148" s="424"/>
      <c r="I148" s="416"/>
      <c r="J148" s="417"/>
      <c r="K148" s="418"/>
      <c r="L148" s="419"/>
      <c r="M148" s="420"/>
      <c r="N148" s="421"/>
      <c r="O148" s="421"/>
      <c r="P148" s="422"/>
      <c r="Q148" s="387"/>
    </row>
    <row r="149" ht="21.75" customHeight="1">
      <c r="B149" s="387"/>
      <c r="C149" s="413"/>
      <c r="D149" s="414"/>
      <c r="E149" s="414"/>
      <c r="F149" s="415"/>
      <c r="G149" s="423"/>
      <c r="H149" s="424"/>
      <c r="I149" s="416"/>
      <c r="J149" s="417"/>
      <c r="K149" s="418"/>
      <c r="L149" s="419"/>
      <c r="M149" s="420"/>
      <c r="N149" s="421"/>
      <c r="O149" s="421"/>
      <c r="P149" s="422"/>
      <c r="Q149" s="387"/>
    </row>
    <row r="150" ht="21.75" customHeight="1">
      <c r="B150" s="387"/>
      <c r="C150" s="413"/>
      <c r="D150" s="414"/>
      <c r="E150" s="414"/>
      <c r="F150" s="415"/>
      <c r="G150" s="423"/>
      <c r="H150" s="424"/>
      <c r="I150" s="416"/>
      <c r="J150" s="417"/>
      <c r="K150" s="418"/>
      <c r="L150" s="419"/>
      <c r="M150" s="420"/>
      <c r="N150" s="421"/>
      <c r="O150" s="421"/>
      <c r="P150" s="422"/>
      <c r="Q150" s="387"/>
    </row>
    <row r="151" ht="21.75" customHeight="1">
      <c r="B151" s="387"/>
      <c r="C151" s="413"/>
      <c r="D151" s="414"/>
      <c r="E151" s="414"/>
      <c r="F151" s="415"/>
      <c r="G151" s="423"/>
      <c r="H151" s="424"/>
      <c r="I151" s="416"/>
      <c r="J151" s="417"/>
      <c r="K151" s="418"/>
      <c r="L151" s="419"/>
      <c r="M151" s="420"/>
      <c r="N151" s="421"/>
      <c r="O151" s="421"/>
      <c r="P151" s="422"/>
      <c r="Q151" s="387"/>
    </row>
    <row r="152" ht="21.75" customHeight="1">
      <c r="B152" s="387"/>
      <c r="C152" s="413"/>
      <c r="D152" s="414"/>
      <c r="E152" s="414"/>
      <c r="F152" s="415"/>
      <c r="G152" s="423"/>
      <c r="H152" s="424"/>
      <c r="I152" s="416"/>
      <c r="J152" s="417"/>
      <c r="K152" s="418"/>
      <c r="L152" s="419"/>
      <c r="M152" s="420"/>
      <c r="N152" s="421"/>
      <c r="O152" s="421"/>
      <c r="P152" s="422"/>
      <c r="Q152" s="387"/>
    </row>
    <row r="153" ht="21.75" customHeight="1">
      <c r="B153" s="387"/>
      <c r="C153" s="413"/>
      <c r="D153" s="414"/>
      <c r="E153" s="414"/>
      <c r="F153" s="415"/>
      <c r="G153" s="423"/>
      <c r="H153" s="424"/>
      <c r="I153" s="416"/>
      <c r="J153" s="417"/>
      <c r="K153" s="418"/>
      <c r="L153" s="419"/>
      <c r="M153" s="420"/>
      <c r="N153" s="421"/>
      <c r="O153" s="421"/>
      <c r="P153" s="422"/>
      <c r="Q153" s="387"/>
    </row>
    <row r="154" ht="21.75" customHeight="1">
      <c r="B154" s="387"/>
      <c r="C154" s="413"/>
      <c r="D154" s="414"/>
      <c r="E154" s="414"/>
      <c r="F154" s="415"/>
      <c r="G154" s="423"/>
      <c r="H154" s="424"/>
      <c r="I154" s="416"/>
      <c r="J154" s="417"/>
      <c r="K154" s="418"/>
      <c r="L154" s="419"/>
      <c r="M154" s="420"/>
      <c r="N154" s="421"/>
      <c r="O154" s="421"/>
      <c r="P154" s="422"/>
      <c r="Q154" s="387"/>
    </row>
    <row r="155" ht="21.75" customHeight="1">
      <c r="B155" s="387"/>
      <c r="C155" s="413"/>
      <c r="D155" s="414"/>
      <c r="E155" s="414"/>
      <c r="F155" s="415"/>
      <c r="G155" s="423"/>
      <c r="H155" s="424"/>
      <c r="I155" s="416"/>
      <c r="J155" s="417"/>
      <c r="K155" s="418"/>
      <c r="L155" s="419"/>
      <c r="M155" s="420"/>
      <c r="N155" s="421"/>
      <c r="O155" s="421"/>
      <c r="P155" s="422"/>
      <c r="Q155" s="387"/>
    </row>
    <row r="156" ht="21.75" customHeight="1">
      <c r="B156" s="387"/>
      <c r="C156" s="413"/>
      <c r="D156" s="414"/>
      <c r="E156" s="414"/>
      <c r="F156" s="415"/>
      <c r="G156" s="423"/>
      <c r="H156" s="424"/>
      <c r="I156" s="416"/>
      <c r="J156" s="417"/>
      <c r="K156" s="418"/>
      <c r="L156" s="419"/>
      <c r="M156" s="420"/>
      <c r="N156" s="421"/>
      <c r="O156" s="421"/>
      <c r="P156" s="422"/>
      <c r="Q156" s="387"/>
    </row>
    <row r="157" ht="21.75" customHeight="1">
      <c r="B157" s="387"/>
      <c r="C157" s="413"/>
      <c r="D157" s="414"/>
      <c r="E157" s="414"/>
      <c r="F157" s="415"/>
      <c r="G157" s="423"/>
      <c r="H157" s="424"/>
      <c r="I157" s="416"/>
      <c r="J157" s="417"/>
      <c r="K157" s="418"/>
      <c r="L157" s="419"/>
      <c r="M157" s="420"/>
      <c r="N157" s="421"/>
      <c r="O157" s="421"/>
      <c r="P157" s="422"/>
      <c r="Q157" s="387"/>
    </row>
    <row r="158" ht="21.75" customHeight="1">
      <c r="B158" s="387"/>
      <c r="C158" s="413"/>
      <c r="D158" s="414"/>
      <c r="E158" s="414"/>
      <c r="F158" s="415"/>
      <c r="G158" s="423"/>
      <c r="H158" s="424"/>
      <c r="I158" s="416"/>
      <c r="J158" s="417"/>
      <c r="K158" s="418"/>
      <c r="L158" s="419"/>
      <c r="M158" s="420"/>
      <c r="N158" s="421"/>
      <c r="O158" s="421"/>
      <c r="P158" s="422"/>
      <c r="Q158" s="387"/>
    </row>
    <row r="159" ht="21.75" customHeight="1">
      <c r="B159" s="387"/>
      <c r="C159" s="413"/>
      <c r="D159" s="414"/>
      <c r="E159" s="414"/>
      <c r="F159" s="415"/>
      <c r="G159" s="423"/>
      <c r="H159" s="424"/>
      <c r="I159" s="416"/>
      <c r="J159" s="417"/>
      <c r="K159" s="418"/>
      <c r="L159" s="419"/>
      <c r="M159" s="420"/>
      <c r="N159" s="421"/>
      <c r="O159" s="421"/>
      <c r="P159" s="422"/>
      <c r="Q159" s="387"/>
    </row>
    <row r="160" ht="21.75" customHeight="1">
      <c r="B160" s="387"/>
      <c r="C160" s="413"/>
      <c r="D160" s="414"/>
      <c r="E160" s="414"/>
      <c r="F160" s="415"/>
      <c r="G160" s="423"/>
      <c r="H160" s="424"/>
      <c r="I160" s="416"/>
      <c r="J160" s="417"/>
      <c r="K160" s="418"/>
      <c r="L160" s="419"/>
      <c r="M160" s="420"/>
      <c r="N160" s="421"/>
      <c r="O160" s="421"/>
      <c r="P160" s="422"/>
      <c r="Q160" s="387"/>
    </row>
    <row r="161" ht="21.75" customHeight="1">
      <c r="B161" s="387"/>
      <c r="C161" s="413"/>
      <c r="D161" s="414"/>
      <c r="E161" s="414"/>
      <c r="F161" s="415"/>
      <c r="G161" s="423"/>
      <c r="H161" s="424"/>
      <c r="I161" s="416"/>
      <c r="J161" s="417"/>
      <c r="K161" s="418"/>
      <c r="L161" s="419"/>
      <c r="M161" s="420"/>
      <c r="N161" s="421"/>
      <c r="O161" s="421"/>
      <c r="P161" s="422"/>
      <c r="Q161" s="387"/>
    </row>
    <row r="162" ht="21.75" customHeight="1">
      <c r="B162" s="387"/>
      <c r="C162" s="413"/>
      <c r="D162" s="414"/>
      <c r="E162" s="414"/>
      <c r="F162" s="415"/>
      <c r="G162" s="423"/>
      <c r="H162" s="424"/>
      <c r="I162" s="416"/>
      <c r="J162" s="417"/>
      <c r="K162" s="418"/>
      <c r="L162" s="419"/>
      <c r="M162" s="420"/>
      <c r="N162" s="421"/>
      <c r="O162" s="421"/>
      <c r="P162" s="422"/>
      <c r="Q162" s="387"/>
    </row>
    <row r="163" ht="21.75" customHeight="1">
      <c r="B163" s="387"/>
      <c r="C163" s="413"/>
      <c r="D163" s="414"/>
      <c r="E163" s="414"/>
      <c r="F163" s="415"/>
      <c r="G163" s="423"/>
      <c r="H163" s="424"/>
      <c r="I163" s="416"/>
      <c r="J163" s="417"/>
      <c r="K163" s="418"/>
      <c r="L163" s="419"/>
      <c r="M163" s="420"/>
      <c r="N163" s="421"/>
      <c r="O163" s="421"/>
      <c r="P163" s="422"/>
      <c r="Q163" s="387"/>
    </row>
    <row r="164" ht="21.75" customHeight="1">
      <c r="B164" s="387"/>
      <c r="C164" s="413"/>
      <c r="D164" s="414"/>
      <c r="E164" s="414"/>
      <c r="F164" s="415"/>
      <c r="G164" s="423"/>
      <c r="H164" s="424"/>
      <c r="I164" s="416"/>
      <c r="J164" s="417"/>
      <c r="K164" s="418"/>
      <c r="L164" s="419"/>
      <c r="M164" s="420"/>
      <c r="N164" s="421"/>
      <c r="O164" s="421"/>
      <c r="P164" s="422"/>
      <c r="Q164" s="387"/>
    </row>
    <row r="165" ht="21.75" customHeight="1">
      <c r="B165" s="387"/>
      <c r="C165" s="413"/>
      <c r="D165" s="414"/>
      <c r="E165" s="414"/>
      <c r="F165" s="415"/>
      <c r="G165" s="423"/>
      <c r="H165" s="424"/>
      <c r="I165" s="416"/>
      <c r="J165" s="417"/>
      <c r="K165" s="418"/>
      <c r="L165" s="419"/>
      <c r="M165" s="420"/>
      <c r="N165" s="421"/>
      <c r="O165" s="421"/>
      <c r="P165" s="422"/>
      <c r="Q165" s="387"/>
    </row>
    <row r="166" ht="21.75" customHeight="1">
      <c r="B166" s="387"/>
      <c r="C166" s="413"/>
      <c r="D166" s="414"/>
      <c r="E166" s="414"/>
      <c r="F166" s="415"/>
      <c r="G166" s="423"/>
      <c r="H166" s="424"/>
      <c r="I166" s="416"/>
      <c r="J166" s="417"/>
      <c r="K166" s="418"/>
      <c r="L166" s="419"/>
      <c r="M166" s="420"/>
      <c r="N166" s="421"/>
      <c r="O166" s="421"/>
      <c r="P166" s="422"/>
      <c r="Q166" s="387"/>
    </row>
    <row r="167" ht="21.75" customHeight="1">
      <c r="B167" s="387"/>
      <c r="C167" s="413"/>
      <c r="D167" s="414"/>
      <c r="E167" s="414"/>
      <c r="F167" s="415"/>
      <c r="G167" s="423"/>
      <c r="H167" s="424"/>
      <c r="I167" s="416"/>
      <c r="J167" s="417"/>
      <c r="K167" s="418"/>
      <c r="L167" s="419"/>
      <c r="M167" s="420"/>
      <c r="N167" s="421"/>
      <c r="O167" s="421"/>
      <c r="P167" s="422"/>
      <c r="Q167" s="387"/>
    </row>
    <row r="168" ht="21.75" customHeight="1">
      <c r="B168" s="387"/>
      <c r="C168" s="413"/>
      <c r="D168" s="414"/>
      <c r="E168" s="414"/>
      <c r="F168" s="415"/>
      <c r="G168" s="423"/>
      <c r="H168" s="424"/>
      <c r="I168" s="416"/>
      <c r="J168" s="417"/>
      <c r="K168" s="418"/>
      <c r="L168" s="419"/>
      <c r="M168" s="420"/>
      <c r="N168" s="421"/>
      <c r="O168" s="421"/>
      <c r="P168" s="422"/>
      <c r="Q168" s="387"/>
    </row>
    <row r="169" ht="21.75" customHeight="1">
      <c r="B169" s="387"/>
      <c r="C169" s="413"/>
      <c r="D169" s="414"/>
      <c r="E169" s="414"/>
      <c r="F169" s="415"/>
      <c r="G169" s="423"/>
      <c r="H169" s="424"/>
      <c r="I169" s="416"/>
      <c r="J169" s="417"/>
      <c r="K169" s="418"/>
      <c r="L169" s="419"/>
      <c r="M169" s="420"/>
      <c r="N169" s="421"/>
      <c r="O169" s="421"/>
      <c r="P169" s="422"/>
      <c r="Q169" s="387"/>
    </row>
    <row r="170" ht="21.75" customHeight="1">
      <c r="B170" s="387"/>
      <c r="C170" s="413"/>
      <c r="D170" s="414"/>
      <c r="E170" s="414"/>
      <c r="F170" s="415"/>
      <c r="G170" s="423"/>
      <c r="H170" s="424"/>
      <c r="I170" s="416"/>
      <c r="J170" s="417"/>
      <c r="K170" s="418"/>
      <c r="L170" s="419"/>
      <c r="M170" s="420"/>
      <c r="N170" s="421"/>
      <c r="O170" s="421"/>
      <c r="P170" s="422"/>
      <c r="Q170" s="387"/>
    </row>
    <row r="171" ht="21.75" customHeight="1">
      <c r="B171" s="387"/>
      <c r="C171" s="413"/>
      <c r="D171" s="414"/>
      <c r="E171" s="414"/>
      <c r="F171" s="415"/>
      <c r="G171" s="423"/>
      <c r="H171" s="424"/>
      <c r="I171" s="416"/>
      <c r="J171" s="417"/>
      <c r="K171" s="418"/>
      <c r="L171" s="419"/>
      <c r="M171" s="420"/>
      <c r="N171" s="421"/>
      <c r="O171" s="421"/>
      <c r="P171" s="422"/>
      <c r="Q171" s="387"/>
    </row>
    <row r="172" ht="21.75" customHeight="1">
      <c r="B172" s="387"/>
      <c r="C172" s="413"/>
      <c r="D172" s="414"/>
      <c r="E172" s="414"/>
      <c r="F172" s="415"/>
      <c r="G172" s="423"/>
      <c r="H172" s="424"/>
      <c r="I172" s="416"/>
      <c r="J172" s="417"/>
      <c r="K172" s="418"/>
      <c r="L172" s="419"/>
      <c r="M172" s="420"/>
      <c r="N172" s="421"/>
      <c r="O172" s="421"/>
      <c r="P172" s="422"/>
      <c r="Q172" s="387"/>
    </row>
    <row r="173" ht="21.75" customHeight="1">
      <c r="B173" s="387"/>
      <c r="C173" s="413"/>
      <c r="D173" s="414"/>
      <c r="E173" s="414"/>
      <c r="F173" s="415"/>
      <c r="G173" s="423"/>
      <c r="H173" s="424"/>
      <c r="I173" s="416"/>
      <c r="J173" s="417"/>
      <c r="K173" s="418"/>
      <c r="L173" s="419"/>
      <c r="M173" s="420"/>
      <c r="N173" s="421"/>
      <c r="O173" s="421"/>
      <c r="P173" s="422"/>
      <c r="Q173" s="387"/>
    </row>
    <row r="174" ht="21.75" customHeight="1">
      <c r="B174" s="387"/>
      <c r="C174" s="413"/>
      <c r="D174" s="414"/>
      <c r="E174" s="414"/>
      <c r="F174" s="415"/>
      <c r="G174" s="423"/>
      <c r="H174" s="424"/>
      <c r="I174" s="416"/>
      <c r="J174" s="417"/>
      <c r="K174" s="418"/>
      <c r="L174" s="419"/>
      <c r="M174" s="420"/>
      <c r="N174" s="421"/>
      <c r="O174" s="421"/>
      <c r="P174" s="422"/>
      <c r="Q174" s="387"/>
    </row>
    <row r="175" ht="21.75" customHeight="1">
      <c r="B175" s="387"/>
      <c r="C175" s="413"/>
      <c r="D175" s="414"/>
      <c r="E175" s="414"/>
      <c r="F175" s="415"/>
      <c r="G175" s="423"/>
      <c r="H175" s="424"/>
      <c r="I175" s="416"/>
      <c r="J175" s="417"/>
      <c r="K175" s="418"/>
      <c r="L175" s="419"/>
      <c r="M175" s="420"/>
      <c r="N175" s="421"/>
      <c r="O175" s="421"/>
      <c r="P175" s="422"/>
      <c r="Q175" s="387"/>
    </row>
    <row r="176" ht="21.75" customHeight="1">
      <c r="B176" s="387"/>
      <c r="C176" s="413"/>
      <c r="D176" s="414"/>
      <c r="E176" s="414"/>
      <c r="F176" s="415"/>
      <c r="G176" s="423"/>
      <c r="H176" s="424"/>
      <c r="I176" s="416"/>
      <c r="J176" s="417"/>
      <c r="K176" s="418"/>
      <c r="L176" s="419"/>
      <c r="M176" s="420"/>
      <c r="N176" s="421"/>
      <c r="O176" s="421"/>
      <c r="P176" s="422"/>
      <c r="Q176" s="387"/>
    </row>
    <row r="177" ht="21.75" customHeight="1">
      <c r="B177" s="387"/>
      <c r="C177" s="413"/>
      <c r="D177" s="414"/>
      <c r="E177" s="414"/>
      <c r="F177" s="415"/>
      <c r="G177" s="423"/>
      <c r="H177" s="424"/>
      <c r="I177" s="416"/>
      <c r="J177" s="417"/>
      <c r="K177" s="418"/>
      <c r="L177" s="419"/>
      <c r="M177" s="420"/>
      <c r="N177" s="421"/>
      <c r="O177" s="421"/>
      <c r="P177" s="422"/>
      <c r="Q177" s="387"/>
    </row>
    <row r="178" ht="21.75" customHeight="1">
      <c r="B178" s="387"/>
      <c r="C178" s="413"/>
      <c r="D178" s="414"/>
      <c r="E178" s="414"/>
      <c r="F178" s="415"/>
      <c r="G178" s="423"/>
      <c r="H178" s="424"/>
      <c r="I178" s="416"/>
      <c r="J178" s="417"/>
      <c r="K178" s="418"/>
      <c r="L178" s="419"/>
      <c r="M178" s="420"/>
      <c r="N178" s="421"/>
      <c r="O178" s="421"/>
      <c r="P178" s="422"/>
      <c r="Q178" s="387"/>
    </row>
    <row r="179" ht="21.75" customHeight="1">
      <c r="B179" s="387"/>
      <c r="C179" s="413"/>
      <c r="D179" s="414"/>
      <c r="E179" s="414"/>
      <c r="F179" s="415"/>
      <c r="G179" s="423"/>
      <c r="H179" s="424"/>
      <c r="I179" s="416"/>
      <c r="J179" s="417"/>
      <c r="K179" s="418"/>
      <c r="L179" s="419"/>
      <c r="M179" s="420"/>
      <c r="N179" s="421"/>
      <c r="O179" s="421"/>
      <c r="P179" s="422"/>
      <c r="Q179" s="387"/>
    </row>
    <row r="180" ht="21.75" customHeight="1">
      <c r="B180" s="387"/>
      <c r="C180" s="413"/>
      <c r="D180" s="414"/>
      <c r="E180" s="414"/>
      <c r="F180" s="415"/>
      <c r="G180" s="423"/>
      <c r="H180" s="424"/>
      <c r="I180" s="416"/>
      <c r="J180" s="417"/>
      <c r="K180" s="418"/>
      <c r="L180" s="419"/>
      <c r="M180" s="420"/>
      <c r="N180" s="421"/>
      <c r="O180" s="421"/>
      <c r="P180" s="422"/>
      <c r="Q180" s="387"/>
    </row>
    <row r="181" ht="21.75" customHeight="1">
      <c r="B181" s="387"/>
      <c r="C181" s="413"/>
      <c r="D181" s="414"/>
      <c r="E181" s="414"/>
      <c r="F181" s="415"/>
      <c r="G181" s="423"/>
      <c r="H181" s="424"/>
      <c r="I181" s="416"/>
      <c r="J181" s="417"/>
      <c r="K181" s="418"/>
      <c r="L181" s="419"/>
      <c r="M181" s="420"/>
      <c r="N181" s="421"/>
      <c r="O181" s="421"/>
      <c r="P181" s="422"/>
      <c r="Q181" s="387"/>
    </row>
    <row r="182" ht="21.75" customHeight="1">
      <c r="B182" s="387"/>
      <c r="C182" s="413"/>
      <c r="D182" s="414"/>
      <c r="E182" s="414"/>
      <c r="F182" s="415"/>
      <c r="G182" s="423"/>
      <c r="H182" s="424"/>
      <c r="I182" s="416"/>
      <c r="J182" s="417"/>
      <c r="K182" s="418"/>
      <c r="L182" s="419"/>
      <c r="M182" s="420"/>
      <c r="N182" s="421"/>
      <c r="O182" s="421"/>
      <c r="P182" s="422"/>
      <c r="Q182" s="387"/>
    </row>
    <row r="183" ht="21.75" customHeight="1">
      <c r="B183" s="387"/>
      <c r="C183" s="413"/>
      <c r="D183" s="414"/>
      <c r="E183" s="414"/>
      <c r="F183" s="415"/>
      <c r="G183" s="423"/>
      <c r="H183" s="424"/>
      <c r="I183" s="416"/>
      <c r="J183" s="417"/>
      <c r="K183" s="418"/>
      <c r="L183" s="419"/>
      <c r="M183" s="420"/>
      <c r="N183" s="421"/>
      <c r="O183" s="421"/>
      <c r="P183" s="422"/>
      <c r="Q183" s="387"/>
    </row>
    <row r="184" ht="21.75" customHeight="1">
      <c r="B184" s="387"/>
      <c r="C184" s="413"/>
      <c r="D184" s="414"/>
      <c r="E184" s="414"/>
      <c r="F184" s="415"/>
      <c r="G184" s="423"/>
      <c r="H184" s="424"/>
      <c r="I184" s="416"/>
      <c r="J184" s="417"/>
      <c r="K184" s="418"/>
      <c r="L184" s="419"/>
      <c r="M184" s="420"/>
      <c r="N184" s="421"/>
      <c r="O184" s="421"/>
      <c r="P184" s="422"/>
      <c r="Q184" s="387"/>
    </row>
    <row r="185" ht="21.75" customHeight="1">
      <c r="B185" s="387"/>
      <c r="C185" s="413"/>
      <c r="D185" s="414"/>
      <c r="E185" s="414"/>
      <c r="F185" s="415"/>
      <c r="G185" s="423"/>
      <c r="H185" s="424"/>
      <c r="I185" s="416"/>
      <c r="J185" s="417"/>
      <c r="K185" s="418"/>
      <c r="L185" s="419"/>
      <c r="M185" s="420"/>
      <c r="N185" s="421"/>
      <c r="O185" s="421"/>
      <c r="P185" s="422"/>
      <c r="Q185" s="387"/>
    </row>
    <row r="186" ht="21.75" customHeight="1">
      <c r="B186" s="387"/>
      <c r="C186" s="413"/>
      <c r="D186" s="414"/>
      <c r="E186" s="414"/>
      <c r="F186" s="415"/>
      <c r="G186" s="423"/>
      <c r="H186" s="424"/>
      <c r="I186" s="416"/>
      <c r="J186" s="417"/>
      <c r="K186" s="418"/>
      <c r="L186" s="419"/>
      <c r="M186" s="420"/>
      <c r="N186" s="421"/>
      <c r="O186" s="421"/>
      <c r="P186" s="422"/>
      <c r="Q186" s="387"/>
    </row>
    <row r="187" ht="21.75" customHeight="1">
      <c r="B187" s="387"/>
      <c r="C187" s="413"/>
      <c r="D187" s="414"/>
      <c r="E187" s="414"/>
      <c r="F187" s="415"/>
      <c r="G187" s="423"/>
      <c r="H187" s="424"/>
      <c r="I187" s="416"/>
      <c r="J187" s="417"/>
      <c r="K187" s="418"/>
      <c r="L187" s="419"/>
      <c r="M187" s="420"/>
      <c r="N187" s="421"/>
      <c r="O187" s="421"/>
      <c r="P187" s="422"/>
      <c r="Q187" s="387"/>
    </row>
    <row r="188" ht="21.75" customHeight="1">
      <c r="B188" s="387"/>
      <c r="C188" s="413"/>
      <c r="D188" s="414"/>
      <c r="E188" s="414"/>
      <c r="F188" s="415"/>
      <c r="G188" s="423"/>
      <c r="H188" s="424"/>
      <c r="I188" s="416"/>
      <c r="J188" s="417"/>
      <c r="K188" s="418"/>
      <c r="L188" s="419"/>
      <c r="M188" s="420"/>
      <c r="N188" s="421"/>
      <c r="O188" s="421"/>
      <c r="P188" s="422"/>
      <c r="Q188" s="387"/>
    </row>
    <row r="189" ht="21.75" customHeight="1">
      <c r="B189" s="387"/>
      <c r="C189" s="413"/>
      <c r="D189" s="414"/>
      <c r="E189" s="414"/>
      <c r="F189" s="415"/>
      <c r="G189" s="423"/>
      <c r="H189" s="424"/>
      <c r="I189" s="416"/>
      <c r="J189" s="417"/>
      <c r="K189" s="418"/>
      <c r="L189" s="419"/>
      <c r="M189" s="420"/>
      <c r="N189" s="421"/>
      <c r="O189" s="421"/>
      <c r="P189" s="422"/>
      <c r="Q189" s="387"/>
    </row>
    <row r="190" ht="21.75" customHeight="1">
      <c r="B190" s="387"/>
      <c r="C190" s="413"/>
      <c r="D190" s="414"/>
      <c r="E190" s="414"/>
      <c r="F190" s="415"/>
      <c r="G190" s="423"/>
      <c r="H190" s="424"/>
      <c r="I190" s="416"/>
      <c r="J190" s="417"/>
      <c r="K190" s="418"/>
      <c r="L190" s="419"/>
      <c r="M190" s="420"/>
      <c r="N190" s="421"/>
      <c r="O190" s="421"/>
      <c r="P190" s="422"/>
      <c r="Q190" s="387"/>
    </row>
    <row r="191" ht="21.75" customHeight="1">
      <c r="B191" s="387"/>
      <c r="C191" s="413"/>
      <c r="D191" s="414"/>
      <c r="E191" s="414"/>
      <c r="F191" s="415"/>
      <c r="G191" s="423"/>
      <c r="H191" s="424"/>
      <c r="I191" s="416"/>
      <c r="J191" s="417"/>
      <c r="K191" s="418"/>
      <c r="L191" s="419"/>
      <c r="M191" s="420"/>
      <c r="N191" s="421"/>
      <c r="O191" s="421"/>
      <c r="P191" s="422"/>
      <c r="Q191" s="387"/>
    </row>
    <row r="192" ht="21.75" customHeight="1">
      <c r="B192" s="387"/>
      <c r="C192" s="413"/>
      <c r="D192" s="414"/>
      <c r="E192" s="414"/>
      <c r="F192" s="415"/>
      <c r="G192" s="423"/>
      <c r="H192" s="424"/>
      <c r="I192" s="416"/>
      <c r="J192" s="417"/>
      <c r="K192" s="418"/>
      <c r="L192" s="419"/>
      <c r="M192" s="420"/>
      <c r="N192" s="421"/>
      <c r="O192" s="421"/>
      <c r="P192" s="422"/>
      <c r="Q192" s="387"/>
    </row>
    <row r="193" ht="21.75" customHeight="1">
      <c r="B193" s="387"/>
      <c r="C193" s="413"/>
      <c r="D193" s="414"/>
      <c r="E193" s="414"/>
      <c r="F193" s="415"/>
      <c r="G193" s="423"/>
      <c r="H193" s="424"/>
      <c r="I193" s="416"/>
      <c r="J193" s="417"/>
      <c r="K193" s="418"/>
      <c r="L193" s="419"/>
      <c r="M193" s="420"/>
      <c r="N193" s="421"/>
      <c r="O193" s="421"/>
      <c r="P193" s="422"/>
      <c r="Q193" s="387"/>
    </row>
    <row r="194" ht="21.75" customHeight="1">
      <c r="B194" s="387"/>
      <c r="C194" s="413"/>
      <c r="D194" s="414"/>
      <c r="E194" s="414"/>
      <c r="F194" s="415"/>
      <c r="G194" s="423"/>
      <c r="H194" s="424"/>
      <c r="I194" s="416"/>
      <c r="J194" s="417"/>
      <c r="K194" s="418"/>
      <c r="L194" s="419"/>
      <c r="M194" s="420"/>
      <c r="N194" s="421"/>
      <c r="O194" s="421"/>
      <c r="P194" s="422"/>
      <c r="Q194" s="387"/>
    </row>
    <row r="195" ht="21.75" customHeight="1">
      <c r="B195" s="387"/>
      <c r="C195" s="413"/>
      <c r="D195" s="414"/>
      <c r="E195" s="414"/>
      <c r="F195" s="415"/>
      <c r="G195" s="423"/>
      <c r="H195" s="424"/>
      <c r="I195" s="416"/>
      <c r="J195" s="417"/>
      <c r="K195" s="418"/>
      <c r="L195" s="419"/>
      <c r="M195" s="420"/>
      <c r="N195" s="421"/>
      <c r="O195" s="421"/>
      <c r="P195" s="422"/>
      <c r="Q195" s="387"/>
    </row>
    <row r="196" ht="21.75" customHeight="1">
      <c r="B196" s="387"/>
      <c r="C196" s="413"/>
      <c r="D196" s="414"/>
      <c r="E196" s="414"/>
      <c r="F196" s="415"/>
      <c r="G196" s="423"/>
      <c r="H196" s="424"/>
      <c r="I196" s="416"/>
      <c r="J196" s="417"/>
      <c r="K196" s="418"/>
      <c r="L196" s="419"/>
      <c r="M196" s="420"/>
      <c r="N196" s="421"/>
      <c r="O196" s="421"/>
      <c r="P196" s="422"/>
      <c r="Q196" s="387"/>
    </row>
    <row r="197" ht="21.75" customHeight="1">
      <c r="B197" s="387"/>
      <c r="C197" s="413"/>
      <c r="D197" s="414"/>
      <c r="E197" s="414"/>
      <c r="F197" s="415"/>
      <c r="G197" s="423"/>
      <c r="H197" s="424"/>
      <c r="I197" s="416"/>
      <c r="J197" s="417"/>
      <c r="K197" s="418"/>
      <c r="L197" s="419"/>
      <c r="M197" s="420"/>
      <c r="N197" s="421"/>
      <c r="O197" s="421"/>
      <c r="P197" s="422"/>
      <c r="Q197" s="387"/>
    </row>
    <row r="198" ht="21.75" customHeight="1">
      <c r="B198" s="387"/>
      <c r="C198" s="413"/>
      <c r="D198" s="414"/>
      <c r="E198" s="414"/>
      <c r="F198" s="415"/>
      <c r="G198" s="423"/>
      <c r="H198" s="424"/>
      <c r="I198" s="416"/>
      <c r="J198" s="417"/>
      <c r="K198" s="418"/>
      <c r="L198" s="419"/>
      <c r="M198" s="420"/>
      <c r="N198" s="421"/>
      <c r="O198" s="421"/>
      <c r="P198" s="422"/>
      <c r="Q198" s="387"/>
    </row>
    <row r="199" ht="21.75" customHeight="1">
      <c r="B199" s="387"/>
      <c r="C199" s="413"/>
      <c r="D199" s="414"/>
      <c r="E199" s="414"/>
      <c r="F199" s="415"/>
      <c r="G199" s="423"/>
      <c r="H199" s="424"/>
      <c r="I199" s="416"/>
      <c r="J199" s="417"/>
      <c r="K199" s="418"/>
      <c r="L199" s="419"/>
      <c r="M199" s="420"/>
      <c r="N199" s="421"/>
      <c r="O199" s="421"/>
      <c r="P199" s="422"/>
      <c r="Q199" s="387"/>
    </row>
    <row r="200" ht="21.75" customHeight="1">
      <c r="B200" s="387"/>
      <c r="C200" s="413"/>
      <c r="D200" s="414"/>
      <c r="E200" s="414"/>
      <c r="F200" s="415"/>
      <c r="G200" s="423"/>
      <c r="H200" s="424"/>
      <c r="I200" s="416"/>
      <c r="J200" s="417"/>
      <c r="K200" s="418"/>
      <c r="L200" s="419"/>
      <c r="M200" s="420"/>
      <c r="N200" s="421"/>
      <c r="O200" s="421"/>
      <c r="P200" s="422"/>
      <c r="Q200" s="387"/>
    </row>
    <row r="201" ht="21.75" customHeight="1">
      <c r="B201" s="387"/>
      <c r="C201" s="413"/>
      <c r="D201" s="414"/>
      <c r="E201" s="414"/>
      <c r="F201" s="415"/>
      <c r="G201" s="423"/>
      <c r="H201" s="424"/>
      <c r="I201" s="416"/>
      <c r="J201" s="417"/>
      <c r="K201" s="418"/>
      <c r="L201" s="419"/>
      <c r="M201" s="420"/>
      <c r="N201" s="421"/>
      <c r="O201" s="421"/>
      <c r="P201" s="422"/>
      <c r="Q201" s="387"/>
    </row>
    <row r="202" ht="21.75" customHeight="1">
      <c r="B202" s="387"/>
      <c r="C202" s="413"/>
      <c r="D202" s="414"/>
      <c r="E202" s="414"/>
      <c r="F202" s="415"/>
      <c r="G202" s="423"/>
      <c r="H202" s="424"/>
      <c r="I202" s="416"/>
      <c r="J202" s="417"/>
      <c r="K202" s="418"/>
      <c r="L202" s="419"/>
      <c r="M202" s="420"/>
      <c r="N202" s="421"/>
      <c r="O202" s="421"/>
      <c r="P202" s="422"/>
      <c r="Q202" s="387"/>
    </row>
    <row r="203" ht="21.75" customHeight="1">
      <c r="B203" s="387"/>
      <c r="C203" s="413"/>
      <c r="D203" s="414"/>
      <c r="E203" s="414"/>
      <c r="F203" s="415"/>
      <c r="G203" s="423"/>
      <c r="H203" s="424"/>
      <c r="I203" s="416"/>
      <c r="J203" s="417"/>
      <c r="K203" s="418"/>
      <c r="L203" s="419"/>
      <c r="M203" s="420"/>
      <c r="N203" s="421"/>
      <c r="O203" s="421"/>
      <c r="P203" s="422"/>
      <c r="Q203" s="387"/>
    </row>
    <row r="204" ht="21.75" customHeight="1">
      <c r="B204" s="387"/>
      <c r="C204" s="413"/>
      <c r="D204" s="414"/>
      <c r="E204" s="414"/>
      <c r="F204" s="415"/>
      <c r="G204" s="423"/>
      <c r="H204" s="424"/>
      <c r="I204" s="416"/>
      <c r="J204" s="417"/>
      <c r="K204" s="418"/>
      <c r="L204" s="419"/>
      <c r="M204" s="420"/>
      <c r="N204" s="421"/>
      <c r="O204" s="421"/>
      <c r="P204" s="422"/>
      <c r="Q204" s="387"/>
    </row>
    <row r="205" ht="21.75" customHeight="1">
      <c r="B205" s="387"/>
      <c r="C205" s="413"/>
      <c r="D205" s="414"/>
      <c r="E205" s="414"/>
      <c r="F205" s="415"/>
      <c r="G205" s="423"/>
      <c r="H205" s="424"/>
      <c r="I205" s="416"/>
      <c r="J205" s="417"/>
      <c r="K205" s="418"/>
      <c r="L205" s="419"/>
      <c r="M205" s="420"/>
      <c r="N205" s="421"/>
      <c r="O205" s="421"/>
      <c r="P205" s="422"/>
      <c r="Q205" s="387"/>
    </row>
    <row r="206" ht="21.75" customHeight="1">
      <c r="B206" s="387"/>
      <c r="C206" s="413"/>
      <c r="D206" s="414"/>
      <c r="E206" s="414"/>
      <c r="F206" s="415"/>
      <c r="G206" s="423"/>
      <c r="H206" s="424"/>
      <c r="I206" s="416"/>
      <c r="J206" s="417"/>
      <c r="K206" s="418"/>
      <c r="L206" s="419"/>
      <c r="M206" s="420"/>
      <c r="N206" s="421"/>
      <c r="O206" s="421"/>
      <c r="P206" s="422"/>
      <c r="Q206" s="387"/>
    </row>
    <row r="207" ht="21.75" customHeight="1">
      <c r="B207" s="387"/>
      <c r="C207" s="413"/>
      <c r="D207" s="414"/>
      <c r="E207" s="414"/>
      <c r="F207" s="415"/>
      <c r="G207" s="423"/>
      <c r="H207" s="424"/>
      <c r="I207" s="416"/>
      <c r="J207" s="417"/>
      <c r="K207" s="418"/>
      <c r="L207" s="419"/>
      <c r="M207" s="420"/>
      <c r="N207" s="421"/>
      <c r="O207" s="421"/>
      <c r="P207" s="422"/>
      <c r="Q207" s="387"/>
    </row>
    <row r="208" ht="21.75" customHeight="1">
      <c r="B208" s="387"/>
      <c r="C208" s="413"/>
      <c r="D208" s="414"/>
      <c r="E208" s="414"/>
      <c r="F208" s="415"/>
      <c r="G208" s="423"/>
      <c r="H208" s="424"/>
      <c r="I208" s="416"/>
      <c r="J208" s="417"/>
      <c r="K208" s="418"/>
      <c r="L208" s="419"/>
      <c r="M208" s="420"/>
      <c r="N208" s="421"/>
      <c r="O208" s="421"/>
      <c r="P208" s="422"/>
      <c r="Q208" s="387"/>
    </row>
    <row r="209" ht="21.75" customHeight="1">
      <c r="B209" s="387"/>
      <c r="C209" s="413"/>
      <c r="D209" s="414"/>
      <c r="E209" s="414"/>
      <c r="F209" s="415"/>
      <c r="G209" s="423"/>
      <c r="H209" s="424"/>
      <c r="I209" s="416"/>
      <c r="J209" s="417"/>
      <c r="K209" s="418"/>
      <c r="L209" s="419"/>
      <c r="M209" s="420"/>
      <c r="N209" s="421"/>
      <c r="O209" s="421"/>
      <c r="P209" s="422"/>
      <c r="Q209" s="387"/>
    </row>
    <row r="210" ht="21.75" customHeight="1">
      <c r="B210" s="387"/>
      <c r="C210" s="413"/>
      <c r="D210" s="414"/>
      <c r="E210" s="414"/>
      <c r="F210" s="415"/>
      <c r="G210" s="423"/>
      <c r="H210" s="424"/>
      <c r="I210" s="416"/>
      <c r="J210" s="417"/>
      <c r="K210" s="418"/>
      <c r="L210" s="419"/>
      <c r="M210" s="420"/>
      <c r="N210" s="421"/>
      <c r="O210" s="421"/>
      <c r="P210" s="422"/>
      <c r="Q210" s="387"/>
    </row>
    <row r="211" ht="21.75" customHeight="1">
      <c r="B211" s="387"/>
      <c r="C211" s="413"/>
      <c r="D211" s="414"/>
      <c r="E211" s="414"/>
      <c r="F211" s="415"/>
      <c r="G211" s="423"/>
      <c r="H211" s="424"/>
      <c r="I211" s="416"/>
      <c r="J211" s="417"/>
      <c r="K211" s="418"/>
      <c r="L211" s="419"/>
      <c r="M211" s="420"/>
      <c r="N211" s="421"/>
      <c r="O211" s="421"/>
      <c r="P211" s="422"/>
      <c r="Q211" s="387"/>
    </row>
    <row r="212" ht="21.75" customHeight="1">
      <c r="B212" s="387"/>
      <c r="C212" s="413"/>
      <c r="D212" s="414"/>
      <c r="E212" s="414"/>
      <c r="F212" s="415"/>
      <c r="G212" s="423"/>
      <c r="H212" s="424"/>
      <c r="I212" s="416"/>
      <c r="J212" s="417"/>
      <c r="K212" s="418"/>
      <c r="L212" s="419"/>
      <c r="M212" s="420"/>
      <c r="N212" s="421"/>
      <c r="O212" s="421"/>
      <c r="P212" s="422"/>
      <c r="Q212" s="387"/>
    </row>
    <row r="213" ht="21.75" customHeight="1">
      <c r="B213" s="387"/>
      <c r="C213" s="413"/>
      <c r="D213" s="414"/>
      <c r="E213" s="414"/>
      <c r="F213" s="415"/>
      <c r="G213" s="423"/>
      <c r="H213" s="424"/>
      <c r="I213" s="416"/>
      <c r="J213" s="417"/>
      <c r="K213" s="418"/>
      <c r="L213" s="419"/>
      <c r="M213" s="420"/>
      <c r="N213" s="421"/>
      <c r="O213" s="421"/>
      <c r="P213" s="422"/>
      <c r="Q213" s="387"/>
    </row>
    <row r="214" ht="21.75" customHeight="1">
      <c r="B214" s="387"/>
      <c r="C214" s="413"/>
      <c r="D214" s="414"/>
      <c r="E214" s="414"/>
      <c r="F214" s="415"/>
      <c r="G214" s="423"/>
      <c r="H214" s="424"/>
      <c r="I214" s="416"/>
      <c r="J214" s="417"/>
      <c r="K214" s="418"/>
      <c r="L214" s="419"/>
      <c r="M214" s="420"/>
      <c r="N214" s="421"/>
      <c r="O214" s="421"/>
      <c r="P214" s="422"/>
      <c r="Q214" s="387"/>
    </row>
    <row r="215" ht="21.75" customHeight="1">
      <c r="B215" s="387"/>
      <c r="C215" s="413"/>
      <c r="D215" s="414"/>
      <c r="E215" s="414"/>
      <c r="F215" s="415"/>
      <c r="G215" s="423"/>
      <c r="H215" s="424"/>
      <c r="I215" s="416"/>
      <c r="J215" s="417"/>
      <c r="K215" s="418"/>
      <c r="L215" s="419"/>
      <c r="M215" s="420"/>
      <c r="N215" s="421"/>
      <c r="O215" s="421"/>
      <c r="P215" s="422"/>
      <c r="Q215" s="387"/>
    </row>
    <row r="216" ht="21.75" customHeight="1">
      <c r="B216" s="387"/>
      <c r="C216" s="413"/>
      <c r="D216" s="414"/>
      <c r="E216" s="414"/>
      <c r="F216" s="415"/>
      <c r="G216" s="423"/>
      <c r="H216" s="424"/>
      <c r="I216" s="416"/>
      <c r="J216" s="417"/>
      <c r="K216" s="418"/>
      <c r="L216" s="419"/>
      <c r="M216" s="420"/>
      <c r="N216" s="421"/>
      <c r="O216" s="421"/>
      <c r="P216" s="422"/>
      <c r="Q216" s="387"/>
    </row>
    <row r="217" ht="21.75" customHeight="1">
      <c r="B217" s="387"/>
      <c r="C217" s="413"/>
      <c r="D217" s="414"/>
      <c r="E217" s="414"/>
      <c r="F217" s="415"/>
      <c r="G217" s="423"/>
      <c r="H217" s="424"/>
      <c r="I217" s="416"/>
      <c r="J217" s="417"/>
      <c r="K217" s="418"/>
      <c r="L217" s="419"/>
      <c r="M217" s="420"/>
      <c r="N217" s="421"/>
      <c r="O217" s="421"/>
      <c r="P217" s="422"/>
      <c r="Q217" s="387"/>
    </row>
    <row r="218" ht="21.75" customHeight="1">
      <c r="B218" s="387"/>
      <c r="C218" s="413"/>
      <c r="D218" s="414"/>
      <c r="E218" s="414"/>
      <c r="F218" s="415"/>
      <c r="G218" s="423"/>
      <c r="H218" s="424"/>
      <c r="I218" s="416"/>
      <c r="J218" s="417"/>
      <c r="K218" s="418"/>
      <c r="L218" s="419"/>
      <c r="M218" s="420"/>
      <c r="N218" s="421"/>
      <c r="O218" s="421"/>
      <c r="P218" s="422"/>
      <c r="Q218" s="387"/>
    </row>
    <row r="219" ht="21.75" customHeight="1">
      <c r="B219" s="387"/>
      <c r="C219" s="413"/>
      <c r="D219" s="414"/>
      <c r="E219" s="414"/>
      <c r="F219" s="415"/>
      <c r="G219" s="423"/>
      <c r="H219" s="424"/>
      <c r="I219" s="416"/>
      <c r="J219" s="417"/>
      <c r="K219" s="418"/>
      <c r="L219" s="419"/>
      <c r="M219" s="420"/>
      <c r="N219" s="421"/>
      <c r="O219" s="421"/>
      <c r="P219" s="422"/>
      <c r="Q219" s="387"/>
    </row>
    <row r="220" ht="21.75" customHeight="1">
      <c r="B220" s="387"/>
      <c r="C220" s="413"/>
      <c r="D220" s="414"/>
      <c r="E220" s="414"/>
      <c r="F220" s="415"/>
      <c r="G220" s="423"/>
      <c r="H220" s="424"/>
      <c r="I220" s="416"/>
      <c r="J220" s="417"/>
      <c r="K220" s="418"/>
      <c r="L220" s="419"/>
      <c r="M220" s="420"/>
      <c r="N220" s="421"/>
      <c r="O220" s="421"/>
      <c r="P220" s="422"/>
      <c r="Q220" s="387"/>
    </row>
    <row r="221" ht="21.75" customHeight="1">
      <c r="B221" s="387"/>
      <c r="C221" s="413"/>
      <c r="D221" s="414"/>
      <c r="E221" s="414"/>
      <c r="F221" s="415"/>
      <c r="G221" s="423"/>
      <c r="H221" s="424"/>
      <c r="I221" s="416"/>
      <c r="J221" s="417"/>
      <c r="K221" s="418"/>
      <c r="L221" s="419"/>
      <c r="M221" s="420"/>
      <c r="N221" s="421"/>
      <c r="O221" s="421"/>
      <c r="P221" s="422"/>
      <c r="Q221" s="387"/>
    </row>
    <row r="222" ht="21.75" customHeight="1">
      <c r="B222" s="387"/>
      <c r="C222" s="413"/>
      <c r="D222" s="414"/>
      <c r="E222" s="414"/>
      <c r="F222" s="415"/>
      <c r="G222" s="423"/>
      <c r="H222" s="424"/>
      <c r="I222" s="416"/>
      <c r="J222" s="417"/>
      <c r="K222" s="418"/>
      <c r="L222" s="419"/>
      <c r="M222" s="420"/>
      <c r="N222" s="421"/>
      <c r="O222" s="421"/>
      <c r="P222" s="422"/>
      <c r="Q222" s="387"/>
    </row>
    <row r="223" ht="21.75" customHeight="1">
      <c r="B223" s="387"/>
      <c r="C223" s="413"/>
      <c r="D223" s="414"/>
      <c r="E223" s="414"/>
      <c r="F223" s="415"/>
      <c r="G223" s="423"/>
      <c r="H223" s="424"/>
      <c r="I223" s="416"/>
      <c r="J223" s="417"/>
      <c r="K223" s="418"/>
      <c r="L223" s="419"/>
      <c r="M223" s="420"/>
      <c r="N223" s="421"/>
      <c r="O223" s="421"/>
      <c r="P223" s="422"/>
      <c r="Q223" s="387"/>
    </row>
    <row r="224" ht="21.75" customHeight="1">
      <c r="B224" s="387"/>
      <c r="C224" s="413"/>
      <c r="D224" s="414"/>
      <c r="E224" s="414"/>
      <c r="F224" s="415"/>
      <c r="G224" s="423"/>
      <c r="H224" s="424"/>
      <c r="I224" s="416"/>
      <c r="J224" s="417"/>
      <c r="K224" s="418"/>
      <c r="L224" s="419"/>
      <c r="M224" s="420"/>
      <c r="N224" s="421"/>
      <c r="O224" s="421"/>
      <c r="P224" s="422"/>
      <c r="Q224" s="387"/>
    </row>
    <row r="225" ht="21.75" customHeight="1">
      <c r="B225" s="387"/>
      <c r="C225" s="413"/>
      <c r="D225" s="414"/>
      <c r="E225" s="414"/>
      <c r="F225" s="415"/>
      <c r="G225" s="423"/>
      <c r="H225" s="424"/>
      <c r="I225" s="416"/>
      <c r="J225" s="417"/>
      <c r="K225" s="418"/>
      <c r="L225" s="419"/>
      <c r="M225" s="420"/>
      <c r="N225" s="421"/>
      <c r="O225" s="421"/>
      <c r="P225" s="422"/>
      <c r="Q225" s="387"/>
    </row>
    <row r="226" ht="21.75" customHeight="1">
      <c r="B226" s="387"/>
      <c r="C226" s="413"/>
      <c r="D226" s="414"/>
      <c r="E226" s="414"/>
      <c r="F226" s="415"/>
      <c r="G226" s="423"/>
      <c r="H226" s="424"/>
      <c r="I226" s="416"/>
      <c r="J226" s="417"/>
      <c r="K226" s="418"/>
      <c r="L226" s="419"/>
      <c r="M226" s="420"/>
      <c r="N226" s="421"/>
      <c r="O226" s="421"/>
      <c r="P226" s="422"/>
      <c r="Q226" s="387"/>
    </row>
    <row r="227" ht="21.75" customHeight="1">
      <c r="B227" s="387"/>
      <c r="C227" s="413"/>
      <c r="D227" s="414"/>
      <c r="E227" s="414"/>
      <c r="F227" s="415"/>
      <c r="G227" s="423"/>
      <c r="H227" s="424"/>
      <c r="I227" s="416"/>
      <c r="J227" s="417"/>
      <c r="K227" s="418"/>
      <c r="L227" s="419"/>
      <c r="M227" s="420"/>
      <c r="N227" s="421"/>
      <c r="O227" s="421"/>
      <c r="P227" s="422"/>
      <c r="Q227" s="387"/>
    </row>
    <row r="228" ht="21.75" customHeight="1">
      <c r="B228" s="387"/>
      <c r="C228" s="413"/>
      <c r="D228" s="414"/>
      <c r="E228" s="414"/>
      <c r="F228" s="415"/>
      <c r="G228" s="423"/>
      <c r="H228" s="424"/>
      <c r="I228" s="416"/>
      <c r="J228" s="417"/>
      <c r="K228" s="418"/>
      <c r="L228" s="419"/>
      <c r="M228" s="420"/>
      <c r="N228" s="421"/>
      <c r="O228" s="421"/>
      <c r="P228" s="422"/>
      <c r="Q228" s="387"/>
    </row>
    <row r="229" ht="21.75" customHeight="1">
      <c r="B229" s="387"/>
      <c r="C229" s="413"/>
      <c r="D229" s="414"/>
      <c r="E229" s="414"/>
      <c r="F229" s="415"/>
      <c r="G229" s="423"/>
      <c r="H229" s="424"/>
      <c r="I229" s="416"/>
      <c r="J229" s="417"/>
      <c r="K229" s="418"/>
      <c r="L229" s="419"/>
      <c r="M229" s="420"/>
      <c r="N229" s="421"/>
      <c r="O229" s="421"/>
      <c r="P229" s="422"/>
      <c r="Q229" s="387"/>
    </row>
    <row r="230" ht="21.75" customHeight="1">
      <c r="B230" s="387"/>
      <c r="C230" s="413"/>
      <c r="D230" s="414"/>
      <c r="E230" s="414"/>
      <c r="F230" s="415"/>
      <c r="G230" s="423"/>
      <c r="H230" s="424"/>
      <c r="I230" s="416"/>
      <c r="J230" s="417"/>
      <c r="K230" s="418"/>
      <c r="L230" s="419"/>
      <c r="M230" s="420"/>
      <c r="N230" s="421"/>
      <c r="O230" s="421"/>
      <c r="P230" s="422"/>
      <c r="Q230" s="387"/>
    </row>
    <row r="231" ht="21.75" customHeight="1">
      <c r="B231" s="387"/>
      <c r="C231" s="413"/>
      <c r="D231" s="414"/>
      <c r="E231" s="414"/>
      <c r="F231" s="415"/>
      <c r="G231" s="423"/>
      <c r="H231" s="424"/>
      <c r="I231" s="416"/>
      <c r="J231" s="417"/>
      <c r="K231" s="418"/>
      <c r="L231" s="419"/>
      <c r="M231" s="420"/>
      <c r="N231" s="421"/>
      <c r="O231" s="421"/>
      <c r="P231" s="422"/>
      <c r="Q231" s="387"/>
    </row>
    <row r="232" ht="21.75" customHeight="1">
      <c r="B232" s="387"/>
      <c r="C232" s="413"/>
      <c r="D232" s="414"/>
      <c r="E232" s="414"/>
      <c r="F232" s="415"/>
      <c r="G232" s="423"/>
      <c r="H232" s="424"/>
      <c r="I232" s="416"/>
      <c r="J232" s="417"/>
      <c r="K232" s="418"/>
      <c r="L232" s="419"/>
      <c r="M232" s="420"/>
      <c r="N232" s="421"/>
      <c r="O232" s="421"/>
      <c r="P232" s="422"/>
      <c r="Q232" s="387"/>
    </row>
    <row r="233" ht="21.75" customHeight="1">
      <c r="B233" s="387"/>
      <c r="C233" s="413"/>
      <c r="D233" s="414"/>
      <c r="E233" s="414"/>
      <c r="F233" s="415"/>
      <c r="G233" s="423"/>
      <c r="H233" s="424"/>
      <c r="I233" s="416"/>
      <c r="J233" s="417"/>
      <c r="K233" s="418"/>
      <c r="L233" s="419"/>
      <c r="M233" s="420"/>
      <c r="N233" s="421"/>
      <c r="O233" s="421"/>
      <c r="P233" s="422"/>
      <c r="Q233" s="387"/>
    </row>
    <row r="234" ht="21.75" customHeight="1">
      <c r="B234" s="387"/>
      <c r="C234" s="413"/>
      <c r="D234" s="414"/>
      <c r="E234" s="414"/>
      <c r="F234" s="415"/>
      <c r="G234" s="423"/>
      <c r="H234" s="424"/>
      <c r="I234" s="416"/>
      <c r="J234" s="417"/>
      <c r="K234" s="418"/>
      <c r="L234" s="419"/>
      <c r="M234" s="420"/>
      <c r="N234" s="421"/>
      <c r="O234" s="421"/>
      <c r="P234" s="422"/>
      <c r="Q234" s="387"/>
    </row>
    <row r="235" ht="21.75" customHeight="1">
      <c r="B235" s="387"/>
      <c r="C235" s="413"/>
      <c r="D235" s="414"/>
      <c r="E235" s="414"/>
      <c r="F235" s="415"/>
      <c r="G235" s="423"/>
      <c r="H235" s="424"/>
      <c r="I235" s="416"/>
      <c r="J235" s="417"/>
      <c r="K235" s="418"/>
      <c r="L235" s="419"/>
      <c r="M235" s="420"/>
      <c r="N235" s="421"/>
      <c r="O235" s="421"/>
      <c r="P235" s="422"/>
      <c r="Q235" s="387"/>
    </row>
    <row r="236" ht="21.75" customHeight="1">
      <c r="B236" s="387"/>
      <c r="C236" s="413"/>
      <c r="D236" s="414"/>
      <c r="E236" s="414"/>
      <c r="F236" s="415"/>
      <c r="G236" s="423"/>
      <c r="H236" s="424"/>
      <c r="I236" s="416"/>
      <c r="J236" s="417"/>
      <c r="K236" s="418"/>
      <c r="L236" s="419"/>
      <c r="M236" s="420"/>
      <c r="N236" s="421"/>
      <c r="O236" s="421"/>
      <c r="P236" s="422"/>
      <c r="Q236" s="387"/>
    </row>
    <row r="237" ht="21.75" customHeight="1">
      <c r="B237" s="387"/>
      <c r="C237" s="413"/>
      <c r="D237" s="414"/>
      <c r="E237" s="414"/>
      <c r="F237" s="415"/>
      <c r="G237" s="423"/>
      <c r="H237" s="424"/>
      <c r="I237" s="416"/>
      <c r="J237" s="417"/>
      <c r="K237" s="418"/>
      <c r="L237" s="419"/>
      <c r="M237" s="420"/>
      <c r="N237" s="421"/>
      <c r="O237" s="421"/>
      <c r="P237" s="422"/>
      <c r="Q237" s="387"/>
    </row>
    <row r="238" ht="21.75" customHeight="1">
      <c r="B238" s="387"/>
      <c r="C238" s="413"/>
      <c r="D238" s="414"/>
      <c r="E238" s="414"/>
      <c r="F238" s="415"/>
      <c r="G238" s="423"/>
      <c r="H238" s="424"/>
      <c r="I238" s="416"/>
      <c r="J238" s="417"/>
      <c r="K238" s="418"/>
      <c r="L238" s="419"/>
      <c r="M238" s="420"/>
      <c r="N238" s="421"/>
      <c r="O238" s="421"/>
      <c r="P238" s="422"/>
      <c r="Q238" s="387"/>
    </row>
    <row r="239" ht="21.75" customHeight="1">
      <c r="B239" s="387"/>
      <c r="C239" s="413"/>
      <c r="D239" s="414"/>
      <c r="E239" s="414"/>
      <c r="F239" s="415"/>
      <c r="G239" s="423"/>
      <c r="H239" s="424"/>
      <c r="I239" s="416"/>
      <c r="J239" s="417"/>
      <c r="K239" s="418"/>
      <c r="L239" s="419"/>
      <c r="M239" s="420"/>
      <c r="N239" s="421"/>
      <c r="O239" s="421"/>
      <c r="P239" s="422"/>
      <c r="Q239" s="387"/>
    </row>
    <row r="240" ht="21.75" customHeight="1">
      <c r="B240" s="387"/>
      <c r="C240" s="413"/>
      <c r="D240" s="414"/>
      <c r="E240" s="414"/>
      <c r="F240" s="415"/>
      <c r="G240" s="423"/>
      <c r="H240" s="424"/>
      <c r="I240" s="416"/>
      <c r="J240" s="417"/>
      <c r="K240" s="418"/>
      <c r="L240" s="419"/>
      <c r="M240" s="420"/>
      <c r="N240" s="421"/>
      <c r="O240" s="421"/>
      <c r="P240" s="422"/>
      <c r="Q240" s="387"/>
    </row>
    <row r="241" ht="21.75" customHeight="1">
      <c r="B241" s="387"/>
      <c r="C241" s="413"/>
      <c r="D241" s="414"/>
      <c r="E241" s="414"/>
      <c r="F241" s="415"/>
      <c r="G241" s="423"/>
      <c r="H241" s="424"/>
      <c r="I241" s="416"/>
      <c r="J241" s="417"/>
      <c r="K241" s="418"/>
      <c r="L241" s="419"/>
      <c r="M241" s="420"/>
      <c r="N241" s="421"/>
      <c r="O241" s="421"/>
      <c r="P241" s="422"/>
      <c r="Q241" s="387"/>
    </row>
    <row r="242" ht="21.75" customHeight="1">
      <c r="B242" s="387"/>
      <c r="C242" s="413"/>
      <c r="D242" s="414"/>
      <c r="E242" s="414"/>
      <c r="F242" s="415"/>
      <c r="G242" s="423"/>
      <c r="H242" s="424"/>
      <c r="I242" s="416"/>
      <c r="J242" s="417"/>
      <c r="K242" s="418"/>
      <c r="L242" s="419"/>
      <c r="M242" s="420"/>
      <c r="N242" s="421"/>
      <c r="O242" s="421"/>
      <c r="P242" s="422"/>
      <c r="Q242" s="387"/>
    </row>
    <row r="243" ht="21.75" customHeight="1">
      <c r="B243" s="387"/>
      <c r="C243" s="413"/>
      <c r="D243" s="414"/>
      <c r="E243" s="414"/>
      <c r="F243" s="415"/>
      <c r="G243" s="423"/>
      <c r="H243" s="424"/>
      <c r="I243" s="416"/>
      <c r="J243" s="417"/>
      <c r="K243" s="418"/>
      <c r="L243" s="419"/>
      <c r="M243" s="420"/>
      <c r="N243" s="421"/>
      <c r="O243" s="421"/>
      <c r="P243" s="422"/>
      <c r="Q243" s="387"/>
    </row>
    <row r="244" ht="21.75" customHeight="1">
      <c r="B244" s="387"/>
      <c r="C244" s="413"/>
      <c r="D244" s="414"/>
      <c r="E244" s="414"/>
      <c r="F244" s="415"/>
      <c r="G244" s="423"/>
      <c r="H244" s="424"/>
      <c r="I244" s="416"/>
      <c r="J244" s="417"/>
      <c r="K244" s="418"/>
      <c r="L244" s="419"/>
      <c r="M244" s="420"/>
      <c r="N244" s="421"/>
      <c r="O244" s="421"/>
      <c r="P244" s="422"/>
      <c r="Q244" s="387"/>
    </row>
    <row r="245" ht="21.75" customHeight="1">
      <c r="B245" s="387"/>
      <c r="C245" s="413"/>
      <c r="D245" s="414"/>
      <c r="E245" s="414"/>
      <c r="F245" s="415"/>
      <c r="G245" s="423"/>
      <c r="H245" s="424"/>
      <c r="I245" s="416"/>
      <c r="J245" s="417"/>
      <c r="K245" s="418"/>
      <c r="L245" s="419"/>
      <c r="M245" s="420"/>
      <c r="N245" s="421"/>
      <c r="O245" s="421"/>
      <c r="P245" s="422"/>
      <c r="Q245" s="387"/>
    </row>
    <row r="246" ht="21.75" customHeight="1">
      <c r="B246" s="387"/>
      <c r="C246" s="413"/>
      <c r="D246" s="414"/>
      <c r="E246" s="414"/>
      <c r="F246" s="415"/>
      <c r="G246" s="423"/>
      <c r="H246" s="424"/>
      <c r="I246" s="416"/>
      <c r="J246" s="417"/>
      <c r="K246" s="418"/>
      <c r="L246" s="419"/>
      <c r="M246" s="420"/>
      <c r="N246" s="421"/>
      <c r="O246" s="421"/>
      <c r="P246" s="422"/>
      <c r="Q246" s="387"/>
    </row>
    <row r="247" ht="21.75" customHeight="1">
      <c r="B247" s="387"/>
      <c r="C247" s="413"/>
      <c r="D247" s="414"/>
      <c r="E247" s="414"/>
      <c r="F247" s="415"/>
      <c r="G247" s="423"/>
      <c r="H247" s="424"/>
      <c r="I247" s="416"/>
      <c r="J247" s="417"/>
      <c r="K247" s="418"/>
      <c r="L247" s="419"/>
      <c r="M247" s="420"/>
      <c r="N247" s="421"/>
      <c r="O247" s="421"/>
      <c r="P247" s="422"/>
      <c r="Q247" s="387"/>
    </row>
    <row r="248" ht="21.75" customHeight="1">
      <c r="B248" s="387"/>
      <c r="C248" s="413"/>
      <c r="D248" s="414"/>
      <c r="E248" s="414"/>
      <c r="F248" s="415"/>
      <c r="G248" s="423"/>
      <c r="H248" s="424"/>
      <c r="I248" s="416"/>
      <c r="J248" s="417"/>
      <c r="K248" s="418"/>
      <c r="L248" s="419"/>
      <c r="M248" s="420"/>
      <c r="N248" s="421"/>
      <c r="O248" s="421"/>
      <c r="P248" s="422"/>
      <c r="Q248" s="387"/>
    </row>
    <row r="249" ht="21.75" customHeight="1">
      <c r="B249" s="387"/>
      <c r="C249" s="413"/>
      <c r="D249" s="414"/>
      <c r="E249" s="414"/>
      <c r="F249" s="415"/>
      <c r="G249" s="423"/>
      <c r="H249" s="424"/>
      <c r="I249" s="416"/>
      <c r="J249" s="417"/>
      <c r="K249" s="418"/>
      <c r="L249" s="419"/>
      <c r="M249" s="420"/>
      <c r="N249" s="421"/>
      <c r="O249" s="421"/>
      <c r="P249" s="422"/>
      <c r="Q249" s="387"/>
    </row>
    <row r="250" ht="21.75" customHeight="1">
      <c r="B250" s="387"/>
      <c r="C250" s="413"/>
      <c r="D250" s="414"/>
      <c r="E250" s="414"/>
      <c r="F250" s="415"/>
      <c r="G250" s="423"/>
      <c r="H250" s="424"/>
      <c r="I250" s="416"/>
      <c r="J250" s="417"/>
      <c r="K250" s="418"/>
      <c r="L250" s="419"/>
      <c r="M250" s="420"/>
      <c r="N250" s="421"/>
      <c r="O250" s="421"/>
      <c r="P250" s="422"/>
      <c r="Q250" s="387"/>
    </row>
    <row r="251" ht="21.75" customHeight="1">
      <c r="B251" s="387"/>
      <c r="C251" s="413"/>
      <c r="D251" s="414"/>
      <c r="E251" s="414"/>
      <c r="F251" s="415"/>
      <c r="G251" s="423"/>
      <c r="H251" s="424"/>
      <c r="I251" s="416"/>
      <c r="J251" s="417"/>
      <c r="K251" s="418"/>
      <c r="L251" s="419"/>
      <c r="M251" s="420"/>
      <c r="N251" s="421"/>
      <c r="O251" s="421"/>
      <c r="P251" s="422"/>
      <c r="Q251" s="387"/>
    </row>
    <row r="252" ht="21.75" customHeight="1">
      <c r="B252" s="387"/>
      <c r="C252" s="413"/>
      <c r="D252" s="414"/>
      <c r="E252" s="414"/>
      <c r="F252" s="415"/>
      <c r="G252" s="423"/>
      <c r="H252" s="424"/>
      <c r="I252" s="416"/>
      <c r="J252" s="417"/>
      <c r="K252" s="418"/>
      <c r="L252" s="419"/>
      <c r="M252" s="420"/>
      <c r="N252" s="421"/>
      <c r="O252" s="421"/>
      <c r="P252" s="422"/>
      <c r="Q252" s="387"/>
    </row>
    <row r="253" ht="21.75" customHeight="1">
      <c r="B253" s="387"/>
      <c r="C253" s="413"/>
      <c r="D253" s="414"/>
      <c r="E253" s="414"/>
      <c r="F253" s="415"/>
      <c r="G253" s="423"/>
      <c r="H253" s="424"/>
      <c r="I253" s="416"/>
      <c r="J253" s="417"/>
      <c r="K253" s="418"/>
      <c r="L253" s="419"/>
      <c r="M253" s="420"/>
      <c r="N253" s="421"/>
      <c r="O253" s="421"/>
      <c r="P253" s="422"/>
      <c r="Q253" s="387"/>
    </row>
    <row r="254" ht="21.75" customHeight="1">
      <c r="B254" s="387"/>
      <c r="C254" s="413"/>
      <c r="D254" s="414"/>
      <c r="E254" s="414"/>
      <c r="F254" s="415"/>
      <c r="G254" s="423"/>
      <c r="H254" s="424"/>
      <c r="I254" s="416"/>
      <c r="J254" s="417"/>
      <c r="K254" s="418"/>
      <c r="L254" s="419"/>
      <c r="M254" s="420"/>
      <c r="N254" s="421"/>
      <c r="O254" s="421"/>
      <c r="P254" s="422"/>
      <c r="Q254" s="387"/>
    </row>
    <row r="255" ht="21.75" customHeight="1">
      <c r="B255" s="387"/>
      <c r="C255" s="413"/>
      <c r="D255" s="414"/>
      <c r="E255" s="414"/>
      <c r="F255" s="415"/>
      <c r="G255" s="423"/>
      <c r="H255" s="424"/>
      <c r="I255" s="416"/>
      <c r="J255" s="417"/>
      <c r="K255" s="418"/>
      <c r="L255" s="419"/>
      <c r="M255" s="420"/>
      <c r="N255" s="421"/>
      <c r="O255" s="421"/>
      <c r="P255" s="422"/>
      <c r="Q255" s="387"/>
    </row>
    <row r="256" ht="21.75" customHeight="1">
      <c r="B256" s="387"/>
      <c r="C256" s="413"/>
      <c r="D256" s="414"/>
      <c r="E256" s="414"/>
      <c r="F256" s="415"/>
      <c r="G256" s="423"/>
      <c r="H256" s="424"/>
      <c r="I256" s="416"/>
      <c r="J256" s="417"/>
      <c r="K256" s="418"/>
      <c r="L256" s="419"/>
      <c r="M256" s="420"/>
      <c r="N256" s="421"/>
      <c r="O256" s="421"/>
      <c r="P256" s="422"/>
      <c r="Q256" s="387"/>
    </row>
    <row r="257" ht="21.75" customHeight="1">
      <c r="B257" s="387"/>
      <c r="C257" s="413"/>
      <c r="D257" s="414"/>
      <c r="E257" s="414"/>
      <c r="F257" s="415"/>
      <c r="G257" s="423"/>
      <c r="H257" s="424"/>
      <c r="I257" s="416"/>
      <c r="J257" s="417"/>
      <c r="K257" s="418"/>
      <c r="L257" s="419"/>
      <c r="M257" s="420"/>
      <c r="N257" s="421"/>
      <c r="O257" s="421"/>
      <c r="P257" s="422"/>
      <c r="Q257" s="387"/>
    </row>
    <row r="258" ht="21.75" customHeight="1">
      <c r="B258" s="387"/>
      <c r="C258" s="413"/>
      <c r="D258" s="414"/>
      <c r="E258" s="414"/>
      <c r="F258" s="415"/>
      <c r="G258" s="423"/>
      <c r="H258" s="424"/>
      <c r="I258" s="416"/>
      <c r="J258" s="417"/>
      <c r="K258" s="418"/>
      <c r="L258" s="419"/>
      <c r="M258" s="420"/>
      <c r="N258" s="421"/>
      <c r="O258" s="421"/>
      <c r="P258" s="422"/>
      <c r="Q258" s="387"/>
    </row>
    <row r="259" ht="21.75" customHeight="1">
      <c r="B259" s="387"/>
      <c r="C259" s="413"/>
      <c r="D259" s="414"/>
      <c r="E259" s="414"/>
      <c r="F259" s="415"/>
      <c r="G259" s="423"/>
      <c r="H259" s="424"/>
      <c r="I259" s="416"/>
      <c r="J259" s="417"/>
      <c r="K259" s="418"/>
      <c r="L259" s="419"/>
      <c r="M259" s="420"/>
      <c r="N259" s="421"/>
      <c r="O259" s="421"/>
      <c r="P259" s="422"/>
      <c r="Q259" s="387"/>
    </row>
    <row r="260" ht="21.75" customHeight="1">
      <c r="B260" s="387"/>
      <c r="C260" s="413"/>
      <c r="D260" s="414"/>
      <c r="E260" s="414"/>
      <c r="F260" s="415"/>
      <c r="G260" s="423"/>
      <c r="H260" s="424"/>
      <c r="I260" s="416"/>
      <c r="J260" s="417"/>
      <c r="K260" s="418"/>
      <c r="L260" s="419"/>
      <c r="M260" s="420"/>
      <c r="N260" s="421"/>
      <c r="O260" s="421"/>
      <c r="P260" s="422"/>
      <c r="Q260" s="387"/>
    </row>
    <row r="261" ht="21.75" customHeight="1">
      <c r="B261" s="387"/>
      <c r="C261" s="413"/>
      <c r="D261" s="414"/>
      <c r="E261" s="414"/>
      <c r="F261" s="415"/>
      <c r="G261" s="423"/>
      <c r="H261" s="424"/>
      <c r="I261" s="416"/>
      <c r="J261" s="417"/>
      <c r="K261" s="418"/>
      <c r="L261" s="419"/>
      <c r="M261" s="420"/>
      <c r="N261" s="421"/>
      <c r="O261" s="421"/>
      <c r="P261" s="422"/>
      <c r="Q261" s="387"/>
    </row>
    <row r="262" ht="21.75" customHeight="1">
      <c r="B262" s="387"/>
      <c r="C262" s="413"/>
      <c r="D262" s="414"/>
      <c r="E262" s="414"/>
      <c r="F262" s="415"/>
      <c r="G262" s="423"/>
      <c r="H262" s="424"/>
      <c r="I262" s="416"/>
      <c r="J262" s="417"/>
      <c r="K262" s="418"/>
      <c r="L262" s="419"/>
      <c r="M262" s="420"/>
      <c r="N262" s="421"/>
      <c r="O262" s="421"/>
      <c r="P262" s="422"/>
      <c r="Q262" s="387"/>
    </row>
    <row r="263" ht="21.75" customHeight="1">
      <c r="B263" s="387"/>
      <c r="C263" s="413"/>
      <c r="D263" s="414"/>
      <c r="E263" s="414"/>
      <c r="F263" s="415"/>
      <c r="G263" s="423"/>
      <c r="H263" s="424"/>
      <c r="I263" s="416"/>
      <c r="J263" s="417"/>
      <c r="K263" s="418"/>
      <c r="L263" s="419"/>
      <c r="M263" s="420"/>
      <c r="N263" s="421"/>
      <c r="O263" s="421"/>
      <c r="P263" s="422"/>
      <c r="Q263" s="387"/>
    </row>
    <row r="264" ht="21.75" customHeight="1">
      <c r="B264" s="387"/>
      <c r="C264" s="413"/>
      <c r="D264" s="414"/>
      <c r="E264" s="414"/>
      <c r="F264" s="415"/>
      <c r="G264" s="423"/>
      <c r="H264" s="424"/>
      <c r="I264" s="416"/>
      <c r="J264" s="417"/>
      <c r="K264" s="418"/>
      <c r="L264" s="419"/>
      <c r="M264" s="420"/>
      <c r="N264" s="421"/>
      <c r="O264" s="421"/>
      <c r="P264" s="422"/>
      <c r="Q264" s="387"/>
    </row>
    <row r="265" ht="21.75" customHeight="1">
      <c r="B265" s="387"/>
      <c r="C265" s="413"/>
      <c r="D265" s="414"/>
      <c r="E265" s="414"/>
      <c r="F265" s="415"/>
      <c r="G265" s="423"/>
      <c r="H265" s="424"/>
      <c r="I265" s="416"/>
      <c r="J265" s="417"/>
      <c r="K265" s="418"/>
      <c r="L265" s="419"/>
      <c r="M265" s="420"/>
      <c r="N265" s="421"/>
      <c r="O265" s="421"/>
      <c r="P265" s="422"/>
      <c r="Q265" s="387"/>
    </row>
    <row r="266" ht="21.75" customHeight="1">
      <c r="B266" s="387"/>
      <c r="C266" s="413"/>
      <c r="D266" s="414"/>
      <c r="E266" s="414"/>
      <c r="F266" s="415"/>
      <c r="G266" s="423"/>
      <c r="H266" s="424"/>
      <c r="I266" s="416"/>
      <c r="J266" s="417"/>
      <c r="K266" s="418"/>
      <c r="L266" s="419"/>
      <c r="M266" s="420"/>
      <c r="N266" s="421"/>
      <c r="O266" s="421"/>
      <c r="P266" s="422"/>
      <c r="Q266" s="387"/>
    </row>
    <row r="267" ht="21.75" customHeight="1">
      <c r="B267" s="387"/>
      <c r="C267" s="413"/>
      <c r="D267" s="414"/>
      <c r="E267" s="414"/>
      <c r="F267" s="415"/>
      <c r="G267" s="423"/>
      <c r="H267" s="424"/>
      <c r="I267" s="416"/>
      <c r="J267" s="417"/>
      <c r="K267" s="418"/>
      <c r="L267" s="419"/>
      <c r="M267" s="420"/>
      <c r="N267" s="421"/>
      <c r="O267" s="421"/>
      <c r="P267" s="422"/>
      <c r="Q267" s="387"/>
    </row>
    <row r="268" ht="21.75" customHeight="1">
      <c r="B268" s="387"/>
      <c r="C268" s="413"/>
      <c r="D268" s="414"/>
      <c r="E268" s="414"/>
      <c r="F268" s="415"/>
      <c r="G268" s="423"/>
      <c r="H268" s="424"/>
      <c r="I268" s="416"/>
      <c r="J268" s="417"/>
      <c r="K268" s="418"/>
      <c r="L268" s="419"/>
      <c r="M268" s="420"/>
      <c r="N268" s="421"/>
      <c r="O268" s="421"/>
      <c r="P268" s="422"/>
      <c r="Q268" s="387"/>
    </row>
    <row r="269" ht="21.75" customHeight="1">
      <c r="B269" s="387"/>
      <c r="C269" s="413"/>
      <c r="D269" s="414"/>
      <c r="E269" s="414"/>
      <c r="F269" s="415"/>
      <c r="G269" s="423"/>
      <c r="H269" s="424"/>
      <c r="I269" s="416"/>
      <c r="J269" s="417"/>
      <c r="K269" s="418"/>
      <c r="L269" s="419"/>
      <c r="M269" s="420"/>
      <c r="N269" s="421"/>
      <c r="O269" s="421"/>
      <c r="P269" s="422"/>
      <c r="Q269" s="387"/>
    </row>
    <row r="270" ht="21.75" customHeight="1">
      <c r="B270" s="387"/>
      <c r="C270" s="413"/>
      <c r="D270" s="414"/>
      <c r="E270" s="414"/>
      <c r="F270" s="415"/>
      <c r="G270" s="423"/>
      <c r="H270" s="424"/>
      <c r="I270" s="416"/>
      <c r="J270" s="417"/>
      <c r="K270" s="418"/>
      <c r="L270" s="419"/>
      <c r="M270" s="420"/>
      <c r="N270" s="421"/>
      <c r="O270" s="421"/>
      <c r="P270" s="422"/>
      <c r="Q270" s="387"/>
    </row>
    <row r="271" ht="21.75" customHeight="1">
      <c r="B271" s="387"/>
      <c r="C271" s="413"/>
      <c r="D271" s="414"/>
      <c r="E271" s="414"/>
      <c r="F271" s="415"/>
      <c r="G271" s="423"/>
      <c r="H271" s="424"/>
      <c r="I271" s="416"/>
      <c r="J271" s="417"/>
      <c r="K271" s="418"/>
      <c r="L271" s="419"/>
      <c r="M271" s="420"/>
      <c r="N271" s="421"/>
      <c r="O271" s="421"/>
      <c r="P271" s="422"/>
      <c r="Q271" s="387"/>
    </row>
    <row r="272" ht="21.75" customHeight="1">
      <c r="B272" s="387"/>
      <c r="C272" s="413"/>
      <c r="D272" s="414"/>
      <c r="E272" s="414"/>
      <c r="F272" s="415"/>
      <c r="G272" s="423"/>
      <c r="H272" s="424"/>
      <c r="I272" s="416"/>
      <c r="J272" s="417"/>
      <c r="K272" s="418"/>
      <c r="L272" s="419"/>
      <c r="M272" s="420"/>
      <c r="N272" s="421"/>
      <c r="O272" s="421"/>
      <c r="P272" s="422"/>
      <c r="Q272" s="387"/>
    </row>
    <row r="273" ht="21.75" customHeight="1">
      <c r="B273" s="387"/>
      <c r="C273" s="413"/>
      <c r="D273" s="414"/>
      <c r="E273" s="414"/>
      <c r="F273" s="415"/>
      <c r="G273" s="423"/>
      <c r="H273" s="424"/>
      <c r="I273" s="416"/>
      <c r="J273" s="417"/>
      <c r="K273" s="418"/>
      <c r="L273" s="419"/>
      <c r="M273" s="420"/>
      <c r="N273" s="421"/>
      <c r="O273" s="421"/>
      <c r="P273" s="422"/>
      <c r="Q273" s="387"/>
    </row>
    <row r="274" ht="21.75" customHeight="1">
      <c r="B274" s="387"/>
      <c r="C274" s="413"/>
      <c r="D274" s="414"/>
      <c r="E274" s="414"/>
      <c r="F274" s="415"/>
      <c r="G274" s="423"/>
      <c r="H274" s="424"/>
      <c r="I274" s="416"/>
      <c r="J274" s="417"/>
      <c r="K274" s="418"/>
      <c r="L274" s="419"/>
      <c r="M274" s="420"/>
      <c r="N274" s="421"/>
      <c r="O274" s="421"/>
      <c r="P274" s="422"/>
      <c r="Q274" s="387"/>
    </row>
    <row r="275" ht="21.75" customHeight="1">
      <c r="B275" s="387"/>
      <c r="C275" s="413"/>
      <c r="D275" s="414"/>
      <c r="E275" s="414"/>
      <c r="F275" s="415"/>
      <c r="G275" s="423"/>
      <c r="H275" s="424"/>
      <c r="I275" s="416"/>
      <c r="J275" s="417"/>
      <c r="K275" s="418"/>
      <c r="L275" s="419"/>
      <c r="M275" s="420"/>
      <c r="N275" s="421"/>
      <c r="O275" s="421"/>
      <c r="P275" s="422"/>
      <c r="Q275" s="387"/>
    </row>
    <row r="276" ht="21.75" customHeight="1">
      <c r="B276" s="387"/>
      <c r="C276" s="413"/>
      <c r="D276" s="414"/>
      <c r="E276" s="414"/>
      <c r="F276" s="415"/>
      <c r="G276" s="423"/>
      <c r="H276" s="424"/>
      <c r="I276" s="416"/>
      <c r="J276" s="417"/>
      <c r="K276" s="418"/>
      <c r="L276" s="419"/>
      <c r="M276" s="420"/>
      <c r="N276" s="421"/>
      <c r="O276" s="421"/>
      <c r="P276" s="422"/>
      <c r="Q276" s="387"/>
    </row>
    <row r="277" ht="21.75" customHeight="1">
      <c r="B277" s="387"/>
      <c r="C277" s="413"/>
      <c r="D277" s="414"/>
      <c r="E277" s="414"/>
      <c r="F277" s="415"/>
      <c r="G277" s="423"/>
      <c r="H277" s="424"/>
      <c r="I277" s="416"/>
      <c r="J277" s="417"/>
      <c r="K277" s="418"/>
      <c r="L277" s="419"/>
      <c r="M277" s="420"/>
      <c r="N277" s="421"/>
      <c r="O277" s="421"/>
      <c r="P277" s="422"/>
      <c r="Q277" s="387"/>
    </row>
    <row r="278" ht="21.75" customHeight="1">
      <c r="B278" s="387"/>
      <c r="C278" s="413"/>
      <c r="D278" s="414"/>
      <c r="E278" s="414"/>
      <c r="F278" s="415"/>
      <c r="G278" s="423"/>
      <c r="H278" s="424"/>
      <c r="I278" s="416"/>
      <c r="J278" s="417"/>
      <c r="K278" s="418"/>
      <c r="L278" s="419"/>
      <c r="M278" s="420"/>
      <c r="N278" s="421"/>
      <c r="O278" s="421"/>
      <c r="P278" s="422"/>
      <c r="Q278" s="387"/>
    </row>
    <row r="279" ht="21.75" customHeight="1">
      <c r="B279" s="387"/>
      <c r="C279" s="413"/>
      <c r="D279" s="414"/>
      <c r="E279" s="414"/>
      <c r="F279" s="415"/>
      <c r="G279" s="423"/>
      <c r="H279" s="424"/>
      <c r="I279" s="416"/>
      <c r="J279" s="417"/>
      <c r="K279" s="418"/>
      <c r="L279" s="419"/>
      <c r="M279" s="420"/>
      <c r="N279" s="421"/>
      <c r="O279" s="421"/>
      <c r="P279" s="422"/>
      <c r="Q279" s="387"/>
    </row>
    <row r="280" ht="21.75" customHeight="1">
      <c r="B280" s="387"/>
      <c r="C280" s="413"/>
      <c r="D280" s="414"/>
      <c r="E280" s="414"/>
      <c r="F280" s="415"/>
      <c r="G280" s="423"/>
      <c r="H280" s="424"/>
      <c r="I280" s="416"/>
      <c r="J280" s="417"/>
      <c r="K280" s="418"/>
      <c r="L280" s="419"/>
      <c r="M280" s="420"/>
      <c r="N280" s="421"/>
      <c r="O280" s="421"/>
      <c r="P280" s="422"/>
      <c r="Q280" s="387"/>
    </row>
    <row r="281" ht="21.75" customHeight="1">
      <c r="B281" s="387"/>
      <c r="C281" s="413"/>
      <c r="D281" s="414"/>
      <c r="E281" s="414"/>
      <c r="F281" s="415"/>
      <c r="G281" s="423"/>
      <c r="H281" s="424"/>
      <c r="I281" s="416"/>
      <c r="J281" s="417"/>
      <c r="K281" s="418"/>
      <c r="L281" s="419"/>
      <c r="M281" s="420"/>
      <c r="N281" s="421"/>
      <c r="O281" s="421"/>
      <c r="P281" s="422"/>
      <c r="Q281" s="387"/>
    </row>
    <row r="282" ht="21.75" customHeight="1">
      <c r="B282" s="387"/>
      <c r="C282" s="413"/>
      <c r="D282" s="414"/>
      <c r="E282" s="414"/>
      <c r="F282" s="415"/>
      <c r="G282" s="423"/>
      <c r="H282" s="424"/>
      <c r="I282" s="416"/>
      <c r="J282" s="417"/>
      <c r="K282" s="418"/>
      <c r="L282" s="419"/>
      <c r="M282" s="420"/>
      <c r="N282" s="421"/>
      <c r="O282" s="421"/>
      <c r="P282" s="422"/>
      <c r="Q282" s="387"/>
    </row>
    <row r="283" ht="21.75" customHeight="1">
      <c r="B283" s="387"/>
      <c r="C283" s="413"/>
      <c r="D283" s="414"/>
      <c r="E283" s="414"/>
      <c r="F283" s="415"/>
      <c r="G283" s="423"/>
      <c r="H283" s="424"/>
      <c r="I283" s="416"/>
      <c r="J283" s="417"/>
      <c r="K283" s="418"/>
      <c r="L283" s="419"/>
      <c r="M283" s="420"/>
      <c r="N283" s="421"/>
      <c r="O283" s="421"/>
      <c r="P283" s="422"/>
      <c r="Q283" s="387"/>
    </row>
    <row r="284" ht="21.75" customHeight="1">
      <c r="B284" s="387"/>
      <c r="C284" s="413"/>
      <c r="D284" s="414"/>
      <c r="E284" s="414"/>
      <c r="F284" s="415"/>
      <c r="G284" s="423"/>
      <c r="H284" s="424"/>
      <c r="I284" s="416"/>
      <c r="J284" s="417"/>
      <c r="K284" s="418"/>
      <c r="L284" s="419"/>
      <c r="M284" s="420"/>
      <c r="N284" s="421"/>
      <c r="O284" s="421"/>
      <c r="P284" s="422"/>
      <c r="Q284" s="387"/>
    </row>
    <row r="285" ht="21.75" customHeight="1">
      <c r="B285" s="387"/>
      <c r="C285" s="413"/>
      <c r="D285" s="414"/>
      <c r="E285" s="414"/>
      <c r="F285" s="415"/>
      <c r="G285" s="423"/>
      <c r="H285" s="424"/>
      <c r="I285" s="416"/>
      <c r="J285" s="417"/>
      <c r="K285" s="418"/>
      <c r="L285" s="419"/>
      <c r="M285" s="420"/>
      <c r="N285" s="421"/>
      <c r="O285" s="421"/>
      <c r="P285" s="422"/>
      <c r="Q285" s="387"/>
    </row>
    <row r="286" ht="21.75" customHeight="1">
      <c r="B286" s="387"/>
      <c r="C286" s="413"/>
      <c r="D286" s="414"/>
      <c r="E286" s="414"/>
      <c r="F286" s="415"/>
      <c r="G286" s="423"/>
      <c r="H286" s="424"/>
      <c r="I286" s="416"/>
      <c r="J286" s="417"/>
      <c r="K286" s="418"/>
      <c r="L286" s="419"/>
      <c r="M286" s="420"/>
      <c r="N286" s="421"/>
      <c r="O286" s="421"/>
      <c r="P286" s="422"/>
      <c r="Q286" s="387"/>
    </row>
    <row r="287" ht="21.75" customHeight="1">
      <c r="B287" s="387"/>
      <c r="C287" s="413"/>
      <c r="D287" s="414"/>
      <c r="E287" s="414"/>
      <c r="F287" s="415"/>
      <c r="G287" s="423"/>
      <c r="H287" s="424"/>
      <c r="I287" s="416"/>
      <c r="J287" s="417"/>
      <c r="K287" s="418"/>
      <c r="L287" s="419"/>
      <c r="M287" s="420"/>
      <c r="N287" s="421"/>
      <c r="O287" s="421"/>
      <c r="P287" s="422"/>
      <c r="Q287" s="387"/>
    </row>
    <row r="288" ht="21.75" customHeight="1">
      <c r="B288" s="387"/>
      <c r="C288" s="413"/>
      <c r="D288" s="414"/>
      <c r="E288" s="414"/>
      <c r="F288" s="415"/>
      <c r="G288" s="423"/>
      <c r="H288" s="424"/>
      <c r="I288" s="416"/>
      <c r="J288" s="417"/>
      <c r="K288" s="418"/>
      <c r="L288" s="419"/>
      <c r="M288" s="420"/>
      <c r="N288" s="421"/>
      <c r="O288" s="421"/>
      <c r="P288" s="422"/>
      <c r="Q288" s="387"/>
    </row>
    <row r="289" ht="21.75" customHeight="1">
      <c r="B289" s="387"/>
      <c r="C289" s="413"/>
      <c r="D289" s="414"/>
      <c r="E289" s="414"/>
      <c r="F289" s="415"/>
      <c r="G289" s="423"/>
      <c r="H289" s="424"/>
      <c r="I289" s="416"/>
      <c r="J289" s="417"/>
      <c r="K289" s="418"/>
      <c r="L289" s="419"/>
      <c r="M289" s="420"/>
      <c r="N289" s="421"/>
      <c r="O289" s="421"/>
      <c r="P289" s="422"/>
      <c r="Q289" s="387"/>
    </row>
    <row r="290" ht="21.75" customHeight="1">
      <c r="B290" s="387"/>
      <c r="C290" s="413"/>
      <c r="D290" s="414"/>
      <c r="E290" s="414"/>
      <c r="F290" s="415"/>
      <c r="G290" s="423"/>
      <c r="H290" s="424"/>
      <c r="I290" s="416"/>
      <c r="J290" s="417"/>
      <c r="K290" s="418"/>
      <c r="L290" s="419"/>
      <c r="M290" s="420"/>
      <c r="N290" s="421"/>
      <c r="O290" s="421"/>
      <c r="P290" s="422"/>
      <c r="Q290" s="387"/>
    </row>
    <row r="291" ht="21.75" customHeight="1">
      <c r="B291" s="387"/>
      <c r="C291" s="413"/>
      <c r="D291" s="414"/>
      <c r="E291" s="414"/>
      <c r="F291" s="415"/>
      <c r="G291" s="423"/>
      <c r="H291" s="424"/>
      <c r="I291" s="416"/>
      <c r="J291" s="417"/>
      <c r="K291" s="418"/>
      <c r="L291" s="419"/>
      <c r="M291" s="420"/>
      <c r="N291" s="421"/>
      <c r="O291" s="421"/>
      <c r="P291" s="422"/>
      <c r="Q291" s="387"/>
    </row>
    <row r="292" ht="21.75" customHeight="1">
      <c r="B292" s="387"/>
      <c r="C292" s="413"/>
      <c r="D292" s="414"/>
      <c r="E292" s="414"/>
      <c r="F292" s="415"/>
      <c r="G292" s="423"/>
      <c r="H292" s="424"/>
      <c r="I292" s="416"/>
      <c r="J292" s="417"/>
      <c r="K292" s="418"/>
      <c r="L292" s="419"/>
      <c r="M292" s="420"/>
      <c r="N292" s="421"/>
      <c r="O292" s="421"/>
      <c r="P292" s="422"/>
      <c r="Q292" s="387"/>
    </row>
    <row r="293" ht="21.75" customHeight="1">
      <c r="B293" s="387"/>
      <c r="C293" s="413"/>
      <c r="D293" s="414"/>
      <c r="E293" s="414"/>
      <c r="F293" s="415"/>
      <c r="G293" s="423"/>
      <c r="H293" s="424"/>
      <c r="I293" s="416"/>
      <c r="J293" s="417"/>
      <c r="K293" s="418"/>
      <c r="L293" s="419"/>
      <c r="M293" s="420"/>
      <c r="N293" s="421"/>
      <c r="O293" s="421"/>
      <c r="P293" s="422"/>
      <c r="Q293" s="387"/>
    </row>
    <row r="294" ht="21.75" customHeight="1">
      <c r="B294" s="387"/>
      <c r="C294" s="413"/>
      <c r="D294" s="414"/>
      <c r="E294" s="414"/>
      <c r="F294" s="415"/>
      <c r="G294" s="423"/>
      <c r="H294" s="424"/>
      <c r="I294" s="416"/>
      <c r="J294" s="417"/>
      <c r="K294" s="418"/>
      <c r="L294" s="419"/>
      <c r="M294" s="420"/>
      <c r="N294" s="421"/>
      <c r="O294" s="421"/>
      <c r="P294" s="422"/>
      <c r="Q294" s="387"/>
    </row>
    <row r="295" ht="21.75" customHeight="1">
      <c r="B295" s="387"/>
      <c r="C295" s="413"/>
      <c r="D295" s="414"/>
      <c r="E295" s="414"/>
      <c r="F295" s="415"/>
      <c r="G295" s="423"/>
      <c r="H295" s="424"/>
      <c r="I295" s="416"/>
      <c r="J295" s="417"/>
      <c r="K295" s="418"/>
      <c r="L295" s="419"/>
      <c r="M295" s="420"/>
      <c r="N295" s="421"/>
      <c r="O295" s="421"/>
      <c r="P295" s="422"/>
      <c r="Q295" s="387"/>
    </row>
    <row r="296" ht="21.75" customHeight="1">
      <c r="B296" s="387"/>
      <c r="C296" s="413"/>
      <c r="D296" s="414"/>
      <c r="E296" s="414"/>
      <c r="F296" s="415"/>
      <c r="G296" s="423"/>
      <c r="H296" s="424"/>
      <c r="I296" s="416"/>
      <c r="J296" s="417"/>
      <c r="K296" s="418"/>
      <c r="L296" s="419"/>
      <c r="M296" s="420"/>
      <c r="N296" s="421"/>
      <c r="O296" s="421"/>
      <c r="P296" s="422"/>
      <c r="Q296" s="387"/>
    </row>
    <row r="297" ht="21.75" customHeight="1">
      <c r="B297" s="387"/>
      <c r="C297" s="413"/>
      <c r="D297" s="414"/>
      <c r="E297" s="414"/>
      <c r="F297" s="415"/>
      <c r="G297" s="423"/>
      <c r="H297" s="424"/>
      <c r="I297" s="416"/>
      <c r="J297" s="417"/>
      <c r="K297" s="418"/>
      <c r="L297" s="419"/>
      <c r="M297" s="420"/>
      <c r="N297" s="421"/>
      <c r="O297" s="421"/>
      <c r="P297" s="422"/>
      <c r="Q297" s="387"/>
    </row>
    <row r="298" ht="21.75" customHeight="1">
      <c r="B298" s="387"/>
      <c r="C298" s="413"/>
      <c r="D298" s="414"/>
      <c r="E298" s="414"/>
      <c r="F298" s="415"/>
      <c r="G298" s="423"/>
      <c r="H298" s="424"/>
      <c r="I298" s="416"/>
      <c r="J298" s="417"/>
      <c r="K298" s="418"/>
      <c r="L298" s="419"/>
      <c r="M298" s="420"/>
      <c r="N298" s="421"/>
      <c r="O298" s="421"/>
      <c r="P298" s="422"/>
      <c r="Q298" s="387"/>
    </row>
    <row r="299" ht="21.75" customHeight="1">
      <c r="B299" s="387"/>
      <c r="C299" s="413"/>
      <c r="D299" s="414"/>
      <c r="E299" s="414"/>
      <c r="F299" s="415"/>
      <c r="G299" s="423"/>
      <c r="H299" s="424"/>
      <c r="I299" s="416"/>
      <c r="J299" s="417"/>
      <c r="K299" s="418"/>
      <c r="L299" s="419"/>
      <c r="M299" s="420"/>
      <c r="N299" s="421"/>
      <c r="O299" s="421"/>
      <c r="P299" s="422"/>
      <c r="Q299" s="387"/>
    </row>
    <row r="300" ht="21.75" customHeight="1">
      <c r="B300" s="387"/>
      <c r="C300" s="413"/>
      <c r="D300" s="414"/>
      <c r="E300" s="414"/>
      <c r="F300" s="415"/>
      <c r="G300" s="423"/>
      <c r="H300" s="424"/>
      <c r="I300" s="416"/>
      <c r="J300" s="417"/>
      <c r="K300" s="418"/>
      <c r="L300" s="419"/>
      <c r="M300" s="420"/>
      <c r="N300" s="421"/>
      <c r="O300" s="421"/>
      <c r="P300" s="422"/>
      <c r="Q300" s="387"/>
    </row>
    <row r="301" ht="21.75" customHeight="1">
      <c r="B301" s="387"/>
      <c r="C301" s="413"/>
      <c r="D301" s="414"/>
      <c r="E301" s="414"/>
      <c r="F301" s="415"/>
      <c r="G301" s="423"/>
      <c r="H301" s="424"/>
      <c r="I301" s="416"/>
      <c r="J301" s="417"/>
      <c r="K301" s="418"/>
      <c r="L301" s="419"/>
      <c r="M301" s="420"/>
      <c r="N301" s="421"/>
      <c r="O301" s="421"/>
      <c r="P301" s="422"/>
      <c r="Q301" s="387"/>
    </row>
    <row r="302" ht="21.75" customHeight="1">
      <c r="B302" s="387"/>
      <c r="C302" s="413"/>
      <c r="D302" s="414"/>
      <c r="E302" s="414"/>
      <c r="F302" s="415"/>
      <c r="G302" s="423"/>
      <c r="H302" s="424"/>
      <c r="I302" s="416"/>
      <c r="J302" s="417"/>
      <c r="K302" s="418"/>
      <c r="L302" s="419"/>
      <c r="M302" s="420"/>
      <c r="N302" s="421"/>
      <c r="O302" s="421"/>
      <c r="P302" s="422"/>
      <c r="Q302" s="387"/>
    </row>
    <row r="303" ht="21.75" customHeight="1">
      <c r="B303" s="387"/>
      <c r="C303" s="413"/>
      <c r="D303" s="414"/>
      <c r="E303" s="414"/>
      <c r="F303" s="415"/>
      <c r="G303" s="423"/>
      <c r="H303" s="424"/>
      <c r="I303" s="416"/>
      <c r="J303" s="417"/>
      <c r="K303" s="418"/>
      <c r="L303" s="419"/>
      <c r="M303" s="420"/>
      <c r="N303" s="421"/>
      <c r="O303" s="421"/>
      <c r="P303" s="422"/>
      <c r="Q303" s="387"/>
    </row>
    <row r="304" ht="21.75" customHeight="1">
      <c r="B304" s="387"/>
      <c r="C304" s="413"/>
      <c r="D304" s="414"/>
      <c r="E304" s="414"/>
      <c r="F304" s="415"/>
      <c r="G304" s="423"/>
      <c r="H304" s="424"/>
      <c r="I304" s="416"/>
      <c r="J304" s="417"/>
      <c r="K304" s="418"/>
      <c r="L304" s="419"/>
      <c r="M304" s="420"/>
      <c r="N304" s="421"/>
      <c r="O304" s="421"/>
      <c r="P304" s="422"/>
      <c r="Q304" s="387"/>
    </row>
    <row r="305" ht="21.75" customHeight="1">
      <c r="B305" s="387"/>
      <c r="C305" s="413"/>
      <c r="D305" s="414"/>
      <c r="E305" s="414"/>
      <c r="F305" s="415"/>
      <c r="G305" s="423"/>
      <c r="H305" s="424"/>
      <c r="I305" s="416"/>
      <c r="J305" s="417"/>
      <c r="K305" s="418"/>
      <c r="L305" s="419"/>
      <c r="M305" s="420"/>
      <c r="N305" s="421"/>
      <c r="O305" s="421"/>
      <c r="P305" s="422"/>
      <c r="Q305" s="387"/>
    </row>
    <row r="306" ht="21.75" customHeight="1">
      <c r="B306" s="387"/>
      <c r="C306" s="413"/>
      <c r="D306" s="414"/>
      <c r="E306" s="414"/>
      <c r="F306" s="415"/>
      <c r="G306" s="423"/>
      <c r="H306" s="424"/>
      <c r="I306" s="416"/>
      <c r="J306" s="417"/>
      <c r="K306" s="418"/>
      <c r="L306" s="419"/>
      <c r="M306" s="420"/>
      <c r="N306" s="421"/>
      <c r="O306" s="421"/>
      <c r="P306" s="422"/>
      <c r="Q306" s="387"/>
    </row>
    <row r="307" ht="21.75" customHeight="1">
      <c r="B307" s="387"/>
      <c r="C307" s="413"/>
      <c r="D307" s="414"/>
      <c r="E307" s="414"/>
      <c r="F307" s="415"/>
      <c r="G307" s="423"/>
      <c r="H307" s="424"/>
      <c r="I307" s="416"/>
      <c r="J307" s="417"/>
      <c r="K307" s="418"/>
      <c r="L307" s="419"/>
      <c r="M307" s="420"/>
      <c r="N307" s="421"/>
      <c r="O307" s="421"/>
      <c r="P307" s="422"/>
      <c r="Q307" s="387"/>
    </row>
    <row r="308" ht="21.75" customHeight="1">
      <c r="B308" s="387"/>
      <c r="C308" s="413"/>
      <c r="D308" s="414"/>
      <c r="E308" s="414"/>
      <c r="F308" s="415"/>
      <c r="G308" s="423"/>
      <c r="H308" s="424"/>
      <c r="I308" s="416"/>
      <c r="J308" s="417"/>
      <c r="K308" s="418"/>
      <c r="L308" s="419"/>
      <c r="M308" s="420"/>
      <c r="N308" s="421"/>
      <c r="O308" s="421"/>
      <c r="P308" s="422"/>
      <c r="Q308" s="387"/>
    </row>
    <row r="309" ht="21.75" customHeight="1">
      <c r="B309" s="387"/>
      <c r="C309" s="413"/>
      <c r="D309" s="414"/>
      <c r="E309" s="414"/>
      <c r="F309" s="415"/>
      <c r="G309" s="423"/>
      <c r="H309" s="424"/>
      <c r="I309" s="416"/>
      <c r="J309" s="417"/>
      <c r="K309" s="418"/>
      <c r="L309" s="419"/>
      <c r="M309" s="420"/>
      <c r="N309" s="421"/>
      <c r="O309" s="421"/>
      <c r="P309" s="422"/>
      <c r="Q309" s="387"/>
    </row>
    <row r="310" ht="21.75" customHeight="1">
      <c r="B310" s="387"/>
      <c r="C310" s="413"/>
      <c r="D310" s="414"/>
      <c r="E310" s="414"/>
      <c r="F310" s="415"/>
      <c r="G310" s="423"/>
      <c r="H310" s="424"/>
      <c r="I310" s="416"/>
      <c r="J310" s="417"/>
      <c r="K310" s="418"/>
      <c r="L310" s="419"/>
      <c r="M310" s="420"/>
      <c r="N310" s="421"/>
      <c r="O310" s="421"/>
      <c r="P310" s="422"/>
      <c r="Q310" s="387"/>
    </row>
    <row r="311" ht="21.75" customHeight="1">
      <c r="B311" s="387"/>
      <c r="C311" s="413"/>
      <c r="D311" s="414"/>
      <c r="E311" s="414"/>
      <c r="F311" s="415"/>
      <c r="G311" s="423"/>
      <c r="H311" s="424"/>
      <c r="I311" s="416"/>
      <c r="J311" s="417"/>
      <c r="K311" s="418"/>
      <c r="L311" s="419"/>
      <c r="M311" s="420"/>
      <c r="N311" s="421"/>
      <c r="O311" s="421"/>
      <c r="P311" s="422"/>
      <c r="Q311" s="387"/>
    </row>
    <row r="312" ht="21.75" customHeight="1">
      <c r="B312" s="387"/>
      <c r="C312" s="413"/>
      <c r="D312" s="414"/>
      <c r="E312" s="414"/>
      <c r="F312" s="415"/>
      <c r="G312" s="423"/>
      <c r="H312" s="424"/>
      <c r="I312" s="416"/>
      <c r="J312" s="417"/>
      <c r="K312" s="418"/>
      <c r="L312" s="419"/>
      <c r="M312" s="420"/>
      <c r="N312" s="421"/>
      <c r="O312" s="421"/>
      <c r="P312" s="422"/>
      <c r="Q312" s="387"/>
    </row>
    <row r="313" ht="21.75" customHeight="1">
      <c r="B313" s="387"/>
      <c r="C313" s="413"/>
      <c r="D313" s="414"/>
      <c r="E313" s="414"/>
      <c r="F313" s="415"/>
      <c r="G313" s="423"/>
      <c r="H313" s="424"/>
      <c r="I313" s="416"/>
      <c r="J313" s="417"/>
      <c r="K313" s="418"/>
      <c r="L313" s="419"/>
      <c r="M313" s="420"/>
      <c r="N313" s="421"/>
      <c r="O313" s="421"/>
      <c r="P313" s="422"/>
      <c r="Q313" s="387"/>
    </row>
    <row r="314" ht="21.75" customHeight="1">
      <c r="B314" s="387"/>
      <c r="C314" s="413"/>
      <c r="D314" s="414"/>
      <c r="E314" s="414"/>
      <c r="F314" s="415"/>
      <c r="G314" s="423"/>
      <c r="H314" s="424"/>
      <c r="I314" s="416"/>
      <c r="J314" s="417"/>
      <c r="K314" s="418"/>
      <c r="L314" s="419"/>
      <c r="M314" s="420"/>
      <c r="N314" s="421"/>
      <c r="O314" s="421"/>
      <c r="P314" s="422"/>
      <c r="Q314" s="387"/>
    </row>
    <row r="315" ht="21.75" customHeight="1">
      <c r="B315" s="387"/>
      <c r="C315" s="413"/>
      <c r="D315" s="414"/>
      <c r="E315" s="414"/>
      <c r="F315" s="415"/>
      <c r="G315" s="423"/>
      <c r="H315" s="424"/>
      <c r="I315" s="416"/>
      <c r="J315" s="417"/>
      <c r="K315" s="418"/>
      <c r="L315" s="419"/>
      <c r="M315" s="420"/>
      <c r="N315" s="421"/>
      <c r="O315" s="421"/>
      <c r="P315" s="422"/>
      <c r="Q315" s="387"/>
    </row>
    <row r="316" ht="21.75" customHeight="1">
      <c r="B316" s="387"/>
      <c r="C316" s="413"/>
      <c r="D316" s="414"/>
      <c r="E316" s="414"/>
      <c r="F316" s="415"/>
      <c r="G316" s="423"/>
      <c r="H316" s="424"/>
      <c r="I316" s="416"/>
      <c r="J316" s="417"/>
      <c r="K316" s="418"/>
      <c r="L316" s="419"/>
      <c r="M316" s="420"/>
      <c r="N316" s="421"/>
      <c r="O316" s="421"/>
      <c r="P316" s="422"/>
      <c r="Q316" s="387"/>
    </row>
    <row r="317" ht="21.75" customHeight="1">
      <c r="B317" s="387"/>
      <c r="C317" s="413"/>
      <c r="D317" s="414"/>
      <c r="E317" s="414"/>
      <c r="F317" s="415"/>
      <c r="G317" s="423"/>
      <c r="H317" s="424"/>
      <c r="I317" s="416"/>
      <c r="J317" s="417"/>
      <c r="K317" s="418"/>
      <c r="L317" s="419"/>
      <c r="M317" s="420"/>
      <c r="N317" s="421"/>
      <c r="O317" s="421"/>
      <c r="P317" s="422"/>
      <c r="Q317" s="387"/>
    </row>
    <row r="318" ht="21.75" customHeight="1">
      <c r="B318" s="387"/>
      <c r="C318" s="413"/>
      <c r="D318" s="414"/>
      <c r="E318" s="414"/>
      <c r="F318" s="415"/>
      <c r="G318" s="423"/>
      <c r="H318" s="424"/>
      <c r="I318" s="416"/>
      <c r="J318" s="417"/>
      <c r="K318" s="418"/>
      <c r="L318" s="419"/>
      <c r="M318" s="420"/>
      <c r="N318" s="421"/>
      <c r="O318" s="421"/>
      <c r="P318" s="422"/>
      <c r="Q318" s="387"/>
    </row>
    <row r="319" ht="21.75" customHeight="1">
      <c r="B319" s="387"/>
      <c r="C319" s="413"/>
      <c r="D319" s="414"/>
      <c r="E319" s="414"/>
      <c r="F319" s="415"/>
      <c r="G319" s="423"/>
      <c r="H319" s="424"/>
      <c r="I319" s="416"/>
      <c r="J319" s="417"/>
      <c r="K319" s="418"/>
      <c r="L319" s="419"/>
      <c r="M319" s="420"/>
      <c r="N319" s="421"/>
      <c r="O319" s="421"/>
      <c r="P319" s="422"/>
      <c r="Q319" s="387"/>
    </row>
    <row r="320" ht="21.75" customHeight="1">
      <c r="B320" s="387"/>
      <c r="C320" s="413"/>
      <c r="D320" s="414"/>
      <c r="E320" s="414"/>
      <c r="F320" s="415"/>
      <c r="G320" s="423"/>
      <c r="H320" s="424"/>
      <c r="I320" s="416"/>
      <c r="J320" s="417"/>
      <c r="K320" s="418"/>
      <c r="L320" s="419"/>
      <c r="M320" s="420"/>
      <c r="N320" s="421"/>
      <c r="O320" s="421"/>
      <c r="P320" s="422"/>
      <c r="Q320" s="387"/>
    </row>
    <row r="321" ht="21.75" customHeight="1">
      <c r="B321" s="387"/>
      <c r="C321" s="413"/>
      <c r="D321" s="414"/>
      <c r="E321" s="414"/>
      <c r="F321" s="415"/>
      <c r="G321" s="423"/>
      <c r="H321" s="424"/>
      <c r="I321" s="416"/>
      <c r="J321" s="417"/>
      <c r="K321" s="418"/>
      <c r="L321" s="419"/>
      <c r="M321" s="420"/>
      <c r="N321" s="421"/>
      <c r="O321" s="421"/>
      <c r="P321" s="422"/>
      <c r="Q321" s="387"/>
    </row>
    <row r="322" ht="21.75" customHeight="1">
      <c r="B322" s="387"/>
      <c r="C322" s="413"/>
      <c r="D322" s="414"/>
      <c r="E322" s="414"/>
      <c r="F322" s="415"/>
      <c r="G322" s="423"/>
      <c r="H322" s="424"/>
      <c r="I322" s="416"/>
      <c r="J322" s="417"/>
      <c r="K322" s="418"/>
      <c r="L322" s="419"/>
      <c r="M322" s="420"/>
      <c r="N322" s="421"/>
      <c r="O322" s="421"/>
      <c r="P322" s="422"/>
      <c r="Q322" s="387"/>
    </row>
    <row r="323" ht="21.75" customHeight="1">
      <c r="B323" s="387"/>
      <c r="C323" s="413"/>
      <c r="D323" s="414"/>
      <c r="E323" s="414"/>
      <c r="F323" s="415"/>
      <c r="G323" s="423"/>
      <c r="H323" s="424"/>
      <c r="I323" s="416"/>
      <c r="J323" s="417"/>
      <c r="K323" s="418"/>
      <c r="L323" s="419"/>
      <c r="M323" s="420"/>
      <c r="N323" s="421"/>
      <c r="O323" s="421"/>
      <c r="P323" s="422"/>
      <c r="Q323" s="387"/>
    </row>
    <row r="324" ht="21.75" customHeight="1">
      <c r="B324" s="387"/>
      <c r="C324" s="413"/>
      <c r="D324" s="414"/>
      <c r="E324" s="414"/>
      <c r="F324" s="415"/>
      <c r="G324" s="423"/>
      <c r="H324" s="424"/>
      <c r="I324" s="416"/>
      <c r="J324" s="417"/>
      <c r="K324" s="418"/>
      <c r="L324" s="419"/>
      <c r="M324" s="420"/>
      <c r="N324" s="421"/>
      <c r="O324" s="421"/>
      <c r="P324" s="422"/>
      <c r="Q324" s="387"/>
    </row>
    <row r="325" ht="21.75" customHeight="1">
      <c r="B325" s="387"/>
      <c r="C325" s="413"/>
      <c r="D325" s="414"/>
      <c r="E325" s="414"/>
      <c r="F325" s="415"/>
      <c r="G325" s="423"/>
      <c r="H325" s="424"/>
      <c r="I325" s="416"/>
      <c r="J325" s="417"/>
      <c r="K325" s="418"/>
      <c r="L325" s="419"/>
      <c r="M325" s="420"/>
      <c r="N325" s="421"/>
      <c r="O325" s="421"/>
      <c r="P325" s="422"/>
      <c r="Q325" s="387"/>
    </row>
    <row r="326" ht="21.75" customHeight="1">
      <c r="B326" s="387"/>
      <c r="C326" s="413"/>
      <c r="D326" s="414"/>
      <c r="E326" s="414"/>
      <c r="F326" s="415"/>
      <c r="G326" s="423"/>
      <c r="H326" s="424"/>
      <c r="I326" s="416"/>
      <c r="J326" s="417"/>
      <c r="K326" s="418"/>
      <c r="L326" s="419"/>
      <c r="M326" s="420"/>
      <c r="N326" s="421"/>
      <c r="O326" s="421"/>
      <c r="P326" s="422"/>
      <c r="Q326" s="387"/>
    </row>
    <row r="327" ht="21.75" customHeight="1">
      <c r="B327" s="387"/>
      <c r="C327" s="413"/>
      <c r="D327" s="414"/>
      <c r="E327" s="414"/>
      <c r="F327" s="415"/>
      <c r="G327" s="423"/>
      <c r="H327" s="424"/>
      <c r="I327" s="416"/>
      <c r="J327" s="417"/>
      <c r="K327" s="418"/>
      <c r="L327" s="419"/>
      <c r="M327" s="420"/>
      <c r="N327" s="421"/>
      <c r="O327" s="421"/>
      <c r="P327" s="422"/>
      <c r="Q327" s="387"/>
    </row>
    <row r="328" ht="21.75" customHeight="1">
      <c r="B328" s="387"/>
      <c r="C328" s="413"/>
      <c r="D328" s="414"/>
      <c r="E328" s="414"/>
      <c r="F328" s="415"/>
      <c r="G328" s="423"/>
      <c r="H328" s="424"/>
      <c r="I328" s="416"/>
      <c r="J328" s="417"/>
      <c r="K328" s="418"/>
      <c r="L328" s="419"/>
      <c r="M328" s="420"/>
      <c r="N328" s="421"/>
      <c r="O328" s="421"/>
      <c r="P328" s="422"/>
      <c r="Q328" s="387"/>
    </row>
    <row r="329" ht="21.75" customHeight="1">
      <c r="B329" s="387"/>
      <c r="C329" s="413"/>
      <c r="D329" s="414"/>
      <c r="E329" s="414"/>
      <c r="F329" s="415"/>
      <c r="G329" s="423"/>
      <c r="H329" s="424"/>
      <c r="I329" s="416"/>
      <c r="J329" s="417"/>
      <c r="K329" s="418"/>
      <c r="L329" s="419"/>
      <c r="M329" s="420"/>
      <c r="N329" s="421"/>
      <c r="O329" s="421"/>
      <c r="P329" s="422"/>
      <c r="Q329" s="387"/>
    </row>
    <row r="330" ht="21.75" customHeight="1">
      <c r="B330" s="387"/>
      <c r="C330" s="413"/>
      <c r="D330" s="414"/>
      <c r="E330" s="414"/>
      <c r="F330" s="415"/>
      <c r="G330" s="423"/>
      <c r="H330" s="424"/>
      <c r="I330" s="416"/>
      <c r="J330" s="417"/>
      <c r="K330" s="418"/>
      <c r="L330" s="419"/>
      <c r="M330" s="420"/>
      <c r="N330" s="421"/>
      <c r="O330" s="421"/>
      <c r="P330" s="422"/>
      <c r="Q330" s="387"/>
    </row>
    <row r="331" ht="21.75" customHeight="1">
      <c r="B331" s="387"/>
      <c r="C331" s="413"/>
      <c r="D331" s="414"/>
      <c r="E331" s="414"/>
      <c r="F331" s="415"/>
      <c r="G331" s="423"/>
      <c r="H331" s="424"/>
      <c r="I331" s="416"/>
      <c r="J331" s="417"/>
      <c r="K331" s="418"/>
      <c r="L331" s="419"/>
      <c r="M331" s="420"/>
      <c r="N331" s="421"/>
      <c r="O331" s="421"/>
      <c r="P331" s="422"/>
      <c r="Q331" s="387"/>
    </row>
    <row r="332" ht="21.75" customHeight="1">
      <c r="B332" s="387"/>
      <c r="C332" s="413"/>
      <c r="D332" s="414"/>
      <c r="E332" s="414"/>
      <c r="F332" s="415"/>
      <c r="G332" s="423"/>
      <c r="H332" s="424"/>
      <c r="I332" s="416"/>
      <c r="J332" s="417"/>
      <c r="K332" s="418"/>
      <c r="L332" s="419"/>
      <c r="M332" s="420"/>
      <c r="N332" s="421"/>
      <c r="O332" s="421"/>
      <c r="P332" s="422"/>
      <c r="Q332" s="387"/>
    </row>
    <row r="333" ht="21.75" customHeight="1">
      <c r="B333" s="387"/>
      <c r="C333" s="413"/>
      <c r="D333" s="414"/>
      <c r="E333" s="414"/>
      <c r="F333" s="415"/>
      <c r="G333" s="423"/>
      <c r="H333" s="424"/>
      <c r="I333" s="416"/>
      <c r="J333" s="417"/>
      <c r="K333" s="418"/>
      <c r="L333" s="419"/>
      <c r="M333" s="420"/>
      <c r="N333" s="421"/>
      <c r="O333" s="421"/>
      <c r="P333" s="422"/>
      <c r="Q333" s="387"/>
    </row>
    <row r="334" ht="21.75" customHeight="1">
      <c r="B334" s="387"/>
      <c r="C334" s="413"/>
      <c r="D334" s="414"/>
      <c r="E334" s="414"/>
      <c r="F334" s="415"/>
      <c r="G334" s="423"/>
      <c r="H334" s="424"/>
      <c r="I334" s="416"/>
      <c r="J334" s="417"/>
      <c r="K334" s="418"/>
      <c r="L334" s="419"/>
      <c r="M334" s="420"/>
      <c r="N334" s="421"/>
      <c r="O334" s="421"/>
      <c r="P334" s="422"/>
      <c r="Q334" s="387"/>
    </row>
    <row r="335" ht="21.75" customHeight="1">
      <c r="B335" s="387"/>
      <c r="C335" s="413"/>
      <c r="D335" s="414"/>
      <c r="E335" s="414"/>
      <c r="F335" s="415"/>
      <c r="G335" s="423"/>
      <c r="H335" s="424"/>
      <c r="I335" s="416"/>
      <c r="J335" s="417"/>
      <c r="K335" s="418"/>
      <c r="L335" s="419"/>
      <c r="M335" s="420"/>
      <c r="N335" s="421"/>
      <c r="O335" s="421"/>
      <c r="P335" s="422"/>
      <c r="Q335" s="387"/>
    </row>
    <row r="336" ht="21.75" customHeight="1">
      <c r="B336" s="387"/>
      <c r="C336" s="413"/>
      <c r="D336" s="414"/>
      <c r="E336" s="414"/>
      <c r="F336" s="415"/>
      <c r="G336" s="423"/>
      <c r="H336" s="424"/>
      <c r="I336" s="416"/>
      <c r="J336" s="417"/>
      <c r="K336" s="418"/>
      <c r="L336" s="419"/>
      <c r="M336" s="420"/>
      <c r="N336" s="421"/>
      <c r="O336" s="421"/>
      <c r="P336" s="422"/>
      <c r="Q336" s="387"/>
    </row>
    <row r="337" ht="21.75" customHeight="1">
      <c r="B337" s="387"/>
      <c r="C337" s="413"/>
      <c r="D337" s="414"/>
      <c r="E337" s="414"/>
      <c r="F337" s="415"/>
      <c r="G337" s="423"/>
      <c r="H337" s="424"/>
      <c r="I337" s="416"/>
      <c r="J337" s="417"/>
      <c r="K337" s="418"/>
      <c r="L337" s="419"/>
      <c r="M337" s="420"/>
      <c r="N337" s="421"/>
      <c r="O337" s="421"/>
      <c r="P337" s="422"/>
      <c r="Q337" s="387"/>
    </row>
    <row r="338" ht="21.75" customHeight="1">
      <c r="B338" s="387"/>
      <c r="C338" s="413"/>
      <c r="D338" s="414"/>
      <c r="E338" s="414"/>
      <c r="F338" s="415"/>
      <c r="G338" s="423"/>
      <c r="H338" s="424"/>
      <c r="I338" s="416"/>
      <c r="J338" s="417"/>
      <c r="K338" s="418"/>
      <c r="L338" s="419"/>
      <c r="M338" s="420"/>
      <c r="N338" s="421"/>
      <c r="O338" s="421"/>
      <c r="P338" s="422"/>
      <c r="Q338" s="387"/>
    </row>
    <row r="339" ht="21.75" customHeight="1">
      <c r="B339" s="387"/>
      <c r="C339" s="413"/>
      <c r="D339" s="414"/>
      <c r="E339" s="414"/>
      <c r="F339" s="415"/>
      <c r="G339" s="423"/>
      <c r="H339" s="424"/>
      <c r="I339" s="416"/>
      <c r="J339" s="417"/>
      <c r="K339" s="418"/>
      <c r="L339" s="419"/>
      <c r="M339" s="420"/>
      <c r="N339" s="421"/>
      <c r="O339" s="421"/>
      <c r="P339" s="422"/>
      <c r="Q339" s="387"/>
    </row>
    <row r="340" ht="21.75" customHeight="1">
      <c r="B340" s="387"/>
      <c r="C340" s="413"/>
      <c r="D340" s="414"/>
      <c r="E340" s="414"/>
      <c r="F340" s="415"/>
      <c r="G340" s="423"/>
      <c r="H340" s="424"/>
      <c r="I340" s="416"/>
      <c r="J340" s="417"/>
      <c r="K340" s="418"/>
      <c r="L340" s="419"/>
      <c r="M340" s="420"/>
      <c r="N340" s="421"/>
      <c r="O340" s="421"/>
      <c r="P340" s="422"/>
      <c r="Q340" s="387"/>
    </row>
    <row r="341" ht="21.75" customHeight="1">
      <c r="B341" s="387"/>
      <c r="C341" s="413"/>
      <c r="D341" s="414"/>
      <c r="E341" s="414"/>
      <c r="F341" s="415"/>
      <c r="G341" s="423"/>
      <c r="H341" s="424"/>
      <c r="I341" s="416"/>
      <c r="J341" s="417"/>
      <c r="K341" s="418"/>
      <c r="L341" s="419"/>
      <c r="M341" s="420"/>
      <c r="N341" s="421"/>
      <c r="O341" s="421"/>
      <c r="P341" s="422"/>
      <c r="Q341" s="387"/>
    </row>
    <row r="342" ht="21.75" customHeight="1">
      <c r="B342" s="387"/>
      <c r="C342" s="413"/>
      <c r="D342" s="414"/>
      <c r="E342" s="414"/>
      <c r="F342" s="415"/>
      <c r="G342" s="423"/>
      <c r="H342" s="424"/>
      <c r="I342" s="416"/>
      <c r="J342" s="417"/>
      <c r="K342" s="418"/>
      <c r="L342" s="419"/>
      <c r="M342" s="420"/>
      <c r="N342" s="421"/>
      <c r="O342" s="421"/>
      <c r="P342" s="422"/>
      <c r="Q342" s="387"/>
    </row>
    <row r="343" ht="21.75" customHeight="1">
      <c r="B343" s="387"/>
      <c r="C343" s="413"/>
      <c r="D343" s="414"/>
      <c r="E343" s="414"/>
      <c r="F343" s="415"/>
      <c r="G343" s="423"/>
      <c r="H343" s="424"/>
      <c r="I343" s="416"/>
      <c r="J343" s="417"/>
      <c r="K343" s="418"/>
      <c r="L343" s="419"/>
      <c r="M343" s="420"/>
      <c r="N343" s="421"/>
      <c r="O343" s="421"/>
      <c r="P343" s="422"/>
      <c r="Q343" s="387"/>
    </row>
    <row r="344" ht="21.75" customHeight="1">
      <c r="B344" s="387"/>
      <c r="C344" s="413"/>
      <c r="D344" s="414"/>
      <c r="E344" s="414"/>
      <c r="F344" s="415"/>
      <c r="G344" s="423"/>
      <c r="H344" s="424"/>
      <c r="I344" s="416"/>
      <c r="J344" s="417"/>
      <c r="K344" s="418"/>
      <c r="L344" s="419"/>
      <c r="M344" s="420"/>
      <c r="N344" s="421"/>
      <c r="O344" s="421"/>
      <c r="P344" s="422"/>
      <c r="Q344" s="387"/>
    </row>
    <row r="345" ht="21.75" customHeight="1">
      <c r="B345" s="387"/>
      <c r="C345" s="413"/>
      <c r="D345" s="414"/>
      <c r="E345" s="414"/>
      <c r="F345" s="415"/>
      <c r="G345" s="423"/>
      <c r="H345" s="424"/>
      <c r="I345" s="416"/>
      <c r="J345" s="417"/>
      <c r="K345" s="418"/>
      <c r="L345" s="419"/>
      <c r="M345" s="420"/>
      <c r="N345" s="421"/>
      <c r="O345" s="421"/>
      <c r="P345" s="422"/>
      <c r="Q345" s="387"/>
    </row>
    <row r="346" ht="21.75" customHeight="1">
      <c r="B346" s="387"/>
      <c r="C346" s="413"/>
      <c r="D346" s="414"/>
      <c r="E346" s="414"/>
      <c r="F346" s="415"/>
      <c r="G346" s="423"/>
      <c r="H346" s="424"/>
      <c r="I346" s="416"/>
      <c r="J346" s="417"/>
      <c r="K346" s="418"/>
      <c r="L346" s="419"/>
      <c r="M346" s="420"/>
      <c r="N346" s="421"/>
      <c r="O346" s="421"/>
      <c r="P346" s="422"/>
      <c r="Q346" s="387"/>
    </row>
    <row r="347" ht="21.75" customHeight="1">
      <c r="B347" s="387"/>
      <c r="C347" s="413"/>
      <c r="D347" s="414"/>
      <c r="E347" s="414"/>
      <c r="F347" s="415"/>
      <c r="G347" s="423"/>
      <c r="H347" s="424"/>
      <c r="I347" s="416"/>
      <c r="J347" s="417"/>
      <c r="K347" s="418"/>
      <c r="L347" s="419"/>
      <c r="M347" s="420"/>
      <c r="N347" s="421"/>
      <c r="O347" s="421"/>
      <c r="P347" s="422"/>
      <c r="Q347" s="387"/>
    </row>
    <row r="348" ht="21.75" customHeight="1">
      <c r="B348" s="387"/>
      <c r="C348" s="413"/>
      <c r="D348" s="414"/>
      <c r="E348" s="414"/>
      <c r="F348" s="415"/>
      <c r="G348" s="423"/>
      <c r="H348" s="424"/>
      <c r="I348" s="416"/>
      <c r="J348" s="417"/>
      <c r="K348" s="418"/>
      <c r="L348" s="419"/>
      <c r="M348" s="420"/>
      <c r="N348" s="421"/>
      <c r="O348" s="421"/>
      <c r="P348" s="422"/>
      <c r="Q348" s="387"/>
    </row>
    <row r="349" ht="21.75" customHeight="1">
      <c r="B349" s="387"/>
      <c r="C349" s="413"/>
      <c r="D349" s="414"/>
      <c r="E349" s="414"/>
      <c r="F349" s="415"/>
      <c r="G349" s="423"/>
      <c r="H349" s="424"/>
      <c r="I349" s="416"/>
      <c r="J349" s="417"/>
      <c r="K349" s="418"/>
      <c r="L349" s="419"/>
      <c r="M349" s="420"/>
      <c r="N349" s="421"/>
      <c r="O349" s="421"/>
      <c r="P349" s="422"/>
      <c r="Q349" s="387"/>
    </row>
    <row r="350" ht="21.75" customHeight="1">
      <c r="B350" s="387"/>
      <c r="C350" s="413"/>
      <c r="D350" s="414"/>
      <c r="E350" s="414"/>
      <c r="F350" s="415"/>
      <c r="G350" s="423"/>
      <c r="H350" s="424"/>
      <c r="I350" s="416"/>
      <c r="J350" s="417"/>
      <c r="K350" s="418"/>
      <c r="L350" s="419"/>
      <c r="M350" s="420"/>
      <c r="N350" s="421"/>
      <c r="O350" s="421"/>
      <c r="P350" s="422"/>
      <c r="Q350" s="387"/>
    </row>
    <row r="351" ht="21.75" customHeight="1">
      <c r="B351" s="387"/>
      <c r="C351" s="413"/>
      <c r="D351" s="414"/>
      <c r="E351" s="414"/>
      <c r="F351" s="415"/>
      <c r="G351" s="423"/>
      <c r="H351" s="424"/>
      <c r="I351" s="416"/>
      <c r="J351" s="417"/>
      <c r="K351" s="418"/>
      <c r="L351" s="419"/>
      <c r="M351" s="420"/>
      <c r="N351" s="421"/>
      <c r="O351" s="421"/>
      <c r="P351" s="422"/>
      <c r="Q351" s="387"/>
    </row>
    <row r="352" ht="21.75" customHeight="1">
      <c r="B352" s="387"/>
      <c r="C352" s="413"/>
      <c r="D352" s="414"/>
      <c r="E352" s="414"/>
      <c r="F352" s="415"/>
      <c r="G352" s="423"/>
      <c r="H352" s="424"/>
      <c r="I352" s="416"/>
      <c r="J352" s="417"/>
      <c r="K352" s="418"/>
      <c r="L352" s="419"/>
      <c r="M352" s="420"/>
      <c r="N352" s="421"/>
      <c r="O352" s="421"/>
      <c r="P352" s="422"/>
      <c r="Q352" s="387"/>
    </row>
    <row r="353" ht="21.75" customHeight="1">
      <c r="B353" s="387"/>
      <c r="C353" s="413"/>
      <c r="D353" s="414"/>
      <c r="E353" s="414"/>
      <c r="F353" s="415"/>
      <c r="G353" s="423"/>
      <c r="H353" s="424"/>
      <c r="I353" s="416"/>
      <c r="J353" s="417"/>
      <c r="K353" s="418"/>
      <c r="L353" s="419"/>
      <c r="M353" s="420"/>
      <c r="N353" s="421"/>
      <c r="O353" s="421"/>
      <c r="P353" s="422"/>
      <c r="Q353" s="387"/>
    </row>
    <row r="354" ht="21.75" customHeight="1">
      <c r="B354" s="387"/>
      <c r="C354" s="413"/>
      <c r="D354" s="414"/>
      <c r="E354" s="414"/>
      <c r="F354" s="415"/>
      <c r="G354" s="423"/>
      <c r="H354" s="424"/>
      <c r="I354" s="416"/>
      <c r="J354" s="417"/>
      <c r="K354" s="418"/>
      <c r="L354" s="419"/>
      <c r="M354" s="420"/>
      <c r="N354" s="421"/>
      <c r="O354" s="421"/>
      <c r="P354" s="422"/>
      <c r="Q354" s="387"/>
    </row>
    <row r="355" ht="21.75" customHeight="1">
      <c r="B355" s="387"/>
      <c r="C355" s="413"/>
      <c r="D355" s="414"/>
      <c r="E355" s="414"/>
      <c r="F355" s="415"/>
      <c r="G355" s="423"/>
      <c r="H355" s="424"/>
      <c r="I355" s="416"/>
      <c r="J355" s="417"/>
      <c r="K355" s="418"/>
      <c r="L355" s="419"/>
      <c r="M355" s="420"/>
      <c r="N355" s="421"/>
      <c r="O355" s="421"/>
      <c r="P355" s="422"/>
      <c r="Q355" s="387"/>
    </row>
    <row r="356" ht="21.75" customHeight="1">
      <c r="B356" s="387"/>
      <c r="C356" s="413"/>
      <c r="D356" s="414"/>
      <c r="E356" s="414"/>
      <c r="F356" s="415"/>
      <c r="G356" s="423"/>
      <c r="H356" s="424"/>
      <c r="I356" s="416"/>
      <c r="J356" s="417"/>
      <c r="K356" s="418"/>
      <c r="L356" s="419"/>
      <c r="M356" s="420"/>
      <c r="N356" s="421"/>
      <c r="O356" s="421"/>
      <c r="P356" s="422"/>
      <c r="Q356" s="387"/>
    </row>
    <row r="357" ht="21.75" customHeight="1">
      <c r="B357" s="387"/>
      <c r="C357" s="413"/>
      <c r="D357" s="414"/>
      <c r="E357" s="414"/>
      <c r="F357" s="415"/>
      <c r="G357" s="423"/>
      <c r="H357" s="424"/>
      <c r="I357" s="416"/>
      <c r="J357" s="417"/>
      <c r="K357" s="418"/>
      <c r="L357" s="419"/>
      <c r="M357" s="420"/>
      <c r="N357" s="421"/>
      <c r="O357" s="421"/>
      <c r="P357" s="422"/>
      <c r="Q357" s="387"/>
    </row>
    <row r="358" ht="21.75" customHeight="1">
      <c r="B358" s="387"/>
      <c r="C358" s="413"/>
      <c r="D358" s="414"/>
      <c r="E358" s="414"/>
      <c r="F358" s="415"/>
      <c r="G358" s="423"/>
      <c r="H358" s="424"/>
      <c r="I358" s="416"/>
      <c r="J358" s="417"/>
      <c r="K358" s="418"/>
      <c r="L358" s="419"/>
      <c r="M358" s="420"/>
      <c r="N358" s="421"/>
      <c r="O358" s="421"/>
      <c r="P358" s="422"/>
      <c r="Q358" s="387"/>
    </row>
    <row r="359" ht="21.75" customHeight="1">
      <c r="B359" s="387"/>
      <c r="C359" s="413"/>
      <c r="D359" s="414"/>
      <c r="E359" s="414"/>
      <c r="F359" s="415"/>
      <c r="G359" s="423"/>
      <c r="H359" s="424"/>
      <c r="I359" s="416"/>
      <c r="J359" s="417"/>
      <c r="K359" s="418"/>
      <c r="L359" s="419"/>
      <c r="M359" s="420"/>
      <c r="N359" s="421"/>
      <c r="O359" s="421"/>
      <c r="P359" s="422"/>
      <c r="Q359" s="387"/>
    </row>
    <row r="360" ht="21.75" customHeight="1">
      <c r="B360" s="387"/>
      <c r="C360" s="413"/>
      <c r="D360" s="414"/>
      <c r="E360" s="414"/>
      <c r="F360" s="415"/>
      <c r="G360" s="423"/>
      <c r="H360" s="424"/>
      <c r="I360" s="416"/>
      <c r="J360" s="417"/>
      <c r="K360" s="418"/>
      <c r="L360" s="419"/>
      <c r="M360" s="420"/>
      <c r="N360" s="421"/>
      <c r="O360" s="421"/>
      <c r="P360" s="422"/>
      <c r="Q360" s="387"/>
    </row>
    <row r="361" ht="21.75" customHeight="1">
      <c r="B361" s="387"/>
      <c r="C361" s="413"/>
      <c r="D361" s="414"/>
      <c r="E361" s="414"/>
      <c r="F361" s="415"/>
      <c r="G361" s="423"/>
      <c r="H361" s="424"/>
      <c r="I361" s="416"/>
      <c r="J361" s="417"/>
      <c r="K361" s="418"/>
      <c r="L361" s="419"/>
      <c r="M361" s="420"/>
      <c r="N361" s="421"/>
      <c r="O361" s="421"/>
      <c r="P361" s="422"/>
      <c r="Q361" s="387"/>
    </row>
    <row r="362" ht="21.75" customHeight="1">
      <c r="B362" s="387"/>
      <c r="C362" s="413"/>
      <c r="D362" s="414"/>
      <c r="E362" s="414"/>
      <c r="F362" s="415"/>
      <c r="G362" s="423"/>
      <c r="H362" s="424"/>
      <c r="I362" s="416"/>
      <c r="J362" s="417"/>
      <c r="K362" s="418"/>
      <c r="L362" s="419"/>
      <c r="M362" s="420"/>
      <c r="N362" s="421"/>
      <c r="O362" s="421"/>
      <c r="P362" s="422"/>
      <c r="Q362" s="387"/>
    </row>
    <row r="363" ht="21.75" customHeight="1">
      <c r="B363" s="387"/>
      <c r="C363" s="413"/>
      <c r="D363" s="414"/>
      <c r="E363" s="414"/>
      <c r="F363" s="415"/>
      <c r="G363" s="423"/>
      <c r="H363" s="424"/>
      <c r="I363" s="416"/>
      <c r="J363" s="417"/>
      <c r="K363" s="418"/>
      <c r="L363" s="419"/>
      <c r="M363" s="420"/>
      <c r="N363" s="421"/>
      <c r="O363" s="421"/>
      <c r="P363" s="422"/>
      <c r="Q363" s="387"/>
    </row>
    <row r="364" ht="21.75" customHeight="1">
      <c r="B364" s="387"/>
      <c r="C364" s="413"/>
      <c r="D364" s="414"/>
      <c r="E364" s="414"/>
      <c r="F364" s="415"/>
      <c r="G364" s="423"/>
      <c r="H364" s="424"/>
      <c r="I364" s="416"/>
      <c r="J364" s="417"/>
      <c r="K364" s="418"/>
      <c r="L364" s="419"/>
      <c r="M364" s="420"/>
      <c r="N364" s="421"/>
      <c r="O364" s="421"/>
      <c r="P364" s="422"/>
      <c r="Q364" s="387"/>
    </row>
    <row r="365" ht="21.75" customHeight="1">
      <c r="B365" s="387"/>
      <c r="C365" s="413"/>
      <c r="D365" s="414"/>
      <c r="E365" s="414"/>
      <c r="F365" s="415"/>
      <c r="G365" s="423"/>
      <c r="H365" s="424"/>
      <c r="I365" s="416"/>
      <c r="J365" s="417"/>
      <c r="K365" s="418"/>
      <c r="L365" s="419"/>
      <c r="M365" s="420"/>
      <c r="N365" s="421"/>
      <c r="O365" s="421"/>
      <c r="P365" s="422"/>
      <c r="Q365" s="387"/>
    </row>
    <row r="366" ht="21.75" customHeight="1">
      <c r="B366" s="387"/>
      <c r="C366" s="413"/>
      <c r="D366" s="414"/>
      <c r="E366" s="414"/>
      <c r="F366" s="415"/>
      <c r="G366" s="423"/>
      <c r="H366" s="424"/>
      <c r="I366" s="416"/>
      <c r="J366" s="417"/>
      <c r="K366" s="418"/>
      <c r="L366" s="419"/>
      <c r="M366" s="420"/>
      <c r="N366" s="421"/>
      <c r="O366" s="421"/>
      <c r="P366" s="422"/>
      <c r="Q366" s="387"/>
    </row>
    <row r="367" ht="21.75" customHeight="1">
      <c r="B367" s="387"/>
      <c r="C367" s="413"/>
      <c r="D367" s="414"/>
      <c r="E367" s="414"/>
      <c r="F367" s="415"/>
      <c r="G367" s="423"/>
      <c r="H367" s="424"/>
      <c r="I367" s="416"/>
      <c r="J367" s="417"/>
      <c r="K367" s="418"/>
      <c r="L367" s="419"/>
      <c r="M367" s="420"/>
      <c r="N367" s="421"/>
      <c r="O367" s="421"/>
      <c r="P367" s="422"/>
      <c r="Q367" s="387"/>
    </row>
    <row r="368" ht="21.75" customHeight="1">
      <c r="B368" s="387"/>
      <c r="C368" s="413"/>
      <c r="D368" s="414"/>
      <c r="E368" s="414"/>
      <c r="F368" s="415"/>
      <c r="G368" s="423"/>
      <c r="H368" s="424"/>
      <c r="I368" s="416"/>
      <c r="J368" s="417"/>
      <c r="K368" s="418"/>
      <c r="L368" s="419"/>
      <c r="M368" s="420"/>
      <c r="N368" s="421"/>
      <c r="O368" s="421"/>
      <c r="P368" s="422"/>
      <c r="Q368" s="387"/>
    </row>
    <row r="369" ht="21.75" customHeight="1">
      <c r="B369" s="387"/>
      <c r="C369" s="413"/>
      <c r="D369" s="414"/>
      <c r="E369" s="414"/>
      <c r="F369" s="415"/>
      <c r="G369" s="423"/>
      <c r="H369" s="424"/>
      <c r="I369" s="416"/>
      <c r="J369" s="417"/>
      <c r="K369" s="418"/>
      <c r="L369" s="419"/>
      <c r="M369" s="420"/>
      <c r="N369" s="421"/>
      <c r="O369" s="421"/>
      <c r="P369" s="422"/>
      <c r="Q369" s="387"/>
    </row>
    <row r="370" ht="21.75" customHeight="1">
      <c r="B370" s="387"/>
      <c r="C370" s="413"/>
      <c r="D370" s="414"/>
      <c r="E370" s="414"/>
      <c r="F370" s="415"/>
      <c r="G370" s="423"/>
      <c r="H370" s="424"/>
      <c r="I370" s="416"/>
      <c r="J370" s="417"/>
      <c r="K370" s="418"/>
      <c r="L370" s="419"/>
      <c r="M370" s="420"/>
      <c r="N370" s="421"/>
      <c r="O370" s="421"/>
      <c r="P370" s="422"/>
      <c r="Q370" s="387"/>
    </row>
    <row r="371" ht="21.75" customHeight="1">
      <c r="B371" s="387"/>
      <c r="C371" s="413"/>
      <c r="D371" s="414"/>
      <c r="E371" s="414"/>
      <c r="F371" s="415"/>
      <c r="G371" s="423"/>
      <c r="H371" s="424"/>
      <c r="I371" s="416"/>
      <c r="J371" s="417"/>
      <c r="K371" s="418"/>
      <c r="L371" s="419"/>
      <c r="M371" s="420"/>
      <c r="N371" s="421"/>
      <c r="O371" s="421"/>
      <c r="P371" s="422"/>
      <c r="Q371" s="387"/>
    </row>
    <row r="372" ht="21.75" customHeight="1">
      <c r="B372" s="387"/>
      <c r="C372" s="413"/>
      <c r="D372" s="414"/>
      <c r="E372" s="414"/>
      <c r="F372" s="415"/>
      <c r="G372" s="423"/>
      <c r="H372" s="424"/>
      <c r="I372" s="416"/>
      <c r="J372" s="417"/>
      <c r="K372" s="418"/>
      <c r="L372" s="419"/>
      <c r="M372" s="420"/>
      <c r="N372" s="421"/>
      <c r="O372" s="421"/>
      <c r="P372" s="422"/>
      <c r="Q372" s="387"/>
    </row>
    <row r="373" ht="21.75" customHeight="1">
      <c r="B373" s="387"/>
      <c r="C373" s="413"/>
      <c r="D373" s="414"/>
      <c r="E373" s="414"/>
      <c r="F373" s="415"/>
      <c r="G373" s="423"/>
      <c r="H373" s="424"/>
      <c r="I373" s="416"/>
      <c r="J373" s="417"/>
      <c r="K373" s="418"/>
      <c r="L373" s="419"/>
      <c r="M373" s="420"/>
      <c r="N373" s="421"/>
      <c r="O373" s="421"/>
      <c r="P373" s="422"/>
      <c r="Q373" s="387"/>
    </row>
    <row r="374" ht="21.75" customHeight="1">
      <c r="B374" s="387"/>
      <c r="C374" s="413"/>
      <c r="D374" s="414"/>
      <c r="E374" s="414"/>
      <c r="F374" s="415"/>
      <c r="G374" s="423"/>
      <c r="H374" s="424"/>
      <c r="I374" s="416"/>
      <c r="J374" s="417"/>
      <c r="K374" s="418"/>
      <c r="L374" s="419"/>
      <c r="M374" s="420"/>
      <c r="N374" s="421"/>
      <c r="O374" s="421"/>
      <c r="P374" s="422"/>
      <c r="Q374" s="387"/>
    </row>
    <row r="375" ht="21.75" customHeight="1">
      <c r="B375" s="387"/>
      <c r="C375" s="413"/>
      <c r="D375" s="414"/>
      <c r="E375" s="414"/>
      <c r="F375" s="415"/>
      <c r="G375" s="423"/>
      <c r="H375" s="424"/>
      <c r="I375" s="416"/>
      <c r="J375" s="417"/>
      <c r="K375" s="418"/>
      <c r="L375" s="419"/>
      <c r="M375" s="420"/>
      <c r="N375" s="421"/>
      <c r="O375" s="421"/>
      <c r="P375" s="422"/>
      <c r="Q375" s="387"/>
    </row>
    <row r="376" ht="21.75" customHeight="1">
      <c r="B376" s="387"/>
      <c r="C376" s="413"/>
      <c r="D376" s="414"/>
      <c r="E376" s="414"/>
      <c r="F376" s="415"/>
      <c r="G376" s="423"/>
      <c r="H376" s="424"/>
      <c r="I376" s="416"/>
      <c r="J376" s="417"/>
      <c r="K376" s="418"/>
      <c r="L376" s="419"/>
      <c r="M376" s="420"/>
      <c r="N376" s="421"/>
      <c r="O376" s="421"/>
      <c r="P376" s="422"/>
      <c r="Q376" s="387"/>
    </row>
    <row r="377" ht="21.75" customHeight="1">
      <c r="B377" s="387"/>
      <c r="C377" s="413"/>
      <c r="D377" s="414"/>
      <c r="E377" s="414"/>
      <c r="F377" s="415"/>
      <c r="G377" s="423"/>
      <c r="H377" s="424"/>
      <c r="I377" s="416"/>
      <c r="J377" s="417"/>
      <c r="K377" s="418"/>
      <c r="L377" s="419"/>
      <c r="M377" s="420"/>
      <c r="N377" s="421"/>
      <c r="O377" s="421"/>
      <c r="P377" s="422"/>
      <c r="Q377" s="387"/>
    </row>
    <row r="378" ht="21.75" customHeight="1">
      <c r="B378" s="387"/>
      <c r="C378" s="413"/>
      <c r="D378" s="414"/>
      <c r="E378" s="414"/>
      <c r="F378" s="415"/>
      <c r="G378" s="423"/>
      <c r="H378" s="424"/>
      <c r="I378" s="416"/>
      <c r="J378" s="417"/>
      <c r="K378" s="418"/>
      <c r="L378" s="419"/>
      <c r="M378" s="420"/>
      <c r="N378" s="421"/>
      <c r="O378" s="421"/>
      <c r="P378" s="422"/>
      <c r="Q378" s="387"/>
    </row>
    <row r="379" ht="21.75" customHeight="1">
      <c r="B379" s="387"/>
      <c r="C379" s="413"/>
      <c r="D379" s="414"/>
      <c r="E379" s="414"/>
      <c r="F379" s="415"/>
      <c r="G379" s="423"/>
      <c r="H379" s="424"/>
      <c r="I379" s="416"/>
      <c r="J379" s="417"/>
      <c r="K379" s="418"/>
      <c r="L379" s="419"/>
      <c r="M379" s="420"/>
      <c r="N379" s="421"/>
      <c r="O379" s="421"/>
      <c r="P379" s="422"/>
      <c r="Q379" s="387"/>
    </row>
    <row r="380" ht="21.75" customHeight="1">
      <c r="B380" s="387"/>
      <c r="C380" s="413"/>
      <c r="D380" s="414"/>
      <c r="E380" s="414"/>
      <c r="F380" s="415"/>
      <c r="G380" s="423"/>
      <c r="H380" s="424"/>
      <c r="I380" s="416"/>
      <c r="J380" s="417"/>
      <c r="K380" s="418"/>
      <c r="L380" s="419"/>
      <c r="M380" s="420"/>
      <c r="N380" s="421"/>
      <c r="O380" s="421"/>
      <c r="P380" s="422"/>
      <c r="Q380" s="387"/>
    </row>
    <row r="381" ht="21.75" customHeight="1">
      <c r="B381" s="387"/>
      <c r="C381" s="413"/>
      <c r="D381" s="414"/>
      <c r="E381" s="414"/>
      <c r="F381" s="415"/>
      <c r="G381" s="423"/>
      <c r="H381" s="424"/>
      <c r="I381" s="416"/>
      <c r="J381" s="417"/>
      <c r="K381" s="418"/>
      <c r="L381" s="419"/>
      <c r="M381" s="420"/>
      <c r="N381" s="421"/>
      <c r="O381" s="421"/>
      <c r="P381" s="422"/>
      <c r="Q381" s="387"/>
    </row>
    <row r="382" ht="21.75" customHeight="1">
      <c r="B382" s="387"/>
      <c r="C382" s="413"/>
      <c r="D382" s="414"/>
      <c r="E382" s="414"/>
      <c r="F382" s="415"/>
      <c r="G382" s="423"/>
      <c r="H382" s="424"/>
      <c r="I382" s="416"/>
      <c r="J382" s="417"/>
      <c r="K382" s="418"/>
      <c r="L382" s="419"/>
      <c r="M382" s="420"/>
      <c r="N382" s="421"/>
      <c r="O382" s="421"/>
      <c r="P382" s="422"/>
      <c r="Q382" s="387"/>
    </row>
    <row r="383" ht="21.75" customHeight="1">
      <c r="B383" s="387"/>
      <c r="C383" s="413"/>
      <c r="D383" s="414"/>
      <c r="E383" s="414"/>
      <c r="F383" s="415"/>
      <c r="G383" s="423"/>
      <c r="H383" s="424"/>
      <c r="I383" s="416"/>
      <c r="J383" s="417"/>
      <c r="K383" s="418"/>
      <c r="L383" s="419"/>
      <c r="M383" s="420"/>
      <c r="N383" s="421"/>
      <c r="O383" s="421"/>
      <c r="P383" s="422"/>
      <c r="Q383" s="387"/>
    </row>
    <row r="384" ht="21.75" customHeight="1">
      <c r="B384" s="387"/>
      <c r="C384" s="413"/>
      <c r="D384" s="414"/>
      <c r="E384" s="414"/>
      <c r="F384" s="415"/>
      <c r="G384" s="423"/>
      <c r="H384" s="424"/>
      <c r="I384" s="416"/>
      <c r="J384" s="417"/>
      <c r="K384" s="418"/>
      <c r="L384" s="419"/>
      <c r="M384" s="420"/>
      <c r="N384" s="421"/>
      <c r="O384" s="421"/>
      <c r="P384" s="422"/>
      <c r="Q384" s="387"/>
    </row>
    <row r="385" ht="21.75" customHeight="1">
      <c r="B385" s="387"/>
      <c r="C385" s="413"/>
      <c r="D385" s="414"/>
      <c r="E385" s="414"/>
      <c r="F385" s="415"/>
      <c r="G385" s="423"/>
      <c r="H385" s="424"/>
      <c r="I385" s="416"/>
      <c r="J385" s="417"/>
      <c r="K385" s="418"/>
      <c r="L385" s="419"/>
      <c r="M385" s="420"/>
      <c r="N385" s="421"/>
      <c r="O385" s="421"/>
      <c r="P385" s="422"/>
      <c r="Q385" s="387"/>
    </row>
    <row r="386" ht="21.75" customHeight="1">
      <c r="B386" s="387"/>
      <c r="C386" s="413"/>
      <c r="D386" s="414"/>
      <c r="E386" s="414"/>
      <c r="F386" s="415"/>
      <c r="G386" s="423"/>
      <c r="H386" s="424"/>
      <c r="I386" s="416"/>
      <c r="J386" s="417"/>
      <c r="K386" s="418"/>
      <c r="L386" s="419"/>
      <c r="M386" s="420"/>
      <c r="N386" s="421"/>
      <c r="O386" s="421"/>
      <c r="P386" s="422"/>
      <c r="Q386" s="387"/>
    </row>
    <row r="387" ht="21.75" customHeight="1">
      <c r="B387" s="387"/>
      <c r="C387" s="413"/>
      <c r="D387" s="414"/>
      <c r="E387" s="414"/>
      <c r="F387" s="415"/>
      <c r="G387" s="423"/>
      <c r="H387" s="424"/>
      <c r="I387" s="416"/>
      <c r="J387" s="417"/>
      <c r="K387" s="418"/>
      <c r="L387" s="419"/>
      <c r="M387" s="420"/>
      <c r="N387" s="421"/>
      <c r="O387" s="421"/>
      <c r="P387" s="422"/>
      <c r="Q387" s="387"/>
    </row>
    <row r="388" ht="21.75" customHeight="1">
      <c r="B388" s="387"/>
      <c r="C388" s="413"/>
      <c r="D388" s="414"/>
      <c r="E388" s="414"/>
      <c r="F388" s="415"/>
      <c r="G388" s="423"/>
      <c r="H388" s="424"/>
      <c r="I388" s="416"/>
      <c r="J388" s="417"/>
      <c r="K388" s="418"/>
      <c r="L388" s="419"/>
      <c r="M388" s="420"/>
      <c r="N388" s="421"/>
      <c r="O388" s="421"/>
      <c r="P388" s="422"/>
      <c r="Q388" s="387"/>
    </row>
    <row r="389" ht="21.75" customHeight="1">
      <c r="B389" s="387"/>
      <c r="C389" s="413"/>
      <c r="D389" s="414"/>
      <c r="E389" s="414"/>
      <c r="F389" s="415"/>
      <c r="G389" s="423"/>
      <c r="H389" s="424"/>
      <c r="I389" s="416"/>
      <c r="J389" s="417"/>
      <c r="K389" s="418"/>
      <c r="L389" s="419"/>
      <c r="M389" s="420"/>
      <c r="N389" s="421"/>
      <c r="O389" s="421"/>
      <c r="P389" s="422"/>
      <c r="Q389" s="387"/>
    </row>
    <row r="390" ht="21.75" customHeight="1">
      <c r="B390" s="387"/>
      <c r="C390" s="413"/>
      <c r="D390" s="414"/>
      <c r="E390" s="414"/>
      <c r="F390" s="415"/>
      <c r="G390" s="423"/>
      <c r="H390" s="424"/>
      <c r="I390" s="416"/>
      <c r="J390" s="417"/>
      <c r="K390" s="418"/>
      <c r="L390" s="419"/>
      <c r="M390" s="420"/>
      <c r="N390" s="421"/>
      <c r="O390" s="421"/>
      <c r="P390" s="422"/>
      <c r="Q390" s="387"/>
    </row>
    <row r="391" ht="21.75" customHeight="1">
      <c r="B391" s="387"/>
      <c r="C391" s="413"/>
      <c r="D391" s="414"/>
      <c r="E391" s="414"/>
      <c r="F391" s="415"/>
      <c r="G391" s="423"/>
      <c r="H391" s="424"/>
      <c r="I391" s="416"/>
      <c r="J391" s="417"/>
      <c r="K391" s="418"/>
      <c r="L391" s="419"/>
      <c r="M391" s="420"/>
      <c r="N391" s="421"/>
      <c r="O391" s="421"/>
      <c r="P391" s="422"/>
      <c r="Q391" s="387"/>
    </row>
    <row r="392" ht="21.75" customHeight="1">
      <c r="B392" s="387"/>
      <c r="C392" s="413"/>
      <c r="D392" s="414"/>
      <c r="E392" s="414"/>
      <c r="F392" s="415"/>
      <c r="G392" s="423"/>
      <c r="H392" s="424"/>
      <c r="I392" s="416"/>
      <c r="J392" s="417"/>
      <c r="K392" s="418"/>
      <c r="L392" s="419"/>
      <c r="M392" s="420"/>
      <c r="N392" s="421"/>
      <c r="O392" s="421"/>
      <c r="P392" s="422"/>
      <c r="Q392" s="387"/>
    </row>
    <row r="393" ht="21.75" customHeight="1">
      <c r="B393" s="387"/>
      <c r="C393" s="413"/>
      <c r="D393" s="414"/>
      <c r="E393" s="414"/>
      <c r="F393" s="415"/>
      <c r="G393" s="423"/>
      <c r="H393" s="424"/>
      <c r="I393" s="416"/>
      <c r="J393" s="417"/>
      <c r="K393" s="418"/>
      <c r="L393" s="419"/>
      <c r="M393" s="420"/>
      <c r="N393" s="421"/>
      <c r="O393" s="421"/>
      <c r="P393" s="422"/>
      <c r="Q393" s="387"/>
    </row>
    <row r="394" ht="21.75" customHeight="1">
      <c r="B394" s="387"/>
      <c r="C394" s="413"/>
      <c r="D394" s="414"/>
      <c r="E394" s="414"/>
      <c r="F394" s="415"/>
      <c r="G394" s="423"/>
      <c r="H394" s="424"/>
      <c r="I394" s="416"/>
      <c r="J394" s="417"/>
      <c r="K394" s="418"/>
      <c r="L394" s="419"/>
      <c r="M394" s="420"/>
      <c r="N394" s="421"/>
      <c r="O394" s="421"/>
      <c r="P394" s="422"/>
      <c r="Q394" s="387"/>
    </row>
    <row r="395" ht="21.75" customHeight="1">
      <c r="B395" s="387"/>
      <c r="C395" s="413"/>
      <c r="D395" s="414"/>
      <c r="E395" s="414"/>
      <c r="F395" s="415"/>
      <c r="G395" s="423"/>
      <c r="H395" s="424"/>
      <c r="I395" s="416"/>
      <c r="J395" s="417"/>
      <c r="K395" s="418"/>
      <c r="L395" s="419"/>
      <c r="M395" s="420"/>
      <c r="N395" s="421"/>
      <c r="O395" s="421"/>
      <c r="P395" s="422"/>
      <c r="Q395" s="387"/>
    </row>
    <row r="396" ht="21.75" customHeight="1">
      <c r="B396" s="387"/>
      <c r="C396" s="413"/>
      <c r="D396" s="414"/>
      <c r="E396" s="414"/>
      <c r="F396" s="415"/>
      <c r="G396" s="423"/>
      <c r="H396" s="424"/>
      <c r="I396" s="416"/>
      <c r="J396" s="417"/>
      <c r="K396" s="418"/>
      <c r="L396" s="419"/>
      <c r="M396" s="420"/>
      <c r="N396" s="421"/>
      <c r="O396" s="421"/>
      <c r="P396" s="422"/>
      <c r="Q396" s="387"/>
    </row>
    <row r="397" ht="21.75" customHeight="1">
      <c r="B397" s="387"/>
      <c r="C397" s="413"/>
      <c r="D397" s="414"/>
      <c r="E397" s="414"/>
      <c r="F397" s="415"/>
      <c r="G397" s="423"/>
      <c r="H397" s="424"/>
      <c r="I397" s="416"/>
      <c r="J397" s="417"/>
      <c r="K397" s="418"/>
      <c r="L397" s="419"/>
      <c r="M397" s="420"/>
      <c r="N397" s="421"/>
      <c r="O397" s="421"/>
      <c r="P397" s="422"/>
      <c r="Q397" s="387"/>
    </row>
    <row r="398" ht="21.75" customHeight="1">
      <c r="B398" s="387"/>
      <c r="C398" s="413"/>
      <c r="D398" s="414"/>
      <c r="E398" s="414"/>
      <c r="F398" s="415"/>
      <c r="G398" s="423"/>
      <c r="H398" s="424"/>
      <c r="I398" s="416"/>
      <c r="J398" s="417"/>
      <c r="K398" s="418"/>
      <c r="L398" s="419"/>
      <c r="M398" s="420"/>
      <c r="N398" s="421"/>
      <c r="O398" s="421"/>
      <c r="P398" s="422"/>
      <c r="Q398" s="387"/>
    </row>
    <row r="399" ht="21.75" customHeight="1">
      <c r="B399" s="387"/>
      <c r="C399" s="413"/>
      <c r="D399" s="414"/>
      <c r="E399" s="414"/>
      <c r="F399" s="415"/>
      <c r="G399" s="423"/>
      <c r="H399" s="424"/>
      <c r="I399" s="416"/>
      <c r="J399" s="417"/>
      <c r="K399" s="418"/>
      <c r="L399" s="419"/>
      <c r="M399" s="420"/>
      <c r="N399" s="421"/>
      <c r="O399" s="421"/>
      <c r="P399" s="422"/>
      <c r="Q399" s="387"/>
    </row>
    <row r="400" ht="21.75" customHeight="1">
      <c r="B400" s="387"/>
      <c r="C400" s="413"/>
      <c r="D400" s="414"/>
      <c r="E400" s="414"/>
      <c r="F400" s="415"/>
      <c r="G400" s="423"/>
      <c r="H400" s="424"/>
      <c r="I400" s="416"/>
      <c r="J400" s="417"/>
      <c r="K400" s="418"/>
      <c r="L400" s="419"/>
      <c r="M400" s="420"/>
      <c r="N400" s="421"/>
      <c r="O400" s="421"/>
      <c r="P400" s="422"/>
      <c r="Q400" s="387"/>
    </row>
    <row r="401" ht="21.75" customHeight="1">
      <c r="B401" s="387"/>
      <c r="C401" s="413"/>
      <c r="D401" s="414"/>
      <c r="E401" s="414"/>
      <c r="F401" s="415"/>
      <c r="G401" s="423"/>
      <c r="H401" s="424"/>
      <c r="I401" s="416"/>
      <c r="J401" s="417"/>
      <c r="K401" s="418"/>
      <c r="L401" s="419"/>
      <c r="M401" s="420"/>
      <c r="N401" s="421"/>
      <c r="O401" s="421"/>
      <c r="P401" s="422"/>
      <c r="Q401" s="387"/>
    </row>
    <row r="402" ht="21.75" customHeight="1">
      <c r="B402" s="387"/>
      <c r="C402" s="413"/>
      <c r="D402" s="414"/>
      <c r="E402" s="414"/>
      <c r="F402" s="415"/>
      <c r="G402" s="423"/>
      <c r="H402" s="424"/>
      <c r="I402" s="416"/>
      <c r="J402" s="417"/>
      <c r="K402" s="418"/>
      <c r="L402" s="419"/>
      <c r="M402" s="420"/>
      <c r="N402" s="421"/>
      <c r="O402" s="421"/>
      <c r="P402" s="422"/>
      <c r="Q402" s="387"/>
    </row>
    <row r="403" ht="21.75" customHeight="1">
      <c r="B403" s="387"/>
      <c r="C403" s="413"/>
      <c r="D403" s="414"/>
      <c r="E403" s="414"/>
      <c r="F403" s="415"/>
      <c r="G403" s="423"/>
      <c r="H403" s="424"/>
      <c r="I403" s="416"/>
      <c r="J403" s="417"/>
      <c r="K403" s="418"/>
      <c r="L403" s="419"/>
      <c r="M403" s="420"/>
      <c r="N403" s="421"/>
      <c r="O403" s="421"/>
      <c r="P403" s="422"/>
      <c r="Q403" s="387"/>
    </row>
    <row r="404" ht="21.75" customHeight="1">
      <c r="B404" s="387"/>
      <c r="C404" s="413"/>
      <c r="D404" s="414"/>
      <c r="E404" s="414"/>
      <c r="F404" s="415"/>
      <c r="G404" s="423"/>
      <c r="H404" s="424"/>
      <c r="I404" s="416"/>
      <c r="J404" s="417"/>
      <c r="K404" s="418"/>
      <c r="L404" s="419"/>
      <c r="M404" s="420"/>
      <c r="N404" s="421"/>
      <c r="O404" s="421"/>
      <c r="P404" s="422"/>
      <c r="Q404" s="387"/>
    </row>
    <row r="405" ht="21.75" customHeight="1">
      <c r="B405" s="387"/>
      <c r="C405" s="413"/>
      <c r="D405" s="414"/>
      <c r="E405" s="414"/>
      <c r="F405" s="415"/>
      <c r="G405" s="423"/>
      <c r="H405" s="424"/>
      <c r="I405" s="416"/>
      <c r="J405" s="417"/>
      <c r="K405" s="418"/>
      <c r="L405" s="419"/>
      <c r="M405" s="420"/>
      <c r="N405" s="421"/>
      <c r="O405" s="421"/>
      <c r="P405" s="422"/>
      <c r="Q405" s="387"/>
    </row>
    <row r="406" ht="21.75" customHeight="1">
      <c r="B406" s="387"/>
      <c r="C406" s="413"/>
      <c r="D406" s="414"/>
      <c r="E406" s="414"/>
      <c r="F406" s="415"/>
      <c r="G406" s="423"/>
      <c r="H406" s="424"/>
      <c r="I406" s="416"/>
      <c r="J406" s="417"/>
      <c r="K406" s="418"/>
      <c r="L406" s="419"/>
      <c r="M406" s="420"/>
      <c r="N406" s="421"/>
      <c r="O406" s="421"/>
      <c r="P406" s="422"/>
      <c r="Q406" s="387"/>
    </row>
    <row r="407" ht="21.75" customHeight="1">
      <c r="B407" s="387"/>
      <c r="C407" s="413"/>
      <c r="D407" s="414"/>
      <c r="E407" s="414"/>
      <c r="F407" s="415"/>
      <c r="G407" s="423"/>
      <c r="H407" s="424"/>
      <c r="I407" s="416"/>
      <c r="J407" s="417"/>
      <c r="K407" s="418"/>
      <c r="L407" s="419"/>
      <c r="M407" s="420"/>
      <c r="N407" s="421"/>
      <c r="O407" s="421"/>
      <c r="P407" s="422"/>
      <c r="Q407" s="387"/>
    </row>
    <row r="408" ht="21.75" customHeight="1">
      <c r="B408" s="387"/>
      <c r="C408" s="413"/>
      <c r="D408" s="414"/>
      <c r="E408" s="414"/>
      <c r="F408" s="415"/>
      <c r="G408" s="423"/>
      <c r="H408" s="424"/>
      <c r="I408" s="416"/>
      <c r="J408" s="417"/>
      <c r="K408" s="418"/>
      <c r="L408" s="419"/>
      <c r="M408" s="420"/>
      <c r="N408" s="421"/>
      <c r="O408" s="421"/>
      <c r="P408" s="422"/>
      <c r="Q408" s="387"/>
    </row>
    <row r="409" ht="21.75" customHeight="1">
      <c r="B409" s="387"/>
      <c r="C409" s="413"/>
      <c r="D409" s="414"/>
      <c r="E409" s="414"/>
      <c r="F409" s="415"/>
      <c r="G409" s="423"/>
      <c r="H409" s="424"/>
      <c r="I409" s="416"/>
      <c r="J409" s="417"/>
      <c r="K409" s="418"/>
      <c r="L409" s="419"/>
      <c r="M409" s="420"/>
      <c r="N409" s="421"/>
      <c r="O409" s="421"/>
      <c r="P409" s="422"/>
      <c r="Q409" s="387"/>
    </row>
    <row r="410" ht="21.75" customHeight="1">
      <c r="B410" s="387"/>
      <c r="C410" s="413"/>
      <c r="D410" s="414"/>
      <c r="E410" s="414"/>
      <c r="F410" s="415"/>
      <c r="G410" s="423"/>
      <c r="H410" s="424"/>
      <c r="I410" s="416"/>
      <c r="J410" s="417"/>
      <c r="K410" s="418"/>
      <c r="L410" s="419"/>
      <c r="M410" s="420"/>
      <c r="N410" s="421"/>
      <c r="O410" s="421"/>
      <c r="P410" s="422"/>
      <c r="Q410" s="387"/>
    </row>
    <row r="411" ht="21.75" customHeight="1">
      <c r="B411" s="387"/>
      <c r="C411" s="413"/>
      <c r="D411" s="414"/>
      <c r="E411" s="414"/>
      <c r="F411" s="415"/>
      <c r="G411" s="423"/>
      <c r="H411" s="424"/>
      <c r="I411" s="416"/>
      <c r="J411" s="417"/>
      <c r="K411" s="418"/>
      <c r="L411" s="419"/>
      <c r="M411" s="420"/>
      <c r="N411" s="421"/>
      <c r="O411" s="421"/>
      <c r="P411" s="422"/>
      <c r="Q411" s="387"/>
    </row>
    <row r="412" ht="21.75" customHeight="1">
      <c r="B412" s="387"/>
      <c r="C412" s="413"/>
      <c r="D412" s="414"/>
      <c r="E412" s="414"/>
      <c r="F412" s="415"/>
      <c r="G412" s="423"/>
      <c r="H412" s="424"/>
      <c r="I412" s="416"/>
      <c r="J412" s="417"/>
      <c r="K412" s="418"/>
      <c r="L412" s="419"/>
      <c r="M412" s="420"/>
      <c r="N412" s="421"/>
      <c r="O412" s="421"/>
      <c r="P412" s="422"/>
      <c r="Q412" s="387"/>
    </row>
    <row r="413" ht="21.75" customHeight="1">
      <c r="B413" s="387"/>
      <c r="C413" s="413"/>
      <c r="D413" s="414"/>
      <c r="E413" s="414"/>
      <c r="F413" s="415"/>
      <c r="G413" s="423"/>
      <c r="H413" s="424"/>
      <c r="I413" s="416"/>
      <c r="J413" s="417"/>
      <c r="K413" s="418"/>
      <c r="L413" s="419"/>
      <c r="M413" s="420"/>
      <c r="N413" s="421"/>
      <c r="O413" s="421"/>
      <c r="P413" s="422"/>
      <c r="Q413" s="387"/>
    </row>
    <row r="414" ht="21.75" customHeight="1">
      <c r="B414" s="387"/>
      <c r="C414" s="413"/>
      <c r="D414" s="414"/>
      <c r="E414" s="414"/>
      <c r="F414" s="415"/>
      <c r="G414" s="423"/>
      <c r="H414" s="424"/>
      <c r="I414" s="416"/>
      <c r="J414" s="417"/>
      <c r="K414" s="418"/>
      <c r="L414" s="419"/>
      <c r="M414" s="420"/>
      <c r="N414" s="421"/>
      <c r="O414" s="421"/>
      <c r="P414" s="422"/>
      <c r="Q414" s="387"/>
    </row>
    <row r="415" ht="21.75" customHeight="1">
      <c r="B415" s="387"/>
      <c r="C415" s="413"/>
      <c r="D415" s="414"/>
      <c r="E415" s="414"/>
      <c r="F415" s="415"/>
      <c r="G415" s="423"/>
      <c r="H415" s="424"/>
      <c r="I415" s="416"/>
      <c r="J415" s="417"/>
      <c r="K415" s="418"/>
      <c r="L415" s="419"/>
      <c r="M415" s="420"/>
      <c r="N415" s="421"/>
      <c r="O415" s="421"/>
      <c r="P415" s="422"/>
      <c r="Q415" s="387"/>
    </row>
    <row r="416" ht="21.75" customHeight="1">
      <c r="B416" s="387"/>
      <c r="C416" s="413"/>
      <c r="D416" s="414"/>
      <c r="E416" s="414"/>
      <c r="F416" s="415"/>
      <c r="G416" s="423"/>
      <c r="H416" s="424"/>
      <c r="I416" s="416"/>
      <c r="J416" s="417"/>
      <c r="K416" s="418"/>
      <c r="L416" s="419"/>
      <c r="M416" s="420"/>
      <c r="N416" s="421"/>
      <c r="O416" s="421"/>
      <c r="P416" s="422"/>
      <c r="Q416" s="387"/>
    </row>
    <row r="417" ht="21.75" customHeight="1">
      <c r="B417" s="387"/>
      <c r="C417" s="413"/>
      <c r="D417" s="414"/>
      <c r="E417" s="414"/>
      <c r="F417" s="415"/>
      <c r="G417" s="423"/>
      <c r="H417" s="424"/>
      <c r="I417" s="416"/>
      <c r="J417" s="417"/>
      <c r="K417" s="418"/>
      <c r="L417" s="419"/>
      <c r="M417" s="420"/>
      <c r="N417" s="421"/>
      <c r="O417" s="421"/>
      <c r="P417" s="422"/>
      <c r="Q417" s="387"/>
    </row>
    <row r="418" ht="21.75" customHeight="1">
      <c r="B418" s="387"/>
      <c r="C418" s="413"/>
      <c r="D418" s="414"/>
      <c r="E418" s="414"/>
      <c r="F418" s="415"/>
      <c r="G418" s="423"/>
      <c r="H418" s="424"/>
      <c r="I418" s="416"/>
      <c r="J418" s="417"/>
      <c r="K418" s="418"/>
      <c r="L418" s="419"/>
      <c r="M418" s="420"/>
      <c r="N418" s="421"/>
      <c r="O418" s="421"/>
      <c r="P418" s="422"/>
      <c r="Q418" s="387"/>
    </row>
    <row r="419" ht="21.75" customHeight="1">
      <c r="B419" s="387"/>
      <c r="C419" s="413"/>
      <c r="D419" s="414"/>
      <c r="E419" s="414"/>
      <c r="F419" s="415"/>
      <c r="G419" s="423"/>
      <c r="H419" s="424"/>
      <c r="I419" s="416"/>
      <c r="J419" s="417"/>
      <c r="K419" s="418"/>
      <c r="L419" s="419"/>
      <c r="M419" s="420"/>
      <c r="N419" s="421"/>
      <c r="O419" s="421"/>
      <c r="P419" s="422"/>
      <c r="Q419" s="387"/>
    </row>
    <row r="420" ht="21.75" customHeight="1">
      <c r="B420" s="387"/>
      <c r="C420" s="413"/>
      <c r="D420" s="414"/>
      <c r="E420" s="414"/>
      <c r="F420" s="415"/>
      <c r="G420" s="423"/>
      <c r="H420" s="424"/>
      <c r="I420" s="416"/>
      <c r="J420" s="417"/>
      <c r="K420" s="418"/>
      <c r="L420" s="419"/>
      <c r="M420" s="420"/>
      <c r="N420" s="421"/>
      <c r="O420" s="421"/>
      <c r="P420" s="422"/>
      <c r="Q420" s="387"/>
    </row>
    <row r="421" ht="21.75" customHeight="1">
      <c r="B421" s="387"/>
      <c r="C421" s="413"/>
      <c r="D421" s="414"/>
      <c r="E421" s="414"/>
      <c r="F421" s="415"/>
      <c r="G421" s="423"/>
      <c r="H421" s="424"/>
      <c r="I421" s="416"/>
      <c r="J421" s="417"/>
      <c r="K421" s="418"/>
      <c r="L421" s="419"/>
      <c r="M421" s="420"/>
      <c r="N421" s="421"/>
      <c r="O421" s="421"/>
      <c r="P421" s="422"/>
      <c r="Q421" s="387"/>
    </row>
    <row r="422" ht="21.75" customHeight="1">
      <c r="B422" s="387"/>
      <c r="C422" s="413"/>
      <c r="D422" s="414"/>
      <c r="E422" s="414"/>
      <c r="F422" s="415"/>
      <c r="G422" s="423"/>
      <c r="H422" s="424"/>
      <c r="I422" s="416"/>
      <c r="J422" s="417"/>
      <c r="K422" s="418"/>
      <c r="L422" s="419"/>
      <c r="M422" s="420"/>
      <c r="N422" s="421"/>
      <c r="O422" s="421"/>
      <c r="P422" s="422"/>
      <c r="Q422" s="387"/>
    </row>
    <row r="423" ht="21.75" customHeight="1">
      <c r="B423" s="387"/>
      <c r="C423" s="413"/>
      <c r="D423" s="414"/>
      <c r="E423" s="414"/>
      <c r="F423" s="415"/>
      <c r="G423" s="423"/>
      <c r="H423" s="424"/>
      <c r="I423" s="416"/>
      <c r="J423" s="417"/>
      <c r="K423" s="418"/>
      <c r="L423" s="419"/>
      <c r="M423" s="420"/>
      <c r="N423" s="421"/>
      <c r="O423" s="421"/>
      <c r="P423" s="422"/>
      <c r="Q423" s="387"/>
    </row>
    <row r="424" ht="21.75" customHeight="1">
      <c r="B424" s="387"/>
      <c r="C424" s="413"/>
      <c r="D424" s="414"/>
      <c r="E424" s="414"/>
      <c r="F424" s="415"/>
      <c r="G424" s="423"/>
      <c r="H424" s="424"/>
      <c r="I424" s="416"/>
      <c r="J424" s="417"/>
      <c r="K424" s="418"/>
      <c r="L424" s="419"/>
      <c r="M424" s="420"/>
      <c r="N424" s="421"/>
      <c r="O424" s="421"/>
      <c r="P424" s="422"/>
      <c r="Q424" s="387"/>
    </row>
    <row r="425" ht="21.75" customHeight="1">
      <c r="B425" s="387"/>
      <c r="C425" s="413"/>
      <c r="D425" s="414"/>
      <c r="E425" s="414"/>
      <c r="F425" s="415"/>
      <c r="G425" s="423"/>
      <c r="H425" s="424"/>
      <c r="I425" s="416"/>
      <c r="J425" s="417"/>
      <c r="K425" s="418"/>
      <c r="L425" s="419"/>
      <c r="M425" s="420"/>
      <c r="N425" s="421"/>
      <c r="O425" s="421"/>
      <c r="P425" s="422"/>
      <c r="Q425" s="387"/>
    </row>
    <row r="426" ht="21.75" customHeight="1">
      <c r="B426" s="387"/>
      <c r="C426" s="413"/>
      <c r="D426" s="414"/>
      <c r="E426" s="414"/>
      <c r="F426" s="415"/>
      <c r="G426" s="423"/>
      <c r="H426" s="424"/>
      <c r="I426" s="416"/>
      <c r="J426" s="417"/>
      <c r="K426" s="418"/>
      <c r="L426" s="419"/>
      <c r="M426" s="420"/>
      <c r="N426" s="421"/>
      <c r="O426" s="421"/>
      <c r="P426" s="422"/>
      <c r="Q426" s="387"/>
    </row>
    <row r="427" ht="21.75" customHeight="1">
      <c r="B427" s="387"/>
      <c r="C427" s="413"/>
      <c r="D427" s="414"/>
      <c r="E427" s="414"/>
      <c r="F427" s="415"/>
      <c r="G427" s="423"/>
      <c r="H427" s="424"/>
      <c r="I427" s="416"/>
      <c r="J427" s="417"/>
      <c r="K427" s="418"/>
      <c r="L427" s="419"/>
      <c r="M427" s="420"/>
      <c r="N427" s="421"/>
      <c r="O427" s="421"/>
      <c r="P427" s="422"/>
      <c r="Q427" s="387"/>
    </row>
    <row r="428" ht="21.75" customHeight="1">
      <c r="B428" s="387"/>
      <c r="C428" s="413"/>
      <c r="D428" s="414"/>
      <c r="E428" s="414"/>
      <c r="F428" s="415"/>
      <c r="G428" s="423"/>
      <c r="H428" s="424"/>
      <c r="I428" s="416"/>
      <c r="J428" s="417"/>
      <c r="K428" s="418"/>
      <c r="L428" s="419"/>
      <c r="M428" s="420"/>
      <c r="N428" s="421"/>
      <c r="O428" s="421"/>
      <c r="P428" s="422"/>
      <c r="Q428" s="387"/>
    </row>
    <row r="429" ht="21.75" customHeight="1">
      <c r="B429" s="387"/>
      <c r="C429" s="413"/>
      <c r="D429" s="414"/>
      <c r="E429" s="414"/>
      <c r="F429" s="415"/>
      <c r="G429" s="423"/>
      <c r="H429" s="424"/>
      <c r="I429" s="416"/>
      <c r="J429" s="417"/>
      <c r="K429" s="418"/>
      <c r="L429" s="419"/>
      <c r="M429" s="420"/>
      <c r="N429" s="421"/>
      <c r="O429" s="421"/>
      <c r="P429" s="422"/>
      <c r="Q429" s="387"/>
    </row>
    <row r="430" ht="21.75" customHeight="1">
      <c r="B430" s="387"/>
      <c r="C430" s="413"/>
      <c r="D430" s="414"/>
      <c r="E430" s="414"/>
      <c r="F430" s="415"/>
      <c r="G430" s="423"/>
      <c r="H430" s="424"/>
      <c r="I430" s="416"/>
      <c r="J430" s="417"/>
      <c r="K430" s="418"/>
      <c r="L430" s="419"/>
      <c r="M430" s="420"/>
      <c r="N430" s="421"/>
      <c r="O430" s="421"/>
      <c r="P430" s="422"/>
      <c r="Q430" s="387"/>
    </row>
    <row r="431" ht="21.75" customHeight="1">
      <c r="B431" s="387"/>
      <c r="C431" s="413"/>
      <c r="D431" s="414"/>
      <c r="E431" s="414"/>
      <c r="F431" s="415"/>
      <c r="G431" s="423"/>
      <c r="H431" s="424"/>
      <c r="I431" s="416"/>
      <c r="J431" s="417"/>
      <c r="K431" s="418"/>
      <c r="L431" s="419"/>
      <c r="M431" s="420"/>
      <c r="N431" s="421"/>
      <c r="O431" s="421"/>
      <c r="P431" s="422"/>
      <c r="Q431" s="387"/>
    </row>
    <row r="432" ht="21.75" customHeight="1">
      <c r="B432" s="387"/>
      <c r="C432" s="413"/>
      <c r="D432" s="414"/>
      <c r="E432" s="414"/>
      <c r="F432" s="415"/>
      <c r="G432" s="423"/>
      <c r="H432" s="424"/>
      <c r="I432" s="416"/>
      <c r="J432" s="417"/>
      <c r="K432" s="418"/>
      <c r="L432" s="419"/>
      <c r="M432" s="420"/>
      <c r="N432" s="421"/>
      <c r="O432" s="421"/>
      <c r="P432" s="422"/>
      <c r="Q432" s="387"/>
    </row>
    <row r="433" ht="21.75" customHeight="1">
      <c r="B433" s="387"/>
      <c r="C433" s="413"/>
      <c r="D433" s="414"/>
      <c r="E433" s="414"/>
      <c r="F433" s="415"/>
      <c r="G433" s="423"/>
      <c r="H433" s="424"/>
      <c r="I433" s="416"/>
      <c r="J433" s="417"/>
      <c r="K433" s="418"/>
      <c r="L433" s="419"/>
      <c r="M433" s="420"/>
      <c r="N433" s="421"/>
      <c r="O433" s="421"/>
      <c r="P433" s="422"/>
      <c r="Q433" s="387"/>
    </row>
    <row r="434" ht="21.75" customHeight="1">
      <c r="B434" s="387"/>
      <c r="C434" s="413"/>
      <c r="D434" s="414"/>
      <c r="E434" s="414"/>
      <c r="F434" s="415"/>
      <c r="G434" s="423"/>
      <c r="H434" s="424"/>
      <c r="I434" s="416"/>
      <c r="J434" s="417"/>
      <c r="K434" s="418"/>
      <c r="L434" s="419"/>
      <c r="M434" s="420"/>
      <c r="N434" s="421"/>
      <c r="O434" s="421"/>
      <c r="P434" s="422"/>
      <c r="Q434" s="387"/>
    </row>
    <row r="435" ht="21.75" customHeight="1">
      <c r="B435" s="387"/>
      <c r="C435" s="413"/>
      <c r="D435" s="414"/>
      <c r="E435" s="414"/>
      <c r="F435" s="415"/>
      <c r="G435" s="423"/>
      <c r="H435" s="424"/>
      <c r="I435" s="416"/>
      <c r="J435" s="417"/>
      <c r="K435" s="418"/>
      <c r="L435" s="419"/>
      <c r="M435" s="420"/>
      <c r="N435" s="421"/>
      <c r="O435" s="421"/>
      <c r="P435" s="422"/>
      <c r="Q435" s="387"/>
    </row>
    <row r="436" ht="21.75" customHeight="1">
      <c r="B436" s="387"/>
      <c r="C436" s="413"/>
      <c r="D436" s="414"/>
      <c r="E436" s="414"/>
      <c r="F436" s="415"/>
      <c r="G436" s="423"/>
      <c r="H436" s="424"/>
      <c r="I436" s="416"/>
      <c r="J436" s="417"/>
      <c r="K436" s="418"/>
      <c r="L436" s="419"/>
      <c r="M436" s="420"/>
      <c r="N436" s="421"/>
      <c r="O436" s="421"/>
      <c r="P436" s="422"/>
      <c r="Q436" s="387"/>
    </row>
    <row r="437" ht="21.75" customHeight="1">
      <c r="B437" s="387"/>
      <c r="C437" s="413"/>
      <c r="D437" s="414"/>
      <c r="E437" s="414"/>
      <c r="F437" s="415"/>
      <c r="G437" s="423"/>
      <c r="H437" s="424"/>
      <c r="I437" s="416"/>
      <c r="J437" s="417"/>
      <c r="K437" s="418"/>
      <c r="L437" s="419"/>
      <c r="M437" s="420"/>
      <c r="N437" s="421"/>
      <c r="O437" s="421"/>
      <c r="P437" s="422"/>
      <c r="Q437" s="387"/>
    </row>
    <row r="438" ht="21.75" customHeight="1">
      <c r="B438" s="387"/>
      <c r="C438" s="413"/>
      <c r="D438" s="414"/>
      <c r="E438" s="414"/>
      <c r="F438" s="415"/>
      <c r="G438" s="423"/>
      <c r="H438" s="424"/>
      <c r="I438" s="416"/>
      <c r="J438" s="417"/>
      <c r="K438" s="418"/>
      <c r="L438" s="419"/>
      <c r="M438" s="420"/>
      <c r="N438" s="421"/>
      <c r="O438" s="421"/>
      <c r="P438" s="422"/>
      <c r="Q438" s="387"/>
    </row>
    <row r="439" ht="21.75" customHeight="1">
      <c r="B439" s="387"/>
      <c r="C439" s="413"/>
      <c r="D439" s="414"/>
      <c r="E439" s="414"/>
      <c r="F439" s="415"/>
      <c r="G439" s="423"/>
      <c r="H439" s="424"/>
      <c r="I439" s="416"/>
      <c r="J439" s="417"/>
      <c r="K439" s="418"/>
      <c r="L439" s="419"/>
      <c r="M439" s="420"/>
      <c r="N439" s="421"/>
      <c r="O439" s="421"/>
      <c r="P439" s="422"/>
      <c r="Q439" s="387"/>
    </row>
    <row r="440" ht="21.75" customHeight="1">
      <c r="B440" s="387"/>
      <c r="C440" s="413"/>
      <c r="D440" s="414"/>
      <c r="E440" s="414"/>
      <c r="F440" s="415"/>
      <c r="G440" s="423"/>
      <c r="H440" s="424"/>
      <c r="I440" s="416"/>
      <c r="J440" s="417"/>
      <c r="K440" s="418"/>
      <c r="L440" s="419"/>
      <c r="M440" s="420"/>
      <c r="N440" s="421"/>
      <c r="O440" s="421"/>
      <c r="P440" s="422"/>
      <c r="Q440" s="387"/>
    </row>
    <row r="441" ht="21.75" customHeight="1">
      <c r="B441" s="387"/>
      <c r="C441" s="413"/>
      <c r="D441" s="414"/>
      <c r="E441" s="414"/>
      <c r="F441" s="415"/>
      <c r="G441" s="423"/>
      <c r="H441" s="424"/>
      <c r="I441" s="416"/>
      <c r="J441" s="417"/>
      <c r="K441" s="418"/>
      <c r="L441" s="419"/>
      <c r="M441" s="420"/>
      <c r="N441" s="421"/>
      <c r="O441" s="421"/>
      <c r="P441" s="422"/>
      <c r="Q441" s="387"/>
    </row>
    <row r="442" ht="21.75" customHeight="1">
      <c r="B442" s="387"/>
      <c r="C442" s="413"/>
      <c r="D442" s="414"/>
      <c r="E442" s="414"/>
      <c r="F442" s="415"/>
      <c r="G442" s="423"/>
      <c r="H442" s="424"/>
      <c r="I442" s="416"/>
      <c r="J442" s="417"/>
      <c r="K442" s="418"/>
      <c r="L442" s="419"/>
      <c r="M442" s="420"/>
      <c r="N442" s="421"/>
      <c r="O442" s="421"/>
      <c r="P442" s="422"/>
      <c r="Q442" s="387"/>
    </row>
    <row r="443" ht="21.75" customHeight="1">
      <c r="B443" s="387"/>
      <c r="C443" s="413"/>
      <c r="D443" s="414"/>
      <c r="E443" s="414"/>
      <c r="F443" s="415"/>
      <c r="G443" s="423"/>
      <c r="H443" s="424"/>
      <c r="I443" s="416"/>
      <c r="J443" s="417"/>
      <c r="K443" s="418"/>
      <c r="L443" s="419"/>
      <c r="M443" s="420"/>
      <c r="N443" s="421"/>
      <c r="O443" s="421"/>
      <c r="P443" s="422"/>
      <c r="Q443" s="387"/>
    </row>
    <row r="444" ht="21.75" customHeight="1">
      <c r="B444" s="387"/>
      <c r="C444" s="413"/>
      <c r="D444" s="414"/>
      <c r="E444" s="414"/>
      <c r="F444" s="415"/>
      <c r="G444" s="423"/>
      <c r="H444" s="424"/>
      <c r="I444" s="416"/>
      <c r="J444" s="417"/>
      <c r="K444" s="418"/>
      <c r="L444" s="419"/>
      <c r="M444" s="420"/>
      <c r="N444" s="421"/>
      <c r="O444" s="421"/>
      <c r="P444" s="422"/>
      <c r="Q444" s="387"/>
    </row>
    <row r="445" ht="21.75" customHeight="1">
      <c r="B445" s="387"/>
      <c r="C445" s="413"/>
      <c r="D445" s="414"/>
      <c r="E445" s="414"/>
      <c r="F445" s="415"/>
      <c r="G445" s="423"/>
      <c r="H445" s="424"/>
      <c r="I445" s="416"/>
      <c r="J445" s="417"/>
      <c r="K445" s="418"/>
      <c r="L445" s="419"/>
      <c r="M445" s="420"/>
      <c r="N445" s="421"/>
      <c r="O445" s="421"/>
      <c r="P445" s="422"/>
      <c r="Q445" s="387"/>
    </row>
    <row r="446" ht="21.75" customHeight="1">
      <c r="B446" s="387"/>
      <c r="C446" s="413"/>
      <c r="D446" s="414"/>
      <c r="E446" s="414"/>
      <c r="F446" s="415"/>
      <c r="G446" s="423"/>
      <c r="H446" s="424"/>
      <c r="I446" s="416"/>
      <c r="J446" s="417"/>
      <c r="K446" s="418"/>
      <c r="L446" s="419"/>
      <c r="M446" s="420"/>
      <c r="N446" s="421"/>
      <c r="O446" s="421"/>
      <c r="P446" s="422"/>
      <c r="Q446" s="387"/>
    </row>
    <row r="447" ht="21.75" customHeight="1">
      <c r="B447" s="387"/>
      <c r="C447" s="413"/>
      <c r="D447" s="414"/>
      <c r="E447" s="414"/>
      <c r="F447" s="415"/>
      <c r="G447" s="423"/>
      <c r="H447" s="424"/>
      <c r="I447" s="416"/>
      <c r="J447" s="417"/>
      <c r="K447" s="418"/>
      <c r="L447" s="419"/>
      <c r="M447" s="420"/>
      <c r="N447" s="421"/>
      <c r="O447" s="421"/>
      <c r="P447" s="422"/>
      <c r="Q447" s="387"/>
    </row>
    <row r="448" ht="21.75" customHeight="1">
      <c r="B448" s="387"/>
      <c r="C448" s="413"/>
      <c r="D448" s="414"/>
      <c r="E448" s="414"/>
      <c r="F448" s="415"/>
      <c r="G448" s="423"/>
      <c r="H448" s="424"/>
      <c r="I448" s="416"/>
      <c r="J448" s="417"/>
      <c r="K448" s="418"/>
      <c r="L448" s="419"/>
      <c r="M448" s="420"/>
      <c r="N448" s="421"/>
      <c r="O448" s="421"/>
      <c r="P448" s="422"/>
      <c r="Q448" s="387"/>
    </row>
    <row r="449" ht="21.75" customHeight="1">
      <c r="B449" s="387"/>
      <c r="C449" s="413"/>
      <c r="D449" s="414"/>
      <c r="E449" s="414"/>
      <c r="F449" s="415"/>
      <c r="G449" s="423"/>
      <c r="H449" s="424"/>
      <c r="I449" s="416"/>
      <c r="J449" s="417"/>
      <c r="K449" s="418"/>
      <c r="L449" s="419"/>
      <c r="M449" s="420"/>
      <c r="N449" s="421"/>
      <c r="O449" s="421"/>
      <c r="P449" s="422"/>
      <c r="Q449" s="387"/>
    </row>
    <row r="450" ht="21.75" customHeight="1">
      <c r="B450" s="387"/>
      <c r="C450" s="413"/>
      <c r="D450" s="414"/>
      <c r="E450" s="414"/>
      <c r="F450" s="415"/>
      <c r="G450" s="423"/>
      <c r="H450" s="424"/>
      <c r="I450" s="416"/>
      <c r="J450" s="417"/>
      <c r="K450" s="418"/>
      <c r="L450" s="419"/>
      <c r="M450" s="420"/>
      <c r="N450" s="421"/>
      <c r="O450" s="421"/>
      <c r="P450" s="422"/>
      <c r="Q450" s="387"/>
    </row>
    <row r="451" ht="21.75" customHeight="1">
      <c r="B451" s="387"/>
      <c r="C451" s="413"/>
      <c r="D451" s="414"/>
      <c r="E451" s="414"/>
      <c r="F451" s="415"/>
      <c r="G451" s="423"/>
      <c r="H451" s="424"/>
      <c r="I451" s="416"/>
      <c r="J451" s="417"/>
      <c r="K451" s="418"/>
      <c r="L451" s="419"/>
      <c r="M451" s="420"/>
      <c r="N451" s="421"/>
      <c r="O451" s="421"/>
      <c r="P451" s="422"/>
      <c r="Q451" s="387"/>
    </row>
    <row r="452" ht="21.75" customHeight="1">
      <c r="B452" s="387"/>
      <c r="C452" s="413"/>
      <c r="D452" s="414"/>
      <c r="E452" s="414"/>
      <c r="F452" s="415"/>
      <c r="G452" s="423"/>
      <c r="H452" s="424"/>
      <c r="I452" s="416"/>
      <c r="J452" s="417"/>
      <c r="K452" s="418"/>
      <c r="L452" s="419"/>
      <c r="M452" s="420"/>
      <c r="N452" s="421"/>
      <c r="O452" s="421"/>
      <c r="P452" s="422"/>
      <c r="Q452" s="387"/>
    </row>
    <row r="453" ht="21.75" customHeight="1">
      <c r="B453" s="387"/>
      <c r="C453" s="413"/>
      <c r="D453" s="414"/>
      <c r="E453" s="414"/>
      <c r="F453" s="415"/>
      <c r="G453" s="423"/>
      <c r="H453" s="424"/>
      <c r="I453" s="416"/>
      <c r="J453" s="417"/>
      <c r="K453" s="418"/>
      <c r="L453" s="419"/>
      <c r="M453" s="420"/>
      <c r="N453" s="421"/>
      <c r="O453" s="421"/>
      <c r="P453" s="422"/>
      <c r="Q453" s="387"/>
    </row>
    <row r="454" ht="21.75" customHeight="1">
      <c r="B454" s="387"/>
      <c r="C454" s="413"/>
      <c r="D454" s="414"/>
      <c r="E454" s="414"/>
      <c r="F454" s="415"/>
      <c r="G454" s="423"/>
      <c r="H454" s="424"/>
      <c r="I454" s="416"/>
      <c r="J454" s="417"/>
      <c r="K454" s="418"/>
      <c r="L454" s="419"/>
      <c r="M454" s="420"/>
      <c r="N454" s="421"/>
      <c r="O454" s="421"/>
      <c r="P454" s="422"/>
      <c r="Q454" s="387"/>
    </row>
    <row r="455" ht="21.75" customHeight="1">
      <c r="B455" s="387"/>
      <c r="C455" s="413"/>
      <c r="D455" s="414"/>
      <c r="E455" s="414"/>
      <c r="F455" s="415"/>
      <c r="G455" s="423"/>
      <c r="H455" s="424"/>
      <c r="I455" s="416"/>
      <c r="J455" s="417"/>
      <c r="K455" s="418"/>
      <c r="L455" s="419"/>
      <c r="M455" s="420"/>
      <c r="N455" s="421"/>
      <c r="O455" s="421"/>
      <c r="P455" s="422"/>
      <c r="Q455" s="387"/>
    </row>
    <row r="456" ht="21.75" customHeight="1">
      <c r="B456" s="387"/>
      <c r="C456" s="413"/>
      <c r="D456" s="414"/>
      <c r="E456" s="414"/>
      <c r="F456" s="415"/>
      <c r="G456" s="423"/>
      <c r="H456" s="424"/>
      <c r="I456" s="416"/>
      <c r="J456" s="417"/>
      <c r="K456" s="418"/>
      <c r="L456" s="419"/>
      <c r="M456" s="420"/>
      <c r="N456" s="421"/>
      <c r="O456" s="421"/>
      <c r="P456" s="422"/>
      <c r="Q456" s="387"/>
    </row>
    <row r="457" ht="21.75" customHeight="1">
      <c r="B457" s="387"/>
      <c r="C457" s="413"/>
      <c r="D457" s="414"/>
      <c r="E457" s="414"/>
      <c r="F457" s="415"/>
      <c r="G457" s="423"/>
      <c r="H457" s="424"/>
      <c r="I457" s="416"/>
      <c r="J457" s="417"/>
      <c r="K457" s="418"/>
      <c r="L457" s="419"/>
      <c r="M457" s="420"/>
      <c r="N457" s="421"/>
      <c r="O457" s="421"/>
      <c r="P457" s="422"/>
      <c r="Q457" s="387"/>
    </row>
    <row r="458" ht="21.75" customHeight="1">
      <c r="B458" s="387"/>
      <c r="C458" s="413"/>
      <c r="D458" s="414"/>
      <c r="E458" s="414"/>
      <c r="F458" s="415"/>
      <c r="G458" s="423"/>
      <c r="H458" s="424"/>
      <c r="I458" s="416"/>
      <c r="J458" s="417"/>
      <c r="K458" s="418"/>
      <c r="L458" s="419"/>
      <c r="M458" s="420"/>
      <c r="N458" s="421"/>
      <c r="O458" s="421"/>
      <c r="P458" s="422"/>
      <c r="Q458" s="387"/>
    </row>
    <row r="459" ht="21.75" customHeight="1">
      <c r="B459" s="387"/>
      <c r="C459" s="413"/>
      <c r="D459" s="414"/>
      <c r="E459" s="414"/>
      <c r="F459" s="415"/>
      <c r="G459" s="423"/>
      <c r="H459" s="424"/>
      <c r="I459" s="416"/>
      <c r="J459" s="417"/>
      <c r="K459" s="418"/>
      <c r="L459" s="419"/>
      <c r="M459" s="420"/>
      <c r="N459" s="421"/>
      <c r="O459" s="421"/>
      <c r="P459" s="422"/>
      <c r="Q459" s="387"/>
    </row>
    <row r="460" ht="21.75" customHeight="1">
      <c r="B460" s="387"/>
      <c r="C460" s="413"/>
      <c r="D460" s="414"/>
      <c r="E460" s="414"/>
      <c r="F460" s="415"/>
      <c r="G460" s="423"/>
      <c r="H460" s="424"/>
      <c r="I460" s="416"/>
      <c r="J460" s="417"/>
      <c r="K460" s="418"/>
      <c r="L460" s="419"/>
      <c r="M460" s="420"/>
      <c r="N460" s="421"/>
      <c r="O460" s="421"/>
      <c r="P460" s="422"/>
      <c r="Q460" s="387"/>
    </row>
    <row r="461" ht="21.75" customHeight="1">
      <c r="B461" s="387"/>
      <c r="C461" s="413"/>
      <c r="D461" s="414"/>
      <c r="E461" s="414"/>
      <c r="F461" s="415"/>
      <c r="G461" s="423"/>
      <c r="H461" s="424"/>
      <c r="I461" s="416"/>
      <c r="J461" s="417"/>
      <c r="K461" s="418"/>
      <c r="L461" s="419"/>
      <c r="M461" s="420"/>
      <c r="N461" s="421"/>
      <c r="O461" s="421"/>
      <c r="P461" s="422"/>
      <c r="Q461" s="387"/>
    </row>
    <row r="462" ht="21.75" customHeight="1">
      <c r="B462" s="387"/>
      <c r="C462" s="413"/>
      <c r="D462" s="414"/>
      <c r="E462" s="414"/>
      <c r="F462" s="415"/>
      <c r="G462" s="423"/>
      <c r="H462" s="424"/>
      <c r="I462" s="416"/>
      <c r="J462" s="417"/>
      <c r="K462" s="418"/>
      <c r="L462" s="419"/>
      <c r="M462" s="420"/>
      <c r="N462" s="421"/>
      <c r="O462" s="421"/>
      <c r="P462" s="422"/>
      <c r="Q462" s="387"/>
    </row>
    <row r="463" ht="21.75" customHeight="1">
      <c r="B463" s="387"/>
      <c r="C463" s="413"/>
      <c r="D463" s="414"/>
      <c r="E463" s="414"/>
      <c r="F463" s="415"/>
      <c r="G463" s="423"/>
      <c r="H463" s="424"/>
      <c r="I463" s="416"/>
      <c r="J463" s="417"/>
      <c r="K463" s="418"/>
      <c r="L463" s="419"/>
      <c r="M463" s="420"/>
      <c r="N463" s="421"/>
      <c r="O463" s="421"/>
      <c r="P463" s="422"/>
      <c r="Q463" s="387"/>
    </row>
    <row r="464" ht="21.75" customHeight="1">
      <c r="B464" s="387"/>
      <c r="C464" s="413"/>
      <c r="D464" s="414"/>
      <c r="E464" s="414"/>
      <c r="F464" s="415"/>
      <c r="G464" s="423"/>
      <c r="H464" s="424"/>
      <c r="I464" s="416"/>
      <c r="J464" s="417"/>
      <c r="K464" s="418"/>
      <c r="L464" s="419"/>
      <c r="M464" s="420"/>
      <c r="N464" s="421"/>
      <c r="O464" s="421"/>
      <c r="P464" s="422"/>
      <c r="Q464" s="387"/>
    </row>
    <row r="465" ht="21.75" customHeight="1">
      <c r="B465" s="387"/>
      <c r="C465" s="413"/>
      <c r="D465" s="414"/>
      <c r="E465" s="414"/>
      <c r="F465" s="415"/>
      <c r="G465" s="423"/>
      <c r="H465" s="424"/>
      <c r="I465" s="416"/>
      <c r="J465" s="417"/>
      <c r="K465" s="418"/>
      <c r="L465" s="419"/>
      <c r="M465" s="420"/>
      <c r="N465" s="421"/>
      <c r="O465" s="421"/>
      <c r="P465" s="422"/>
      <c r="Q465" s="387"/>
    </row>
    <row r="466" ht="21.75" customHeight="1">
      <c r="B466" s="387"/>
      <c r="C466" s="413"/>
      <c r="D466" s="414"/>
      <c r="E466" s="414"/>
      <c r="F466" s="415"/>
      <c r="G466" s="423"/>
      <c r="H466" s="424"/>
      <c r="I466" s="416"/>
      <c r="J466" s="417"/>
      <c r="K466" s="418"/>
      <c r="L466" s="419"/>
      <c r="M466" s="420"/>
      <c r="N466" s="421"/>
      <c r="O466" s="421"/>
      <c r="P466" s="422"/>
      <c r="Q466" s="387"/>
    </row>
    <row r="467" ht="21.75" customHeight="1">
      <c r="B467" s="387"/>
      <c r="C467" s="413"/>
      <c r="D467" s="414"/>
      <c r="E467" s="414"/>
      <c r="F467" s="415"/>
      <c r="G467" s="423"/>
      <c r="H467" s="424"/>
      <c r="I467" s="416"/>
      <c r="J467" s="417"/>
      <c r="K467" s="418"/>
      <c r="L467" s="419"/>
      <c r="M467" s="420"/>
      <c r="N467" s="421"/>
      <c r="O467" s="421"/>
      <c r="P467" s="422"/>
      <c r="Q467" s="387"/>
    </row>
    <row r="468" ht="21.75" customHeight="1">
      <c r="B468" s="387"/>
      <c r="C468" s="413"/>
      <c r="D468" s="414"/>
      <c r="E468" s="414"/>
      <c r="F468" s="415"/>
      <c r="G468" s="423"/>
      <c r="H468" s="424"/>
      <c r="I468" s="416"/>
      <c r="J468" s="417"/>
      <c r="K468" s="418"/>
      <c r="L468" s="419"/>
      <c r="M468" s="420"/>
      <c r="N468" s="421"/>
      <c r="O468" s="421"/>
      <c r="P468" s="422"/>
      <c r="Q468" s="387"/>
    </row>
    <row r="469" ht="21.75" customHeight="1">
      <c r="B469" s="387"/>
      <c r="C469" s="413"/>
      <c r="D469" s="414"/>
      <c r="E469" s="414"/>
      <c r="F469" s="415"/>
      <c r="G469" s="423"/>
      <c r="H469" s="424"/>
      <c r="I469" s="416"/>
      <c r="J469" s="417"/>
      <c r="K469" s="418"/>
      <c r="L469" s="419"/>
      <c r="M469" s="420"/>
      <c r="N469" s="421"/>
      <c r="O469" s="421"/>
      <c r="P469" s="422"/>
      <c r="Q469" s="387"/>
    </row>
    <row r="470" ht="21.75" customHeight="1">
      <c r="B470" s="387"/>
      <c r="C470" s="413"/>
      <c r="D470" s="414"/>
      <c r="E470" s="414"/>
      <c r="F470" s="415"/>
      <c r="G470" s="423"/>
      <c r="H470" s="424"/>
      <c r="I470" s="416"/>
      <c r="J470" s="417"/>
      <c r="K470" s="418"/>
      <c r="L470" s="419"/>
      <c r="M470" s="420"/>
      <c r="N470" s="421"/>
      <c r="O470" s="421"/>
      <c r="P470" s="422"/>
      <c r="Q470" s="387"/>
    </row>
    <row r="471" ht="21.75" customHeight="1">
      <c r="B471" s="387"/>
      <c r="C471" s="413"/>
      <c r="D471" s="414"/>
      <c r="E471" s="414"/>
      <c r="F471" s="415"/>
      <c r="G471" s="423"/>
      <c r="H471" s="424"/>
      <c r="I471" s="416"/>
      <c r="J471" s="417"/>
      <c r="K471" s="418"/>
      <c r="L471" s="419"/>
      <c r="M471" s="420"/>
      <c r="N471" s="421"/>
      <c r="O471" s="421"/>
      <c r="P471" s="422"/>
      <c r="Q471" s="387"/>
    </row>
    <row r="472" ht="21.75" customHeight="1">
      <c r="B472" s="387"/>
      <c r="C472" s="413"/>
      <c r="D472" s="414"/>
      <c r="E472" s="414"/>
      <c r="F472" s="415"/>
      <c r="G472" s="423"/>
      <c r="H472" s="424"/>
      <c r="I472" s="416"/>
      <c r="J472" s="417"/>
      <c r="K472" s="418"/>
      <c r="L472" s="419"/>
      <c r="M472" s="420"/>
      <c r="N472" s="421"/>
      <c r="O472" s="421"/>
      <c r="P472" s="422"/>
      <c r="Q472" s="387"/>
    </row>
    <row r="473" ht="21.75" customHeight="1">
      <c r="B473" s="387"/>
      <c r="C473" s="413"/>
      <c r="D473" s="414"/>
      <c r="E473" s="414"/>
      <c r="F473" s="415"/>
      <c r="G473" s="423"/>
      <c r="H473" s="424"/>
      <c r="I473" s="416"/>
      <c r="J473" s="417"/>
      <c r="K473" s="418"/>
      <c r="L473" s="419"/>
      <c r="M473" s="420"/>
      <c r="N473" s="421"/>
      <c r="O473" s="421"/>
      <c r="P473" s="422"/>
      <c r="Q473" s="387"/>
    </row>
    <row r="474" ht="21.75" customHeight="1">
      <c r="B474" s="387"/>
      <c r="C474" s="413"/>
      <c r="D474" s="414"/>
      <c r="E474" s="414"/>
      <c r="F474" s="415"/>
      <c r="G474" s="423"/>
      <c r="H474" s="424"/>
      <c r="I474" s="416"/>
      <c r="J474" s="417"/>
      <c r="K474" s="418"/>
      <c r="L474" s="419"/>
      <c r="M474" s="420"/>
      <c r="N474" s="421"/>
      <c r="O474" s="421"/>
      <c r="P474" s="422"/>
      <c r="Q474" s="387"/>
    </row>
    <row r="475" ht="21.75" customHeight="1">
      <c r="B475" s="387"/>
      <c r="C475" s="413"/>
      <c r="D475" s="414"/>
      <c r="E475" s="414"/>
      <c r="F475" s="415"/>
      <c r="G475" s="423"/>
      <c r="H475" s="424"/>
      <c r="I475" s="416"/>
      <c r="J475" s="417"/>
      <c r="K475" s="418"/>
      <c r="L475" s="419"/>
      <c r="M475" s="420"/>
      <c r="N475" s="421"/>
      <c r="O475" s="421"/>
      <c r="P475" s="422"/>
      <c r="Q475" s="387"/>
    </row>
    <row r="476" ht="21.75" customHeight="1">
      <c r="B476" s="387"/>
      <c r="C476" s="413"/>
      <c r="D476" s="414"/>
      <c r="E476" s="414"/>
      <c r="F476" s="415"/>
      <c r="G476" s="423"/>
      <c r="H476" s="424"/>
      <c r="I476" s="416"/>
      <c r="J476" s="417"/>
      <c r="K476" s="418"/>
      <c r="L476" s="419"/>
      <c r="M476" s="420"/>
      <c r="N476" s="421"/>
      <c r="O476" s="421"/>
      <c r="P476" s="422"/>
      <c r="Q476" s="387"/>
    </row>
    <row r="477" ht="21.75" customHeight="1">
      <c r="B477" s="387"/>
      <c r="C477" s="413"/>
      <c r="D477" s="414"/>
      <c r="E477" s="414"/>
      <c r="F477" s="415"/>
      <c r="G477" s="423"/>
      <c r="H477" s="424"/>
      <c r="I477" s="416"/>
      <c r="J477" s="417"/>
      <c r="K477" s="418"/>
      <c r="L477" s="419"/>
      <c r="M477" s="420"/>
      <c r="N477" s="421"/>
      <c r="O477" s="421"/>
      <c r="P477" s="422"/>
      <c r="Q477" s="387"/>
    </row>
    <row r="478" ht="21.75" customHeight="1">
      <c r="B478" s="387"/>
      <c r="C478" s="413"/>
      <c r="D478" s="414"/>
      <c r="E478" s="414"/>
      <c r="F478" s="415"/>
      <c r="G478" s="423"/>
      <c r="H478" s="424"/>
      <c r="I478" s="416"/>
      <c r="J478" s="417"/>
      <c r="K478" s="418"/>
      <c r="L478" s="419"/>
      <c r="M478" s="420"/>
      <c r="N478" s="421"/>
      <c r="O478" s="421"/>
      <c r="P478" s="422"/>
      <c r="Q478" s="387"/>
    </row>
    <row r="479" ht="21.75" customHeight="1">
      <c r="B479" s="387"/>
      <c r="C479" s="413"/>
      <c r="D479" s="414"/>
      <c r="E479" s="414"/>
      <c r="F479" s="415"/>
      <c r="G479" s="423"/>
      <c r="H479" s="424"/>
      <c r="I479" s="416"/>
      <c r="J479" s="417"/>
      <c r="K479" s="418"/>
      <c r="L479" s="419"/>
      <c r="M479" s="420"/>
      <c r="N479" s="421"/>
      <c r="O479" s="421"/>
      <c r="P479" s="422"/>
      <c r="Q479" s="387"/>
    </row>
    <row r="480" ht="21.75" customHeight="1">
      <c r="B480" s="387"/>
      <c r="C480" s="413"/>
      <c r="D480" s="414"/>
      <c r="E480" s="414"/>
      <c r="F480" s="415"/>
      <c r="G480" s="423"/>
      <c r="H480" s="424"/>
      <c r="I480" s="416"/>
      <c r="J480" s="417"/>
      <c r="K480" s="418"/>
      <c r="L480" s="419"/>
      <c r="M480" s="420"/>
      <c r="N480" s="421"/>
      <c r="O480" s="421"/>
      <c r="P480" s="422"/>
      <c r="Q480" s="387"/>
    </row>
    <row r="481" ht="21.75" customHeight="1">
      <c r="B481" s="387"/>
      <c r="C481" s="413"/>
      <c r="D481" s="414"/>
      <c r="E481" s="414"/>
      <c r="F481" s="415"/>
      <c r="G481" s="423"/>
      <c r="H481" s="424"/>
      <c r="I481" s="416"/>
      <c r="J481" s="417"/>
      <c r="K481" s="418"/>
      <c r="L481" s="419"/>
      <c r="M481" s="420"/>
      <c r="N481" s="421"/>
      <c r="O481" s="421"/>
      <c r="P481" s="422"/>
      <c r="Q481" s="387"/>
    </row>
    <row r="482" ht="21.75" customHeight="1">
      <c r="B482" s="387"/>
      <c r="C482" s="413"/>
      <c r="D482" s="414"/>
      <c r="E482" s="414"/>
      <c r="F482" s="415"/>
      <c r="G482" s="423"/>
      <c r="H482" s="424"/>
      <c r="I482" s="416"/>
      <c r="J482" s="417"/>
      <c r="K482" s="418"/>
      <c r="L482" s="419"/>
      <c r="M482" s="420"/>
      <c r="N482" s="421"/>
      <c r="O482" s="421"/>
      <c r="P482" s="422"/>
      <c r="Q482" s="387"/>
    </row>
    <row r="483" ht="21.75" customHeight="1">
      <c r="B483" s="387"/>
      <c r="C483" s="413"/>
      <c r="D483" s="414"/>
      <c r="E483" s="414"/>
      <c r="F483" s="415"/>
      <c r="G483" s="423"/>
      <c r="H483" s="424"/>
      <c r="I483" s="416"/>
      <c r="J483" s="417"/>
      <c r="K483" s="418"/>
      <c r="L483" s="419"/>
      <c r="M483" s="420"/>
      <c r="N483" s="421"/>
      <c r="O483" s="421"/>
      <c r="P483" s="422"/>
      <c r="Q483" s="387"/>
    </row>
    <row r="484" ht="21.75" customHeight="1">
      <c r="B484" s="387"/>
      <c r="C484" s="413"/>
      <c r="D484" s="414"/>
      <c r="E484" s="414"/>
      <c r="F484" s="415"/>
      <c r="G484" s="423"/>
      <c r="H484" s="424"/>
      <c r="I484" s="416"/>
      <c r="J484" s="417"/>
      <c r="K484" s="418"/>
      <c r="L484" s="419"/>
      <c r="M484" s="420"/>
      <c r="N484" s="421"/>
      <c r="O484" s="421"/>
      <c r="P484" s="422"/>
      <c r="Q484" s="387"/>
    </row>
    <row r="485" ht="21.75" customHeight="1">
      <c r="B485" s="387"/>
      <c r="C485" s="413"/>
      <c r="D485" s="414"/>
      <c r="E485" s="414"/>
      <c r="F485" s="415"/>
      <c r="G485" s="423"/>
      <c r="H485" s="424"/>
      <c r="I485" s="416"/>
      <c r="J485" s="417"/>
      <c r="K485" s="418"/>
      <c r="L485" s="419"/>
      <c r="M485" s="420"/>
      <c r="N485" s="421"/>
      <c r="O485" s="421"/>
      <c r="P485" s="422"/>
      <c r="Q485" s="387"/>
    </row>
    <row r="486" ht="21.75" customHeight="1">
      <c r="B486" s="387"/>
      <c r="C486" s="413"/>
      <c r="D486" s="414"/>
      <c r="E486" s="414"/>
      <c r="F486" s="415"/>
      <c r="G486" s="423"/>
      <c r="H486" s="424"/>
      <c r="I486" s="416"/>
      <c r="J486" s="417"/>
      <c r="K486" s="418"/>
      <c r="L486" s="419"/>
      <c r="M486" s="420"/>
      <c r="N486" s="421"/>
      <c r="O486" s="421"/>
      <c r="P486" s="422"/>
      <c r="Q486" s="387"/>
    </row>
    <row r="487" ht="21.75" customHeight="1">
      <c r="B487" s="387"/>
      <c r="C487" s="413"/>
      <c r="D487" s="414"/>
      <c r="E487" s="414"/>
      <c r="F487" s="415"/>
      <c r="G487" s="423"/>
      <c r="H487" s="424"/>
      <c r="I487" s="416"/>
      <c r="J487" s="417"/>
      <c r="K487" s="418"/>
      <c r="L487" s="419"/>
      <c r="M487" s="420"/>
      <c r="N487" s="421"/>
      <c r="O487" s="421"/>
      <c r="P487" s="422"/>
      <c r="Q487" s="387"/>
    </row>
    <row r="488" ht="21.75" customHeight="1">
      <c r="B488" s="387"/>
      <c r="C488" s="413"/>
      <c r="D488" s="414"/>
      <c r="E488" s="414"/>
      <c r="F488" s="415"/>
      <c r="G488" s="423"/>
      <c r="H488" s="424"/>
      <c r="I488" s="416"/>
      <c r="J488" s="417"/>
      <c r="K488" s="418"/>
      <c r="L488" s="419"/>
      <c r="M488" s="420"/>
      <c r="N488" s="421"/>
      <c r="O488" s="421"/>
      <c r="P488" s="422"/>
      <c r="Q488" s="387"/>
    </row>
    <row r="489" ht="21.75" customHeight="1">
      <c r="B489" s="387"/>
      <c r="C489" s="413"/>
      <c r="D489" s="414"/>
      <c r="E489" s="414"/>
      <c r="F489" s="415"/>
      <c r="G489" s="423"/>
      <c r="H489" s="424"/>
      <c r="I489" s="416"/>
      <c r="J489" s="417"/>
      <c r="K489" s="418"/>
      <c r="L489" s="419"/>
      <c r="M489" s="420"/>
      <c r="N489" s="421"/>
      <c r="O489" s="421"/>
      <c r="P489" s="422"/>
      <c r="Q489" s="387"/>
    </row>
    <row r="490" ht="21.75" customHeight="1">
      <c r="B490" s="387"/>
      <c r="C490" s="413"/>
      <c r="D490" s="414"/>
      <c r="E490" s="414"/>
      <c r="F490" s="415"/>
      <c r="G490" s="423"/>
      <c r="H490" s="424"/>
      <c r="I490" s="416"/>
      <c r="J490" s="417"/>
      <c r="K490" s="418"/>
      <c r="L490" s="419"/>
      <c r="M490" s="420"/>
      <c r="N490" s="421"/>
      <c r="O490" s="421"/>
      <c r="P490" s="422"/>
      <c r="Q490" s="387"/>
    </row>
    <row r="491" ht="21.75" customHeight="1">
      <c r="B491" s="387"/>
      <c r="C491" s="413"/>
      <c r="D491" s="414"/>
      <c r="E491" s="414"/>
      <c r="F491" s="415"/>
      <c r="G491" s="423"/>
      <c r="H491" s="424"/>
      <c r="I491" s="416"/>
      <c r="J491" s="417"/>
      <c r="K491" s="418"/>
      <c r="L491" s="419"/>
      <c r="M491" s="420"/>
      <c r="N491" s="421"/>
      <c r="O491" s="421"/>
      <c r="P491" s="422"/>
      <c r="Q491" s="387"/>
    </row>
    <row r="492" ht="21.75" customHeight="1">
      <c r="B492" s="387"/>
      <c r="C492" s="413"/>
      <c r="D492" s="414"/>
      <c r="E492" s="414"/>
      <c r="F492" s="415"/>
      <c r="G492" s="423"/>
      <c r="H492" s="424"/>
      <c r="I492" s="416"/>
      <c r="J492" s="417"/>
      <c r="K492" s="418"/>
      <c r="L492" s="419"/>
      <c r="M492" s="420"/>
      <c r="N492" s="421"/>
      <c r="O492" s="421"/>
      <c r="P492" s="422"/>
      <c r="Q492" s="387"/>
    </row>
    <row r="493" ht="21.75" customHeight="1">
      <c r="B493" s="387"/>
      <c r="C493" s="413"/>
      <c r="D493" s="414"/>
      <c r="E493" s="414"/>
      <c r="F493" s="415"/>
      <c r="G493" s="423"/>
      <c r="H493" s="424"/>
      <c r="I493" s="416"/>
      <c r="J493" s="417"/>
      <c r="K493" s="418"/>
      <c r="L493" s="419"/>
      <c r="M493" s="420"/>
      <c r="N493" s="421"/>
      <c r="O493" s="421"/>
      <c r="P493" s="422"/>
      <c r="Q493" s="387"/>
    </row>
    <row r="494" ht="21.75" customHeight="1">
      <c r="B494" s="387"/>
      <c r="C494" s="413"/>
      <c r="D494" s="414"/>
      <c r="E494" s="414"/>
      <c r="F494" s="415"/>
      <c r="G494" s="423"/>
      <c r="H494" s="424"/>
      <c r="I494" s="416"/>
      <c r="J494" s="417"/>
      <c r="K494" s="418"/>
      <c r="L494" s="419"/>
      <c r="M494" s="420"/>
      <c r="N494" s="421"/>
      <c r="O494" s="421"/>
      <c r="P494" s="422"/>
      <c r="Q494" s="387"/>
    </row>
    <row r="495" ht="21.75" customHeight="1">
      <c r="B495" s="387"/>
      <c r="C495" s="413"/>
      <c r="D495" s="414"/>
      <c r="E495" s="414"/>
      <c r="F495" s="415"/>
      <c r="G495" s="423"/>
      <c r="H495" s="424"/>
      <c r="I495" s="416"/>
      <c r="J495" s="417"/>
      <c r="K495" s="418"/>
      <c r="L495" s="419"/>
      <c r="M495" s="420"/>
      <c r="N495" s="421"/>
      <c r="O495" s="421"/>
      <c r="P495" s="422"/>
      <c r="Q495" s="387"/>
    </row>
    <row r="496" ht="21.75" customHeight="1">
      <c r="B496" s="387"/>
      <c r="C496" s="413"/>
      <c r="D496" s="414"/>
      <c r="E496" s="414"/>
      <c r="F496" s="415"/>
      <c r="G496" s="423"/>
      <c r="H496" s="424"/>
      <c r="I496" s="416"/>
      <c r="J496" s="417"/>
      <c r="K496" s="418"/>
      <c r="L496" s="419"/>
      <c r="M496" s="420"/>
      <c r="N496" s="421"/>
      <c r="O496" s="421"/>
      <c r="P496" s="422"/>
      <c r="Q496" s="387"/>
    </row>
    <row r="497" ht="21.75" customHeight="1">
      <c r="B497" s="387"/>
      <c r="C497" s="413"/>
      <c r="D497" s="414"/>
      <c r="E497" s="414"/>
      <c r="F497" s="415"/>
      <c r="G497" s="423"/>
      <c r="H497" s="424"/>
      <c r="I497" s="416"/>
      <c r="J497" s="417"/>
      <c r="K497" s="418"/>
      <c r="L497" s="419"/>
      <c r="M497" s="420"/>
      <c r="N497" s="421"/>
      <c r="O497" s="421"/>
      <c r="P497" s="422"/>
      <c r="Q497" s="387"/>
    </row>
    <row r="498" ht="21.75" customHeight="1">
      <c r="B498" s="387"/>
      <c r="C498" s="413"/>
      <c r="D498" s="414"/>
      <c r="E498" s="414"/>
      <c r="F498" s="415"/>
      <c r="G498" s="423"/>
      <c r="H498" s="424"/>
      <c r="I498" s="416"/>
      <c r="J498" s="417"/>
      <c r="K498" s="418"/>
      <c r="L498" s="419"/>
      <c r="M498" s="420"/>
      <c r="N498" s="421"/>
      <c r="O498" s="421"/>
      <c r="P498" s="422"/>
      <c r="Q498" s="387"/>
    </row>
    <row r="499" ht="21.75" customHeight="1">
      <c r="B499" s="387"/>
      <c r="C499" s="413"/>
      <c r="D499" s="414"/>
      <c r="E499" s="414"/>
      <c r="F499" s="415"/>
      <c r="G499" s="423"/>
      <c r="H499" s="424"/>
      <c r="I499" s="416"/>
      <c r="J499" s="417"/>
      <c r="K499" s="418"/>
      <c r="L499" s="419"/>
      <c r="M499" s="420"/>
      <c r="N499" s="421"/>
      <c r="O499" s="421"/>
      <c r="P499" s="422"/>
      <c r="Q499" s="387"/>
    </row>
    <row r="500" ht="21.75" customHeight="1">
      <c r="B500" s="387"/>
      <c r="C500" s="413"/>
      <c r="D500" s="414"/>
      <c r="E500" s="414"/>
      <c r="F500" s="415"/>
      <c r="G500" s="423"/>
      <c r="H500" s="424"/>
      <c r="I500" s="416"/>
      <c r="J500" s="417"/>
      <c r="K500" s="418"/>
      <c r="L500" s="419"/>
      <c r="M500" s="420"/>
      <c r="N500" s="421"/>
      <c r="O500" s="421"/>
      <c r="P500" s="422"/>
      <c r="Q500" s="387"/>
    </row>
    <row r="501" ht="21.75" customHeight="1">
      <c r="B501" s="387"/>
      <c r="C501" s="413"/>
      <c r="D501" s="414"/>
      <c r="E501" s="414"/>
      <c r="F501" s="415"/>
      <c r="G501" s="423"/>
      <c r="H501" s="424"/>
      <c r="I501" s="416"/>
      <c r="J501" s="417"/>
      <c r="K501" s="418"/>
      <c r="L501" s="419"/>
      <c r="M501" s="420"/>
      <c r="N501" s="421"/>
      <c r="O501" s="421"/>
      <c r="P501" s="422"/>
      <c r="Q501" s="387"/>
    </row>
    <row r="502" ht="21.75" customHeight="1">
      <c r="B502" s="387"/>
      <c r="C502" s="413"/>
      <c r="D502" s="414"/>
      <c r="E502" s="414"/>
      <c r="F502" s="415"/>
      <c r="G502" s="423"/>
      <c r="H502" s="424"/>
      <c r="I502" s="416"/>
      <c r="J502" s="417"/>
      <c r="K502" s="418"/>
      <c r="L502" s="419"/>
      <c r="M502" s="420"/>
      <c r="N502" s="421"/>
      <c r="O502" s="421"/>
      <c r="P502" s="422"/>
      <c r="Q502" s="387"/>
    </row>
    <row r="503" ht="21.75" customHeight="1">
      <c r="B503" s="387"/>
      <c r="C503" s="413"/>
      <c r="D503" s="414"/>
      <c r="E503" s="414"/>
      <c r="F503" s="415"/>
      <c r="G503" s="423"/>
      <c r="H503" s="424"/>
      <c r="I503" s="416"/>
      <c r="J503" s="417"/>
      <c r="K503" s="418"/>
      <c r="L503" s="419"/>
      <c r="M503" s="420"/>
      <c r="N503" s="421"/>
      <c r="O503" s="421"/>
      <c r="P503" s="422"/>
      <c r="Q503" s="387"/>
    </row>
    <row r="504" ht="21.75" customHeight="1">
      <c r="B504" s="387"/>
      <c r="C504" s="413"/>
      <c r="D504" s="414"/>
      <c r="E504" s="414"/>
      <c r="F504" s="415"/>
      <c r="G504" s="423"/>
      <c r="H504" s="424"/>
      <c r="I504" s="416"/>
      <c r="J504" s="417"/>
      <c r="K504" s="418"/>
      <c r="L504" s="419"/>
      <c r="M504" s="420"/>
      <c r="N504" s="421"/>
      <c r="O504" s="421"/>
      <c r="P504" s="422"/>
      <c r="Q504" s="387"/>
    </row>
    <row r="505" ht="21.75" customHeight="1">
      <c r="B505" s="387"/>
      <c r="C505" s="413"/>
      <c r="D505" s="414"/>
      <c r="E505" s="414"/>
      <c r="F505" s="415"/>
      <c r="G505" s="423"/>
      <c r="H505" s="424"/>
      <c r="I505" s="416"/>
      <c r="J505" s="417"/>
      <c r="K505" s="418"/>
      <c r="L505" s="419"/>
      <c r="M505" s="420"/>
      <c r="N505" s="421"/>
      <c r="O505" s="421"/>
      <c r="P505" s="422"/>
      <c r="Q505" s="387"/>
    </row>
    <row r="506" ht="21.75" customHeight="1">
      <c r="B506" s="387"/>
      <c r="C506" s="413"/>
      <c r="D506" s="414"/>
      <c r="E506" s="414"/>
      <c r="F506" s="415"/>
      <c r="G506" s="423"/>
      <c r="H506" s="424"/>
      <c r="I506" s="416"/>
      <c r="J506" s="417"/>
      <c r="K506" s="418"/>
      <c r="L506" s="419"/>
      <c r="M506" s="420"/>
      <c r="N506" s="421"/>
      <c r="O506" s="421"/>
      <c r="P506" s="422"/>
      <c r="Q506" s="387"/>
    </row>
    <row r="507" ht="21.75" customHeight="1">
      <c r="B507" s="387"/>
      <c r="C507" s="413"/>
      <c r="D507" s="414"/>
      <c r="E507" s="414"/>
      <c r="F507" s="415"/>
      <c r="G507" s="423"/>
      <c r="H507" s="424"/>
      <c r="I507" s="416"/>
      <c r="J507" s="417"/>
      <c r="K507" s="418"/>
      <c r="L507" s="419"/>
      <c r="M507" s="420"/>
      <c r="N507" s="421"/>
      <c r="O507" s="421"/>
      <c r="P507" s="422"/>
      <c r="Q507" s="387"/>
    </row>
    <row r="508" ht="21.75" customHeight="1">
      <c r="B508" s="387"/>
      <c r="C508" s="413"/>
      <c r="D508" s="414"/>
      <c r="E508" s="414"/>
      <c r="F508" s="415"/>
      <c r="G508" s="423"/>
      <c r="H508" s="424"/>
      <c r="I508" s="416"/>
      <c r="J508" s="417"/>
      <c r="K508" s="418"/>
      <c r="L508" s="419"/>
      <c r="M508" s="420"/>
      <c r="N508" s="421"/>
      <c r="O508" s="421"/>
      <c r="P508" s="422"/>
      <c r="Q508" s="387"/>
    </row>
    <row r="509" ht="21.75" customHeight="1">
      <c r="B509" s="387"/>
      <c r="C509" s="413"/>
      <c r="D509" s="414"/>
      <c r="E509" s="414"/>
      <c r="F509" s="415"/>
      <c r="G509" s="423"/>
      <c r="H509" s="424"/>
      <c r="I509" s="416"/>
      <c r="J509" s="417"/>
      <c r="K509" s="418"/>
      <c r="L509" s="419"/>
      <c r="M509" s="420"/>
      <c r="N509" s="421"/>
      <c r="O509" s="421"/>
      <c r="P509" s="422"/>
      <c r="Q509" s="387"/>
    </row>
    <row r="510" ht="21.75" customHeight="1">
      <c r="B510" s="387"/>
      <c r="C510" s="413"/>
      <c r="D510" s="414"/>
      <c r="E510" s="414"/>
      <c r="F510" s="415"/>
      <c r="G510" s="423"/>
      <c r="H510" s="424"/>
      <c r="I510" s="416"/>
      <c r="J510" s="417"/>
      <c r="K510" s="418"/>
      <c r="L510" s="419"/>
      <c r="M510" s="420"/>
      <c r="N510" s="421"/>
      <c r="O510" s="421"/>
      <c r="P510" s="422"/>
      <c r="Q510" s="387"/>
    </row>
    <row r="511" ht="21.75" customHeight="1">
      <c r="B511" s="387"/>
      <c r="C511" s="413"/>
      <c r="D511" s="414"/>
      <c r="E511" s="414"/>
      <c r="F511" s="415"/>
      <c r="G511" s="423"/>
      <c r="H511" s="424"/>
      <c r="I511" s="416"/>
      <c r="J511" s="417"/>
      <c r="K511" s="418"/>
      <c r="L511" s="419"/>
      <c r="M511" s="420"/>
      <c r="N511" s="421"/>
      <c r="O511" s="421"/>
      <c r="P511" s="422"/>
      <c r="Q511" s="387"/>
    </row>
    <row r="512" ht="21.75" customHeight="1">
      <c r="B512" s="387"/>
      <c r="C512" s="413"/>
      <c r="D512" s="414"/>
      <c r="E512" s="414"/>
      <c r="F512" s="415"/>
      <c r="G512" s="423"/>
      <c r="H512" s="424"/>
      <c r="I512" s="416"/>
      <c r="J512" s="417"/>
      <c r="K512" s="418"/>
      <c r="L512" s="419"/>
      <c r="M512" s="420"/>
      <c r="N512" s="421"/>
      <c r="O512" s="421"/>
      <c r="P512" s="422"/>
      <c r="Q512" s="387"/>
    </row>
    <row r="513" ht="21.75" customHeight="1">
      <c r="B513" s="387"/>
      <c r="C513" s="413"/>
      <c r="D513" s="414"/>
      <c r="E513" s="414"/>
      <c r="F513" s="415"/>
      <c r="G513" s="423"/>
      <c r="H513" s="424"/>
      <c r="I513" s="416"/>
      <c r="J513" s="417"/>
      <c r="K513" s="418"/>
      <c r="L513" s="419"/>
      <c r="M513" s="420"/>
      <c r="N513" s="421"/>
      <c r="O513" s="421"/>
      <c r="P513" s="422"/>
      <c r="Q513" s="387"/>
    </row>
    <row r="514" ht="21.75" customHeight="1">
      <c r="B514" s="387"/>
      <c r="C514" s="413"/>
      <c r="D514" s="414"/>
      <c r="E514" s="414"/>
      <c r="F514" s="415"/>
      <c r="G514" s="423"/>
      <c r="H514" s="424"/>
      <c r="I514" s="416"/>
      <c r="J514" s="417"/>
      <c r="K514" s="418"/>
      <c r="L514" s="419"/>
      <c r="M514" s="420"/>
      <c r="N514" s="421"/>
      <c r="O514" s="421"/>
      <c r="P514" s="422"/>
      <c r="Q514" s="387"/>
    </row>
    <row r="515" ht="21.75" customHeight="1">
      <c r="B515" s="387"/>
      <c r="C515" s="413"/>
      <c r="D515" s="414"/>
      <c r="E515" s="414"/>
      <c r="F515" s="415"/>
      <c r="G515" s="423"/>
      <c r="H515" s="424"/>
      <c r="I515" s="416"/>
      <c r="J515" s="417"/>
      <c r="K515" s="418"/>
      <c r="L515" s="419"/>
      <c r="M515" s="420"/>
      <c r="N515" s="421"/>
      <c r="O515" s="421"/>
      <c r="P515" s="422"/>
      <c r="Q515" s="387"/>
    </row>
    <row r="516" ht="21.75" customHeight="1">
      <c r="B516" s="387"/>
      <c r="C516" s="413"/>
      <c r="D516" s="414"/>
      <c r="E516" s="414"/>
      <c r="F516" s="415"/>
      <c r="G516" s="423"/>
      <c r="H516" s="424"/>
      <c r="I516" s="416"/>
      <c r="J516" s="417"/>
      <c r="K516" s="418"/>
      <c r="L516" s="419"/>
      <c r="M516" s="420"/>
      <c r="N516" s="421"/>
      <c r="O516" s="421"/>
      <c r="P516" s="422"/>
      <c r="Q516" s="387"/>
    </row>
    <row r="517" ht="21.75" customHeight="1">
      <c r="B517" s="387"/>
      <c r="C517" s="413"/>
      <c r="D517" s="414"/>
      <c r="E517" s="414"/>
      <c r="F517" s="415"/>
      <c r="G517" s="423"/>
      <c r="H517" s="424"/>
      <c r="I517" s="416"/>
      <c r="J517" s="417"/>
      <c r="K517" s="418"/>
      <c r="L517" s="419"/>
      <c r="M517" s="420"/>
      <c r="N517" s="421"/>
      <c r="O517" s="421"/>
      <c r="P517" s="422"/>
      <c r="Q517" s="387"/>
    </row>
    <row r="518" ht="21.75" customHeight="1">
      <c r="B518" s="387"/>
      <c r="C518" s="413"/>
      <c r="D518" s="414"/>
      <c r="E518" s="414"/>
      <c r="F518" s="415"/>
      <c r="G518" s="423"/>
      <c r="H518" s="424"/>
      <c r="I518" s="416"/>
      <c r="J518" s="417"/>
      <c r="K518" s="418"/>
      <c r="L518" s="419"/>
      <c r="M518" s="420"/>
      <c r="N518" s="421"/>
      <c r="O518" s="421"/>
      <c r="P518" s="422"/>
      <c r="Q518" s="387"/>
    </row>
    <row r="519" ht="21.75" customHeight="1">
      <c r="B519" s="387"/>
      <c r="C519" s="413"/>
      <c r="D519" s="414"/>
      <c r="E519" s="414"/>
      <c r="F519" s="415"/>
      <c r="G519" s="423"/>
      <c r="H519" s="424"/>
      <c r="I519" s="416"/>
      <c r="J519" s="417"/>
      <c r="K519" s="418"/>
      <c r="L519" s="419"/>
      <c r="M519" s="420"/>
      <c r="N519" s="421"/>
      <c r="O519" s="421"/>
      <c r="P519" s="422"/>
      <c r="Q519" s="387"/>
    </row>
    <row r="520" ht="21.75" customHeight="1">
      <c r="B520" s="387"/>
      <c r="C520" s="413"/>
      <c r="D520" s="414"/>
      <c r="E520" s="414"/>
      <c r="F520" s="415"/>
      <c r="G520" s="423"/>
      <c r="H520" s="424"/>
      <c r="I520" s="416"/>
      <c r="J520" s="417"/>
      <c r="K520" s="418"/>
      <c r="L520" s="419"/>
      <c r="M520" s="420"/>
      <c r="N520" s="421"/>
      <c r="O520" s="421"/>
      <c r="P520" s="422"/>
      <c r="Q520" s="387"/>
    </row>
    <row r="521" ht="21.75" customHeight="1">
      <c r="B521" s="387"/>
      <c r="C521" s="413"/>
      <c r="D521" s="414"/>
      <c r="E521" s="414"/>
      <c r="F521" s="415"/>
      <c r="G521" s="423"/>
      <c r="H521" s="424"/>
      <c r="I521" s="416"/>
      <c r="J521" s="417"/>
      <c r="K521" s="418"/>
      <c r="L521" s="419"/>
      <c r="M521" s="420"/>
      <c r="N521" s="421"/>
      <c r="O521" s="421"/>
      <c r="P521" s="422"/>
      <c r="Q521" s="387"/>
    </row>
    <row r="522" ht="21.75" customHeight="1">
      <c r="B522" s="387"/>
      <c r="C522" s="413"/>
      <c r="D522" s="414"/>
      <c r="E522" s="414"/>
      <c r="F522" s="415"/>
      <c r="G522" s="423"/>
      <c r="H522" s="424"/>
      <c r="I522" s="416"/>
      <c r="J522" s="417"/>
      <c r="K522" s="418"/>
      <c r="L522" s="419"/>
      <c r="M522" s="420"/>
      <c r="N522" s="421"/>
      <c r="O522" s="421"/>
      <c r="P522" s="422"/>
      <c r="Q522" s="387"/>
    </row>
    <row r="523" ht="21.75" customHeight="1">
      <c r="B523" s="387"/>
      <c r="C523" s="413"/>
      <c r="D523" s="414"/>
      <c r="E523" s="414"/>
      <c r="F523" s="415"/>
      <c r="G523" s="423"/>
      <c r="H523" s="424"/>
      <c r="I523" s="416"/>
      <c r="J523" s="417"/>
      <c r="K523" s="418"/>
      <c r="L523" s="419"/>
      <c r="M523" s="420"/>
      <c r="N523" s="421"/>
      <c r="O523" s="421"/>
      <c r="P523" s="422"/>
      <c r="Q523" s="387"/>
    </row>
    <row r="524" ht="21.75" customHeight="1">
      <c r="B524" s="387"/>
      <c r="C524" s="413"/>
      <c r="D524" s="414"/>
      <c r="E524" s="414"/>
      <c r="F524" s="415"/>
      <c r="G524" s="423"/>
      <c r="H524" s="424"/>
      <c r="I524" s="416"/>
      <c r="J524" s="417"/>
      <c r="K524" s="418"/>
      <c r="L524" s="419"/>
      <c r="M524" s="420"/>
      <c r="N524" s="421"/>
      <c r="O524" s="421"/>
      <c r="P524" s="422"/>
      <c r="Q524" s="387"/>
    </row>
    <row r="525" ht="21.75" customHeight="1">
      <c r="B525" s="387"/>
      <c r="C525" s="413"/>
      <c r="D525" s="414"/>
      <c r="E525" s="414"/>
      <c r="F525" s="415"/>
      <c r="G525" s="423"/>
      <c r="H525" s="424"/>
      <c r="I525" s="416"/>
      <c r="J525" s="417"/>
      <c r="K525" s="418"/>
      <c r="L525" s="419"/>
      <c r="M525" s="420"/>
      <c r="N525" s="421"/>
      <c r="O525" s="421"/>
      <c r="P525" s="422"/>
      <c r="Q525" s="387"/>
    </row>
    <row r="526" ht="21.75" customHeight="1">
      <c r="B526" s="387"/>
      <c r="C526" s="413"/>
      <c r="D526" s="414"/>
      <c r="E526" s="414"/>
      <c r="F526" s="415"/>
      <c r="G526" s="423"/>
      <c r="H526" s="424"/>
      <c r="I526" s="416"/>
      <c r="J526" s="417"/>
      <c r="K526" s="418"/>
      <c r="L526" s="419"/>
      <c r="M526" s="420"/>
      <c r="N526" s="421"/>
      <c r="O526" s="421"/>
      <c r="P526" s="422"/>
      <c r="Q526" s="387"/>
    </row>
    <row r="527" ht="21.75" customHeight="1">
      <c r="B527" s="387"/>
      <c r="C527" s="413"/>
      <c r="D527" s="414"/>
      <c r="E527" s="414"/>
      <c r="F527" s="415"/>
      <c r="G527" s="423"/>
      <c r="H527" s="424"/>
      <c r="I527" s="416"/>
      <c r="J527" s="417"/>
      <c r="K527" s="418"/>
      <c r="L527" s="419"/>
      <c r="M527" s="420"/>
      <c r="N527" s="421"/>
      <c r="O527" s="421"/>
      <c r="P527" s="422"/>
      <c r="Q527" s="387"/>
    </row>
    <row r="528" ht="21.75" customHeight="1">
      <c r="B528" s="387"/>
      <c r="C528" s="413"/>
      <c r="D528" s="414"/>
      <c r="E528" s="414"/>
      <c r="F528" s="415"/>
      <c r="G528" s="423"/>
      <c r="H528" s="424"/>
      <c r="I528" s="416"/>
      <c r="J528" s="417"/>
      <c r="K528" s="418"/>
      <c r="L528" s="419"/>
      <c r="M528" s="420"/>
      <c r="N528" s="421"/>
      <c r="O528" s="421"/>
      <c r="P528" s="422"/>
      <c r="Q528" s="387"/>
    </row>
    <row r="529" ht="21.75" customHeight="1">
      <c r="B529" s="387"/>
      <c r="C529" s="413"/>
      <c r="D529" s="414"/>
      <c r="E529" s="414"/>
      <c r="F529" s="415"/>
      <c r="G529" s="423"/>
      <c r="H529" s="424"/>
      <c r="I529" s="416"/>
      <c r="J529" s="417"/>
      <c r="K529" s="418"/>
      <c r="L529" s="419"/>
      <c r="M529" s="420"/>
      <c r="N529" s="421"/>
      <c r="O529" s="421"/>
      <c r="P529" s="422"/>
      <c r="Q529" s="387"/>
    </row>
    <row r="530" ht="21.75" customHeight="1">
      <c r="B530" s="387"/>
      <c r="C530" s="413"/>
      <c r="D530" s="414"/>
      <c r="E530" s="414"/>
      <c r="F530" s="415"/>
      <c r="G530" s="423"/>
      <c r="H530" s="424"/>
      <c r="I530" s="416"/>
      <c r="J530" s="417"/>
      <c r="K530" s="418"/>
      <c r="L530" s="419"/>
      <c r="M530" s="420"/>
      <c r="N530" s="421"/>
      <c r="O530" s="421"/>
      <c r="P530" s="422"/>
      <c r="Q530" s="387"/>
    </row>
    <row r="531" ht="21.75" customHeight="1">
      <c r="B531" s="387"/>
      <c r="C531" s="413"/>
      <c r="D531" s="414"/>
      <c r="E531" s="414"/>
      <c r="F531" s="415"/>
      <c r="G531" s="423"/>
      <c r="H531" s="424"/>
      <c r="I531" s="416"/>
      <c r="J531" s="417"/>
      <c r="K531" s="418"/>
      <c r="L531" s="419"/>
      <c r="M531" s="420"/>
      <c r="N531" s="421"/>
      <c r="O531" s="421"/>
      <c r="P531" s="422"/>
      <c r="Q531" s="387"/>
    </row>
    <row r="532" ht="21.75" customHeight="1">
      <c r="B532" s="387"/>
      <c r="C532" s="413"/>
      <c r="D532" s="414"/>
      <c r="E532" s="414"/>
      <c r="F532" s="415"/>
      <c r="G532" s="423"/>
      <c r="H532" s="424"/>
      <c r="I532" s="416"/>
      <c r="J532" s="417"/>
      <c r="K532" s="418"/>
      <c r="L532" s="419"/>
      <c r="M532" s="420"/>
      <c r="N532" s="421"/>
      <c r="O532" s="421"/>
      <c r="P532" s="422"/>
      <c r="Q532" s="387"/>
    </row>
    <row r="533" ht="21.75" customHeight="1">
      <c r="B533" s="387"/>
      <c r="C533" s="413"/>
      <c r="D533" s="414"/>
      <c r="E533" s="414"/>
      <c r="F533" s="415"/>
      <c r="G533" s="423"/>
      <c r="H533" s="424"/>
      <c r="I533" s="416"/>
      <c r="J533" s="417"/>
      <c r="K533" s="418"/>
      <c r="L533" s="419"/>
      <c r="M533" s="420"/>
      <c r="N533" s="421"/>
      <c r="O533" s="421"/>
      <c r="P533" s="422"/>
      <c r="Q533" s="387"/>
    </row>
    <row r="534" ht="21.75" customHeight="1">
      <c r="B534" s="387"/>
      <c r="C534" s="413"/>
      <c r="D534" s="414"/>
      <c r="E534" s="414"/>
      <c r="F534" s="415"/>
      <c r="G534" s="423"/>
      <c r="H534" s="424"/>
      <c r="I534" s="416"/>
      <c r="J534" s="417"/>
      <c r="K534" s="418"/>
      <c r="L534" s="419"/>
      <c r="M534" s="420"/>
      <c r="N534" s="421"/>
      <c r="O534" s="421"/>
      <c r="P534" s="422"/>
      <c r="Q534" s="387"/>
    </row>
    <row r="535" ht="21.75" customHeight="1">
      <c r="B535" s="387"/>
      <c r="C535" s="413"/>
      <c r="D535" s="414"/>
      <c r="E535" s="414"/>
      <c r="F535" s="415"/>
      <c r="G535" s="423"/>
      <c r="H535" s="424"/>
      <c r="I535" s="416"/>
      <c r="J535" s="417"/>
      <c r="K535" s="418"/>
      <c r="L535" s="419"/>
      <c r="M535" s="420"/>
      <c r="N535" s="421"/>
      <c r="O535" s="421"/>
      <c r="P535" s="422"/>
      <c r="Q535" s="387"/>
    </row>
    <row r="536" ht="21.75" customHeight="1">
      <c r="B536" s="387"/>
      <c r="C536" s="413"/>
      <c r="D536" s="414"/>
      <c r="E536" s="414"/>
      <c r="F536" s="415"/>
      <c r="G536" s="423"/>
      <c r="H536" s="424"/>
      <c r="I536" s="416"/>
      <c r="J536" s="417"/>
      <c r="K536" s="418"/>
      <c r="L536" s="419"/>
      <c r="M536" s="420"/>
      <c r="N536" s="421"/>
      <c r="O536" s="421"/>
      <c r="P536" s="422"/>
      <c r="Q536" s="387"/>
    </row>
    <row r="537" ht="21.75" customHeight="1">
      <c r="B537" s="387"/>
      <c r="C537" s="413"/>
      <c r="D537" s="414"/>
      <c r="E537" s="414"/>
      <c r="F537" s="415"/>
      <c r="G537" s="423"/>
      <c r="H537" s="424"/>
      <c r="I537" s="416"/>
      <c r="J537" s="417"/>
      <c r="K537" s="418"/>
      <c r="L537" s="419"/>
      <c r="M537" s="420"/>
      <c r="N537" s="421"/>
      <c r="O537" s="421"/>
      <c r="P537" s="422"/>
      <c r="Q537" s="387"/>
    </row>
    <row r="538" ht="21.75" customHeight="1">
      <c r="B538" s="387"/>
      <c r="C538" s="413"/>
      <c r="D538" s="414"/>
      <c r="E538" s="414"/>
      <c r="F538" s="415"/>
      <c r="G538" s="423"/>
      <c r="H538" s="424"/>
      <c r="I538" s="416"/>
      <c r="J538" s="417"/>
      <c r="K538" s="418"/>
      <c r="L538" s="419"/>
      <c r="M538" s="420"/>
      <c r="N538" s="421"/>
      <c r="O538" s="421"/>
      <c r="P538" s="422"/>
      <c r="Q538" s="387"/>
    </row>
    <row r="539" ht="21.75" customHeight="1">
      <c r="B539" s="387"/>
      <c r="C539" s="413"/>
      <c r="D539" s="414"/>
      <c r="E539" s="414"/>
      <c r="F539" s="415"/>
      <c r="G539" s="423"/>
      <c r="H539" s="424"/>
      <c r="I539" s="416"/>
      <c r="J539" s="417"/>
      <c r="K539" s="418"/>
      <c r="L539" s="419"/>
      <c r="M539" s="420"/>
      <c r="N539" s="421"/>
      <c r="O539" s="421"/>
      <c r="P539" s="422"/>
      <c r="Q539" s="387"/>
    </row>
    <row r="540" ht="21.75" customHeight="1">
      <c r="B540" s="387"/>
      <c r="C540" s="413"/>
      <c r="D540" s="414"/>
      <c r="E540" s="414"/>
      <c r="F540" s="415"/>
      <c r="G540" s="423"/>
      <c r="H540" s="424"/>
      <c r="I540" s="416"/>
      <c r="J540" s="417"/>
      <c r="K540" s="418"/>
      <c r="L540" s="419"/>
      <c r="M540" s="420"/>
      <c r="N540" s="421"/>
      <c r="O540" s="421"/>
      <c r="P540" s="422"/>
      <c r="Q540" s="387"/>
    </row>
    <row r="541" ht="21.75" customHeight="1">
      <c r="B541" s="387"/>
      <c r="C541" s="413"/>
      <c r="D541" s="414"/>
      <c r="E541" s="414"/>
      <c r="F541" s="415"/>
      <c r="G541" s="423"/>
      <c r="H541" s="424"/>
      <c r="I541" s="416"/>
      <c r="J541" s="417"/>
      <c r="K541" s="418"/>
      <c r="L541" s="419"/>
      <c r="M541" s="420"/>
      <c r="N541" s="421"/>
      <c r="O541" s="421"/>
      <c r="P541" s="422"/>
      <c r="Q541" s="387"/>
    </row>
    <row r="542" ht="21.75" customHeight="1">
      <c r="B542" s="387"/>
      <c r="C542" s="413"/>
      <c r="D542" s="414"/>
      <c r="E542" s="414"/>
      <c r="F542" s="415"/>
      <c r="G542" s="423"/>
      <c r="H542" s="424"/>
      <c r="I542" s="416"/>
      <c r="J542" s="417"/>
      <c r="K542" s="418"/>
      <c r="L542" s="419"/>
      <c r="M542" s="420"/>
      <c r="N542" s="421"/>
      <c r="O542" s="421"/>
      <c r="P542" s="422"/>
      <c r="Q542" s="387"/>
    </row>
    <row r="543" ht="21.75" customHeight="1">
      <c r="B543" s="387"/>
      <c r="C543" s="413"/>
      <c r="D543" s="414"/>
      <c r="E543" s="414"/>
      <c r="F543" s="415"/>
      <c r="G543" s="423"/>
      <c r="H543" s="424"/>
      <c r="I543" s="416"/>
      <c r="J543" s="417"/>
      <c r="K543" s="418"/>
      <c r="L543" s="419"/>
      <c r="M543" s="420"/>
      <c r="N543" s="421"/>
      <c r="O543" s="421"/>
      <c r="P543" s="422"/>
      <c r="Q543" s="387"/>
    </row>
    <row r="544" ht="21.75" customHeight="1">
      <c r="B544" s="387"/>
      <c r="C544" s="413"/>
      <c r="D544" s="414"/>
      <c r="E544" s="414"/>
      <c r="F544" s="415"/>
      <c r="G544" s="423"/>
      <c r="H544" s="424"/>
      <c r="I544" s="416"/>
      <c r="J544" s="417"/>
      <c r="K544" s="418"/>
      <c r="L544" s="419"/>
      <c r="M544" s="420"/>
      <c r="N544" s="421"/>
      <c r="O544" s="421"/>
      <c r="P544" s="422"/>
      <c r="Q544" s="387"/>
    </row>
    <row r="545" ht="21.75" customHeight="1">
      <c r="B545" s="387"/>
      <c r="C545" s="413"/>
      <c r="D545" s="414"/>
      <c r="E545" s="414"/>
      <c r="F545" s="415"/>
      <c r="G545" s="423"/>
      <c r="H545" s="424"/>
      <c r="I545" s="416"/>
      <c r="J545" s="417"/>
      <c r="K545" s="418"/>
      <c r="L545" s="419"/>
      <c r="M545" s="420"/>
      <c r="N545" s="421"/>
      <c r="O545" s="421"/>
      <c r="P545" s="422"/>
      <c r="Q545" s="387"/>
    </row>
    <row r="546" ht="21.75" customHeight="1">
      <c r="B546" s="387"/>
      <c r="C546" s="413"/>
      <c r="D546" s="414"/>
      <c r="E546" s="414"/>
      <c r="F546" s="415"/>
      <c r="G546" s="423"/>
      <c r="H546" s="424"/>
      <c r="I546" s="416"/>
      <c r="J546" s="417"/>
      <c r="K546" s="418"/>
      <c r="L546" s="419"/>
      <c r="M546" s="420"/>
      <c r="N546" s="421"/>
      <c r="O546" s="421"/>
      <c r="P546" s="422"/>
      <c r="Q546" s="387"/>
    </row>
    <row r="547" ht="21.75" customHeight="1">
      <c r="B547" s="387"/>
      <c r="C547" s="413"/>
      <c r="D547" s="414"/>
      <c r="E547" s="414"/>
      <c r="F547" s="415"/>
      <c r="G547" s="423"/>
      <c r="H547" s="424"/>
      <c r="I547" s="416"/>
      <c r="J547" s="417"/>
      <c r="K547" s="418"/>
      <c r="L547" s="419"/>
      <c r="M547" s="420"/>
      <c r="N547" s="421"/>
      <c r="O547" s="421"/>
      <c r="P547" s="422"/>
      <c r="Q547" s="387"/>
    </row>
    <row r="548" ht="21.75" customHeight="1">
      <c r="B548" s="387"/>
      <c r="C548" s="413"/>
      <c r="D548" s="414"/>
      <c r="E548" s="414"/>
      <c r="F548" s="415"/>
      <c r="G548" s="423"/>
      <c r="H548" s="424"/>
      <c r="I548" s="416"/>
      <c r="J548" s="417"/>
      <c r="K548" s="418"/>
      <c r="L548" s="419"/>
      <c r="M548" s="420"/>
      <c r="N548" s="421"/>
      <c r="O548" s="421"/>
      <c r="P548" s="422"/>
      <c r="Q548" s="387"/>
    </row>
    <row r="549" ht="21.75" customHeight="1">
      <c r="B549" s="387"/>
      <c r="C549" s="413"/>
      <c r="D549" s="414"/>
      <c r="E549" s="414"/>
      <c r="F549" s="415"/>
      <c r="G549" s="423"/>
      <c r="H549" s="424"/>
      <c r="I549" s="416"/>
      <c r="J549" s="417"/>
      <c r="K549" s="418"/>
      <c r="L549" s="419"/>
      <c r="M549" s="420"/>
      <c r="N549" s="421"/>
      <c r="O549" s="421"/>
      <c r="P549" s="422"/>
      <c r="Q549" s="387"/>
    </row>
    <row r="550" ht="21.75" customHeight="1">
      <c r="B550" s="387"/>
      <c r="C550" s="413"/>
      <c r="D550" s="414"/>
      <c r="E550" s="414"/>
      <c r="F550" s="415"/>
      <c r="G550" s="423"/>
      <c r="H550" s="424"/>
      <c r="I550" s="416"/>
      <c r="J550" s="417"/>
      <c r="K550" s="418"/>
      <c r="L550" s="419"/>
      <c r="M550" s="420"/>
      <c r="N550" s="421"/>
      <c r="O550" s="421"/>
      <c r="P550" s="422"/>
      <c r="Q550" s="387"/>
    </row>
    <row r="551" ht="21.75" customHeight="1">
      <c r="B551" s="387"/>
      <c r="C551" s="413"/>
      <c r="D551" s="414"/>
      <c r="E551" s="414"/>
      <c r="F551" s="415"/>
      <c r="G551" s="423"/>
      <c r="H551" s="424"/>
      <c r="I551" s="416"/>
      <c r="J551" s="417"/>
      <c r="K551" s="418"/>
      <c r="L551" s="419"/>
      <c r="M551" s="420"/>
      <c r="N551" s="421"/>
      <c r="O551" s="421"/>
      <c r="P551" s="422"/>
      <c r="Q551" s="387"/>
    </row>
    <row r="552" ht="21.75" customHeight="1">
      <c r="B552" s="387"/>
      <c r="C552" s="413"/>
      <c r="D552" s="414"/>
      <c r="E552" s="414"/>
      <c r="F552" s="415"/>
      <c r="G552" s="423"/>
      <c r="H552" s="424"/>
      <c r="I552" s="416"/>
      <c r="J552" s="417"/>
      <c r="K552" s="418"/>
      <c r="L552" s="419"/>
      <c r="M552" s="420"/>
      <c r="N552" s="421"/>
      <c r="O552" s="421"/>
      <c r="P552" s="422"/>
      <c r="Q552" s="387"/>
    </row>
    <row r="553" ht="21.75" customHeight="1">
      <c r="B553" s="387"/>
      <c r="C553" s="413"/>
      <c r="D553" s="414"/>
      <c r="E553" s="414"/>
      <c r="F553" s="415"/>
      <c r="G553" s="423"/>
      <c r="H553" s="424"/>
      <c r="I553" s="416"/>
      <c r="J553" s="417"/>
      <c r="K553" s="418"/>
      <c r="L553" s="419"/>
      <c r="M553" s="420"/>
      <c r="N553" s="421"/>
      <c r="O553" s="421"/>
      <c r="P553" s="422"/>
      <c r="Q553" s="387"/>
    </row>
    <row r="554" ht="21.75" customHeight="1">
      <c r="B554" s="387"/>
      <c r="C554" s="413"/>
      <c r="D554" s="414"/>
      <c r="E554" s="414"/>
      <c r="F554" s="415"/>
      <c r="G554" s="423"/>
      <c r="H554" s="424"/>
      <c r="I554" s="416"/>
      <c r="J554" s="417"/>
      <c r="K554" s="418"/>
      <c r="L554" s="419"/>
      <c r="M554" s="420"/>
      <c r="N554" s="421"/>
      <c r="O554" s="421"/>
      <c r="P554" s="422"/>
      <c r="Q554" s="387"/>
    </row>
    <row r="555" ht="21.75" customHeight="1">
      <c r="B555" s="387"/>
      <c r="C555" s="413"/>
      <c r="D555" s="414"/>
      <c r="E555" s="414"/>
      <c r="F555" s="415"/>
      <c r="G555" s="423"/>
      <c r="H555" s="424"/>
      <c r="I555" s="416"/>
      <c r="J555" s="417"/>
      <c r="K555" s="418"/>
      <c r="L555" s="419"/>
      <c r="M555" s="420"/>
      <c r="N555" s="421"/>
      <c r="O555" s="421"/>
      <c r="P555" s="422"/>
      <c r="Q555" s="387"/>
    </row>
    <row r="556" ht="21.75" customHeight="1">
      <c r="B556" s="387"/>
      <c r="C556" s="413"/>
      <c r="D556" s="414"/>
      <c r="E556" s="414"/>
      <c r="F556" s="415"/>
      <c r="G556" s="423"/>
      <c r="H556" s="424"/>
      <c r="I556" s="416"/>
      <c r="J556" s="417"/>
      <c r="K556" s="418"/>
      <c r="L556" s="419"/>
      <c r="M556" s="420"/>
      <c r="N556" s="421"/>
      <c r="O556" s="421"/>
      <c r="P556" s="422"/>
      <c r="Q556" s="387"/>
    </row>
    <row r="557" ht="21.75" customHeight="1">
      <c r="B557" s="387"/>
      <c r="C557" s="413"/>
      <c r="D557" s="414"/>
      <c r="E557" s="414"/>
      <c r="F557" s="415"/>
      <c r="G557" s="423"/>
      <c r="H557" s="424"/>
      <c r="I557" s="416"/>
      <c r="J557" s="417"/>
      <c r="K557" s="418"/>
      <c r="L557" s="419"/>
      <c r="M557" s="420"/>
      <c r="N557" s="421"/>
      <c r="O557" s="421"/>
      <c r="P557" s="422"/>
      <c r="Q557" s="387"/>
    </row>
    <row r="558" ht="21.75" customHeight="1">
      <c r="B558" s="387"/>
      <c r="C558" s="413"/>
      <c r="D558" s="414"/>
      <c r="E558" s="414"/>
      <c r="F558" s="415"/>
      <c r="G558" s="423"/>
      <c r="H558" s="424"/>
      <c r="I558" s="416"/>
      <c r="J558" s="417"/>
      <c r="K558" s="418"/>
      <c r="L558" s="419"/>
      <c r="M558" s="420"/>
      <c r="N558" s="421"/>
      <c r="O558" s="421"/>
      <c r="P558" s="422"/>
      <c r="Q558" s="387"/>
    </row>
    <row r="559" ht="21.75" customHeight="1">
      <c r="B559" s="387"/>
      <c r="C559" s="413"/>
      <c r="D559" s="414"/>
      <c r="E559" s="414"/>
      <c r="F559" s="415"/>
      <c r="G559" s="423"/>
      <c r="H559" s="424"/>
      <c r="I559" s="416"/>
      <c r="J559" s="417"/>
      <c r="K559" s="418"/>
      <c r="L559" s="419"/>
      <c r="M559" s="420"/>
      <c r="N559" s="421"/>
      <c r="O559" s="421"/>
      <c r="P559" s="422"/>
      <c r="Q559" s="387"/>
    </row>
    <row r="560" ht="21.75" customHeight="1">
      <c r="B560" s="387"/>
      <c r="C560" s="413"/>
      <c r="D560" s="414"/>
      <c r="E560" s="414"/>
      <c r="F560" s="415"/>
      <c r="G560" s="423"/>
      <c r="H560" s="424"/>
      <c r="I560" s="416"/>
      <c r="J560" s="417"/>
      <c r="K560" s="418"/>
      <c r="L560" s="419"/>
      <c r="M560" s="420"/>
      <c r="N560" s="421"/>
      <c r="O560" s="421"/>
      <c r="P560" s="422"/>
      <c r="Q560" s="387"/>
    </row>
    <row r="561" ht="21.75" customHeight="1">
      <c r="B561" s="387"/>
      <c r="C561" s="413"/>
      <c r="D561" s="414"/>
      <c r="E561" s="414"/>
      <c r="F561" s="415"/>
      <c r="G561" s="423"/>
      <c r="H561" s="424"/>
      <c r="I561" s="416"/>
      <c r="J561" s="417"/>
      <c r="K561" s="418"/>
      <c r="L561" s="419"/>
      <c r="M561" s="420"/>
      <c r="N561" s="421"/>
      <c r="O561" s="421"/>
      <c r="P561" s="422"/>
      <c r="Q561" s="387"/>
    </row>
    <row r="562" ht="21.75" customHeight="1">
      <c r="B562" s="387"/>
      <c r="C562" s="413"/>
      <c r="D562" s="414"/>
      <c r="E562" s="414"/>
      <c r="F562" s="415"/>
      <c r="G562" s="423"/>
      <c r="H562" s="424"/>
      <c r="I562" s="416"/>
      <c r="J562" s="417"/>
      <c r="K562" s="418"/>
      <c r="L562" s="419"/>
      <c r="M562" s="420"/>
      <c r="N562" s="421"/>
      <c r="O562" s="421"/>
      <c r="P562" s="422"/>
      <c r="Q562" s="387"/>
    </row>
    <row r="563" ht="21.75" customHeight="1">
      <c r="B563" s="387"/>
      <c r="C563" s="413"/>
      <c r="D563" s="414"/>
      <c r="E563" s="414"/>
      <c r="F563" s="415"/>
      <c r="G563" s="423"/>
      <c r="H563" s="424"/>
      <c r="I563" s="416"/>
      <c r="J563" s="417"/>
      <c r="K563" s="418"/>
      <c r="L563" s="419"/>
      <c r="M563" s="420"/>
      <c r="N563" s="421"/>
      <c r="O563" s="421"/>
      <c r="P563" s="422"/>
      <c r="Q563" s="387"/>
    </row>
    <row r="564" ht="21.75" customHeight="1">
      <c r="B564" s="387"/>
      <c r="C564" s="413"/>
      <c r="D564" s="414"/>
      <c r="E564" s="414"/>
      <c r="F564" s="415"/>
      <c r="G564" s="423"/>
      <c r="H564" s="424"/>
      <c r="I564" s="416"/>
      <c r="J564" s="417"/>
      <c r="K564" s="418"/>
      <c r="L564" s="419"/>
      <c r="M564" s="420"/>
      <c r="N564" s="421"/>
      <c r="O564" s="421"/>
      <c r="P564" s="422"/>
      <c r="Q564" s="387"/>
    </row>
    <row r="565" ht="21.75" customHeight="1">
      <c r="B565" s="387"/>
      <c r="C565" s="413"/>
      <c r="D565" s="414"/>
      <c r="E565" s="414"/>
      <c r="F565" s="415"/>
      <c r="G565" s="423"/>
      <c r="H565" s="424"/>
      <c r="I565" s="416"/>
      <c r="J565" s="417"/>
      <c r="K565" s="418"/>
      <c r="L565" s="419"/>
      <c r="M565" s="420"/>
      <c r="N565" s="421"/>
      <c r="O565" s="421"/>
      <c r="P565" s="422"/>
      <c r="Q565" s="387"/>
    </row>
    <row r="566" ht="21.75" customHeight="1">
      <c r="B566" s="387"/>
      <c r="C566" s="413"/>
      <c r="D566" s="414"/>
      <c r="E566" s="414"/>
      <c r="F566" s="415"/>
      <c r="G566" s="423"/>
      <c r="H566" s="424"/>
      <c r="I566" s="416"/>
      <c r="J566" s="417"/>
      <c r="K566" s="418"/>
      <c r="L566" s="419"/>
      <c r="M566" s="420"/>
      <c r="N566" s="421"/>
      <c r="O566" s="421"/>
      <c r="P566" s="422"/>
      <c r="Q566" s="387"/>
    </row>
    <row r="567" ht="21.75" customHeight="1">
      <c r="B567" s="387"/>
      <c r="C567" s="413"/>
      <c r="D567" s="414"/>
      <c r="E567" s="414"/>
      <c r="F567" s="415"/>
      <c r="G567" s="423"/>
      <c r="H567" s="424"/>
      <c r="I567" s="416"/>
      <c r="J567" s="417"/>
      <c r="K567" s="418"/>
      <c r="L567" s="419"/>
      <c r="M567" s="420"/>
      <c r="N567" s="421"/>
      <c r="O567" s="421"/>
      <c r="P567" s="422"/>
      <c r="Q567" s="387"/>
    </row>
    <row r="568" ht="21.75" customHeight="1">
      <c r="B568" s="387"/>
      <c r="C568" s="413"/>
      <c r="D568" s="414"/>
      <c r="E568" s="414"/>
      <c r="F568" s="415"/>
      <c r="G568" s="423"/>
      <c r="H568" s="424"/>
      <c r="I568" s="416"/>
      <c r="J568" s="417"/>
      <c r="K568" s="418"/>
      <c r="L568" s="419"/>
      <c r="M568" s="420"/>
      <c r="N568" s="421"/>
      <c r="O568" s="421"/>
      <c r="P568" s="422"/>
      <c r="Q568" s="387"/>
    </row>
    <row r="569" ht="21.75" customHeight="1">
      <c r="B569" s="387"/>
      <c r="C569" s="413"/>
      <c r="D569" s="414"/>
      <c r="E569" s="414"/>
      <c r="F569" s="415"/>
      <c r="G569" s="423"/>
      <c r="H569" s="424"/>
      <c r="I569" s="416"/>
      <c r="J569" s="417"/>
      <c r="K569" s="418"/>
      <c r="L569" s="419"/>
      <c r="M569" s="420"/>
      <c r="N569" s="421"/>
      <c r="O569" s="421"/>
      <c r="P569" s="422"/>
      <c r="Q569" s="387"/>
    </row>
    <row r="570" ht="21.75" customHeight="1">
      <c r="B570" s="387"/>
      <c r="C570" s="413"/>
      <c r="D570" s="414"/>
      <c r="E570" s="414"/>
      <c r="F570" s="415"/>
      <c r="G570" s="423"/>
      <c r="H570" s="424"/>
      <c r="I570" s="416"/>
      <c r="J570" s="417"/>
      <c r="K570" s="418"/>
      <c r="L570" s="419"/>
      <c r="M570" s="420"/>
      <c r="N570" s="421"/>
      <c r="O570" s="421"/>
      <c r="P570" s="422"/>
      <c r="Q570" s="387"/>
    </row>
    <row r="571" ht="21.75" customHeight="1">
      <c r="B571" s="387"/>
      <c r="C571" s="413"/>
      <c r="D571" s="414"/>
      <c r="E571" s="414"/>
      <c r="F571" s="415"/>
      <c r="G571" s="423"/>
      <c r="H571" s="424"/>
      <c r="I571" s="416"/>
      <c r="J571" s="417"/>
      <c r="K571" s="418"/>
      <c r="L571" s="419"/>
      <c r="M571" s="420"/>
      <c r="N571" s="421"/>
      <c r="O571" s="421"/>
      <c r="P571" s="422"/>
      <c r="Q571" s="387"/>
    </row>
    <row r="572" ht="21.75" customHeight="1">
      <c r="B572" s="387"/>
      <c r="C572" s="413"/>
      <c r="D572" s="414"/>
      <c r="E572" s="414"/>
      <c r="F572" s="415"/>
      <c r="G572" s="423"/>
      <c r="H572" s="424"/>
      <c r="I572" s="416"/>
      <c r="J572" s="417"/>
      <c r="K572" s="418"/>
      <c r="L572" s="419"/>
      <c r="M572" s="420"/>
      <c r="N572" s="421"/>
      <c r="O572" s="421"/>
      <c r="P572" s="422"/>
      <c r="Q572" s="387"/>
    </row>
    <row r="573" ht="21.75" customHeight="1">
      <c r="B573" s="387"/>
      <c r="C573" s="413"/>
      <c r="D573" s="414"/>
      <c r="E573" s="414"/>
      <c r="F573" s="415"/>
      <c r="G573" s="423"/>
      <c r="H573" s="424"/>
      <c r="I573" s="416"/>
      <c r="J573" s="417"/>
      <c r="K573" s="418"/>
      <c r="L573" s="419"/>
      <c r="M573" s="420"/>
      <c r="N573" s="421"/>
      <c r="O573" s="421"/>
      <c r="P573" s="422"/>
      <c r="Q573" s="387"/>
    </row>
    <row r="574" ht="21.75" customHeight="1">
      <c r="B574" s="387"/>
      <c r="C574" s="413"/>
      <c r="D574" s="414"/>
      <c r="E574" s="414"/>
      <c r="F574" s="415"/>
      <c r="G574" s="423"/>
      <c r="H574" s="424"/>
      <c r="I574" s="416"/>
      <c r="J574" s="417"/>
      <c r="K574" s="418"/>
      <c r="L574" s="419"/>
      <c r="M574" s="420"/>
      <c r="N574" s="421"/>
      <c r="O574" s="421"/>
      <c r="P574" s="422"/>
      <c r="Q574" s="387"/>
    </row>
    <row r="575" ht="21.75" customHeight="1">
      <c r="B575" s="387"/>
      <c r="C575" s="413"/>
      <c r="D575" s="414"/>
      <c r="E575" s="414"/>
      <c r="F575" s="415"/>
      <c r="G575" s="423"/>
      <c r="H575" s="424"/>
      <c r="I575" s="416"/>
      <c r="J575" s="417"/>
      <c r="K575" s="418"/>
      <c r="L575" s="419"/>
      <c r="M575" s="420"/>
      <c r="N575" s="421"/>
      <c r="O575" s="421"/>
      <c r="P575" s="422"/>
      <c r="Q575" s="387"/>
    </row>
    <row r="576" ht="21.75" customHeight="1">
      <c r="B576" s="387"/>
      <c r="C576" s="413"/>
      <c r="D576" s="414"/>
      <c r="E576" s="414"/>
      <c r="F576" s="415"/>
      <c r="G576" s="423"/>
      <c r="H576" s="424"/>
      <c r="I576" s="416"/>
      <c r="J576" s="417"/>
      <c r="K576" s="418"/>
      <c r="L576" s="419"/>
      <c r="M576" s="420"/>
      <c r="N576" s="421"/>
      <c r="O576" s="421"/>
      <c r="P576" s="422"/>
      <c r="Q576" s="387"/>
    </row>
    <row r="577" ht="21.75" customHeight="1">
      <c r="B577" s="387"/>
      <c r="C577" s="413"/>
      <c r="D577" s="414"/>
      <c r="E577" s="414"/>
      <c r="F577" s="415"/>
      <c r="G577" s="423"/>
      <c r="H577" s="424"/>
      <c r="I577" s="416"/>
      <c r="J577" s="417"/>
      <c r="K577" s="418"/>
      <c r="L577" s="419"/>
      <c r="M577" s="420"/>
      <c r="N577" s="421"/>
      <c r="O577" s="421"/>
      <c r="P577" s="422"/>
      <c r="Q577" s="387"/>
    </row>
    <row r="578" ht="21.75" customHeight="1">
      <c r="B578" s="387"/>
      <c r="C578" s="413"/>
      <c r="D578" s="414"/>
      <c r="E578" s="414"/>
      <c r="F578" s="415"/>
      <c r="G578" s="423"/>
      <c r="H578" s="424"/>
      <c r="I578" s="416"/>
      <c r="J578" s="417"/>
      <c r="K578" s="418"/>
      <c r="L578" s="419"/>
      <c r="M578" s="420"/>
      <c r="N578" s="421"/>
      <c r="O578" s="421"/>
      <c r="P578" s="422"/>
      <c r="Q578" s="387"/>
    </row>
    <row r="579" ht="21.75" customHeight="1">
      <c r="B579" s="387"/>
      <c r="C579" s="413"/>
      <c r="D579" s="414"/>
      <c r="E579" s="414"/>
      <c r="F579" s="415"/>
      <c r="G579" s="423"/>
      <c r="H579" s="424"/>
      <c r="I579" s="416"/>
      <c r="J579" s="417"/>
      <c r="K579" s="418"/>
      <c r="L579" s="419"/>
      <c r="M579" s="420"/>
      <c r="N579" s="421"/>
      <c r="O579" s="421"/>
      <c r="P579" s="422"/>
      <c r="Q579" s="387"/>
    </row>
    <row r="580" ht="21.75" customHeight="1">
      <c r="B580" s="387"/>
      <c r="C580" s="413"/>
      <c r="D580" s="414"/>
      <c r="E580" s="414"/>
      <c r="F580" s="415"/>
      <c r="G580" s="423"/>
      <c r="H580" s="424"/>
      <c r="I580" s="416"/>
      <c r="J580" s="417"/>
      <c r="K580" s="418"/>
      <c r="L580" s="419"/>
      <c r="M580" s="420"/>
      <c r="N580" s="421"/>
      <c r="O580" s="421"/>
      <c r="P580" s="422"/>
      <c r="Q580" s="387"/>
    </row>
    <row r="581" ht="21.75" customHeight="1">
      <c r="B581" s="387"/>
      <c r="C581" s="413"/>
      <c r="D581" s="414"/>
      <c r="E581" s="414"/>
      <c r="F581" s="415"/>
      <c r="G581" s="423"/>
      <c r="H581" s="424"/>
      <c r="I581" s="416"/>
      <c r="J581" s="417"/>
      <c r="K581" s="418"/>
      <c r="L581" s="419"/>
      <c r="M581" s="420"/>
      <c r="N581" s="421"/>
      <c r="O581" s="421"/>
      <c r="P581" s="422"/>
      <c r="Q581" s="387"/>
    </row>
    <row r="582" ht="21.75" customHeight="1">
      <c r="B582" s="387"/>
      <c r="C582" s="413"/>
      <c r="D582" s="414"/>
      <c r="E582" s="414"/>
      <c r="F582" s="415"/>
      <c r="G582" s="423"/>
      <c r="H582" s="424"/>
      <c r="I582" s="416"/>
      <c r="J582" s="417"/>
      <c r="K582" s="418"/>
      <c r="L582" s="419"/>
      <c r="M582" s="420"/>
      <c r="N582" s="421"/>
      <c r="O582" s="421"/>
      <c r="P582" s="422"/>
      <c r="Q582" s="387"/>
    </row>
    <row r="583" ht="21.75" customHeight="1">
      <c r="B583" s="387"/>
      <c r="C583" s="413"/>
      <c r="D583" s="414"/>
      <c r="E583" s="414"/>
      <c r="F583" s="415"/>
      <c r="G583" s="423"/>
      <c r="H583" s="424"/>
      <c r="I583" s="416"/>
      <c r="J583" s="417"/>
      <c r="K583" s="418"/>
      <c r="L583" s="419"/>
      <c r="M583" s="420"/>
      <c r="N583" s="421"/>
      <c r="O583" s="421"/>
      <c r="P583" s="422"/>
      <c r="Q583" s="387"/>
    </row>
    <row r="584" ht="21.75" customHeight="1">
      <c r="B584" s="387"/>
      <c r="C584" s="413"/>
      <c r="D584" s="414"/>
      <c r="E584" s="414"/>
      <c r="F584" s="415"/>
      <c r="G584" s="423"/>
      <c r="H584" s="424"/>
      <c r="I584" s="416"/>
      <c r="J584" s="417"/>
      <c r="K584" s="418"/>
      <c r="L584" s="419"/>
      <c r="M584" s="420"/>
      <c r="N584" s="421"/>
      <c r="O584" s="421"/>
      <c r="P584" s="422"/>
      <c r="Q584" s="387"/>
    </row>
    <row r="585" ht="21.75" customHeight="1">
      <c r="B585" s="387"/>
      <c r="C585" s="413"/>
      <c r="D585" s="414"/>
      <c r="E585" s="414"/>
      <c r="F585" s="415"/>
      <c r="G585" s="423"/>
      <c r="H585" s="424"/>
      <c r="I585" s="416"/>
      <c r="J585" s="417"/>
      <c r="K585" s="418"/>
      <c r="L585" s="419"/>
      <c r="M585" s="420"/>
      <c r="N585" s="421"/>
      <c r="O585" s="421"/>
      <c r="P585" s="422"/>
      <c r="Q585" s="387"/>
    </row>
    <row r="586" ht="21.75" customHeight="1">
      <c r="B586" s="387"/>
      <c r="C586" s="413"/>
      <c r="D586" s="414"/>
      <c r="E586" s="414"/>
      <c r="F586" s="415"/>
      <c r="G586" s="423"/>
      <c r="H586" s="424"/>
      <c r="I586" s="416"/>
      <c r="J586" s="417"/>
      <c r="K586" s="418"/>
      <c r="L586" s="419"/>
      <c r="M586" s="420"/>
      <c r="N586" s="421"/>
      <c r="O586" s="421"/>
      <c r="P586" s="422"/>
      <c r="Q586" s="387"/>
    </row>
    <row r="587" ht="21.75" customHeight="1">
      <c r="B587" s="387"/>
      <c r="C587" s="413"/>
      <c r="D587" s="414"/>
      <c r="E587" s="414"/>
      <c r="F587" s="415"/>
      <c r="G587" s="423"/>
      <c r="H587" s="424"/>
      <c r="I587" s="416"/>
      <c r="J587" s="417"/>
      <c r="K587" s="418"/>
      <c r="L587" s="419"/>
      <c r="M587" s="420"/>
      <c r="N587" s="421"/>
      <c r="O587" s="421"/>
      <c r="P587" s="422"/>
      <c r="Q587" s="387"/>
    </row>
    <row r="588" ht="21.75" customHeight="1">
      <c r="B588" s="387"/>
      <c r="C588" s="413"/>
      <c r="D588" s="414"/>
      <c r="E588" s="414"/>
      <c r="F588" s="415"/>
      <c r="G588" s="423"/>
      <c r="H588" s="424"/>
      <c r="I588" s="416"/>
      <c r="J588" s="417"/>
      <c r="K588" s="418"/>
      <c r="L588" s="419"/>
      <c r="M588" s="420"/>
      <c r="N588" s="421"/>
      <c r="O588" s="421"/>
      <c r="P588" s="422"/>
      <c r="Q588" s="387"/>
    </row>
    <row r="589" ht="21.75" customHeight="1">
      <c r="B589" s="387"/>
      <c r="C589" s="413"/>
      <c r="D589" s="414"/>
      <c r="E589" s="414"/>
      <c r="F589" s="415"/>
      <c r="G589" s="423"/>
      <c r="H589" s="424"/>
      <c r="I589" s="416"/>
      <c r="J589" s="417"/>
      <c r="K589" s="418"/>
      <c r="L589" s="419"/>
      <c r="M589" s="420"/>
      <c r="N589" s="421"/>
      <c r="O589" s="421"/>
      <c r="P589" s="422"/>
      <c r="Q589" s="387"/>
    </row>
    <row r="590" ht="21.75" customHeight="1">
      <c r="B590" s="387"/>
      <c r="C590" s="413"/>
      <c r="D590" s="414"/>
      <c r="E590" s="414"/>
      <c r="F590" s="415"/>
      <c r="G590" s="423"/>
      <c r="H590" s="424"/>
      <c r="I590" s="416"/>
      <c r="J590" s="417"/>
      <c r="K590" s="418"/>
      <c r="L590" s="419"/>
      <c r="M590" s="420"/>
      <c r="N590" s="421"/>
      <c r="O590" s="421"/>
      <c r="P590" s="422"/>
      <c r="Q590" s="387"/>
    </row>
    <row r="591" ht="21.75" customHeight="1">
      <c r="B591" s="387"/>
      <c r="C591" s="413"/>
      <c r="D591" s="414"/>
      <c r="E591" s="414"/>
      <c r="F591" s="415"/>
      <c r="G591" s="423"/>
      <c r="H591" s="424"/>
      <c r="I591" s="416"/>
      <c r="J591" s="417"/>
      <c r="K591" s="418"/>
      <c r="L591" s="419"/>
      <c r="M591" s="420"/>
      <c r="N591" s="421"/>
      <c r="O591" s="421"/>
      <c r="P591" s="422"/>
      <c r="Q591" s="387"/>
    </row>
    <row r="592" ht="21.75" customHeight="1">
      <c r="B592" s="387"/>
      <c r="C592" s="413"/>
      <c r="D592" s="414"/>
      <c r="E592" s="414"/>
      <c r="F592" s="415"/>
      <c r="G592" s="423"/>
      <c r="H592" s="424"/>
      <c r="I592" s="416"/>
      <c r="J592" s="417"/>
      <c r="K592" s="418"/>
      <c r="L592" s="419"/>
      <c r="M592" s="420"/>
      <c r="N592" s="421"/>
      <c r="O592" s="421"/>
      <c r="P592" s="422"/>
      <c r="Q592" s="387"/>
    </row>
    <row r="593" ht="21.75" customHeight="1">
      <c r="B593" s="387"/>
      <c r="C593" s="413"/>
      <c r="D593" s="414"/>
      <c r="E593" s="414"/>
      <c r="F593" s="415"/>
      <c r="G593" s="423"/>
      <c r="H593" s="424"/>
      <c r="I593" s="416"/>
      <c r="J593" s="417"/>
      <c r="K593" s="418"/>
      <c r="L593" s="419"/>
      <c r="M593" s="420"/>
      <c r="N593" s="421"/>
      <c r="O593" s="421"/>
      <c r="P593" s="422"/>
      <c r="Q593" s="387"/>
    </row>
    <row r="594" ht="21.75" customHeight="1">
      <c r="B594" s="387"/>
      <c r="C594" s="413"/>
      <c r="D594" s="414"/>
      <c r="E594" s="414"/>
      <c r="F594" s="415"/>
      <c r="G594" s="423"/>
      <c r="H594" s="424"/>
      <c r="I594" s="416"/>
      <c r="J594" s="417"/>
      <c r="K594" s="418"/>
      <c r="L594" s="419"/>
      <c r="M594" s="420"/>
      <c r="N594" s="421"/>
      <c r="O594" s="421"/>
      <c r="P594" s="422"/>
      <c r="Q594" s="387"/>
    </row>
    <row r="595" ht="21.75" customHeight="1">
      <c r="B595" s="387"/>
      <c r="C595" s="413"/>
      <c r="D595" s="414"/>
      <c r="E595" s="414"/>
      <c r="F595" s="415"/>
      <c r="G595" s="423"/>
      <c r="H595" s="424"/>
      <c r="I595" s="416"/>
      <c r="J595" s="417"/>
      <c r="K595" s="418"/>
      <c r="L595" s="419"/>
      <c r="M595" s="420"/>
      <c r="N595" s="421"/>
      <c r="O595" s="421"/>
      <c r="P595" s="422"/>
      <c r="Q595" s="387"/>
    </row>
    <row r="596" ht="21.75" customHeight="1">
      <c r="B596" s="387"/>
      <c r="C596" s="413"/>
      <c r="D596" s="414"/>
      <c r="E596" s="414"/>
      <c r="F596" s="415"/>
      <c r="G596" s="423"/>
      <c r="H596" s="424"/>
      <c r="I596" s="416"/>
      <c r="J596" s="417"/>
      <c r="K596" s="418"/>
      <c r="L596" s="419"/>
      <c r="M596" s="420"/>
      <c r="N596" s="421"/>
      <c r="O596" s="421"/>
      <c r="P596" s="422"/>
      <c r="Q596" s="387"/>
    </row>
    <row r="597" ht="21.75" customHeight="1">
      <c r="B597" s="387"/>
      <c r="C597" s="413"/>
      <c r="D597" s="414"/>
      <c r="E597" s="414"/>
      <c r="F597" s="415"/>
      <c r="G597" s="423"/>
      <c r="H597" s="424"/>
      <c r="I597" s="416"/>
      <c r="J597" s="417"/>
      <c r="K597" s="418"/>
      <c r="L597" s="419"/>
      <c r="M597" s="420"/>
      <c r="N597" s="421"/>
      <c r="O597" s="421"/>
      <c r="P597" s="422"/>
      <c r="Q597" s="387"/>
    </row>
    <row r="598" ht="21.75" customHeight="1">
      <c r="B598" s="387"/>
      <c r="C598" s="413"/>
      <c r="D598" s="414"/>
      <c r="E598" s="414"/>
      <c r="F598" s="415"/>
      <c r="G598" s="423"/>
      <c r="H598" s="424"/>
      <c r="I598" s="416"/>
      <c r="J598" s="417"/>
      <c r="K598" s="418"/>
      <c r="L598" s="419"/>
      <c r="M598" s="420"/>
      <c r="N598" s="421"/>
      <c r="O598" s="421"/>
      <c r="P598" s="422"/>
      <c r="Q598" s="387"/>
    </row>
    <row r="599" ht="21.75" customHeight="1">
      <c r="B599" s="387"/>
      <c r="C599" s="413"/>
      <c r="D599" s="414"/>
      <c r="E599" s="414"/>
      <c r="F599" s="415"/>
      <c r="G599" s="423"/>
      <c r="H599" s="424"/>
      <c r="I599" s="416"/>
      <c r="J599" s="417"/>
      <c r="K599" s="418"/>
      <c r="L599" s="419"/>
      <c r="M599" s="420"/>
      <c r="N599" s="421"/>
      <c r="O599" s="421"/>
      <c r="P599" s="422"/>
      <c r="Q599" s="387"/>
    </row>
    <row r="600" ht="21.75" customHeight="1">
      <c r="B600" s="387"/>
      <c r="C600" s="413"/>
      <c r="D600" s="414"/>
      <c r="E600" s="414"/>
      <c r="F600" s="415"/>
      <c r="G600" s="423"/>
      <c r="H600" s="424"/>
      <c r="I600" s="416"/>
      <c r="J600" s="417"/>
      <c r="K600" s="418"/>
      <c r="L600" s="419"/>
      <c r="M600" s="420"/>
      <c r="N600" s="421"/>
      <c r="O600" s="421"/>
      <c r="P600" s="422"/>
      <c r="Q600" s="387"/>
    </row>
    <row r="601" ht="21.75" customHeight="1">
      <c r="B601" s="387"/>
      <c r="C601" s="413"/>
      <c r="D601" s="414"/>
      <c r="E601" s="414"/>
      <c r="F601" s="415"/>
      <c r="G601" s="423"/>
      <c r="H601" s="424"/>
      <c r="I601" s="416"/>
      <c r="J601" s="417"/>
      <c r="K601" s="418"/>
      <c r="L601" s="419"/>
      <c r="M601" s="420"/>
      <c r="N601" s="421"/>
      <c r="O601" s="421"/>
      <c r="P601" s="422"/>
      <c r="Q601" s="387"/>
    </row>
    <row r="602" ht="21.75" customHeight="1">
      <c r="B602" s="387"/>
      <c r="C602" s="413"/>
      <c r="D602" s="414"/>
      <c r="E602" s="414"/>
      <c r="F602" s="415"/>
      <c r="G602" s="423"/>
      <c r="H602" s="424"/>
      <c r="I602" s="416"/>
      <c r="J602" s="417"/>
      <c r="K602" s="418"/>
      <c r="L602" s="419"/>
      <c r="M602" s="420"/>
      <c r="N602" s="421"/>
      <c r="O602" s="421"/>
      <c r="P602" s="422"/>
      <c r="Q602" s="387"/>
    </row>
    <row r="603" ht="21.75" customHeight="1">
      <c r="B603" s="387"/>
      <c r="C603" s="413"/>
      <c r="D603" s="414"/>
      <c r="E603" s="414"/>
      <c r="F603" s="415"/>
      <c r="G603" s="423"/>
      <c r="H603" s="424"/>
      <c r="I603" s="416"/>
      <c r="J603" s="417"/>
      <c r="K603" s="418"/>
      <c r="L603" s="419"/>
      <c r="M603" s="420"/>
      <c r="N603" s="421"/>
      <c r="O603" s="421"/>
      <c r="P603" s="422"/>
      <c r="Q603" s="387"/>
    </row>
    <row r="604" ht="21.75" customHeight="1">
      <c r="B604" s="387"/>
      <c r="C604" s="413"/>
      <c r="D604" s="414"/>
      <c r="E604" s="414"/>
      <c r="F604" s="415"/>
      <c r="G604" s="423"/>
      <c r="H604" s="424"/>
      <c r="I604" s="416"/>
      <c r="J604" s="417"/>
      <c r="K604" s="418"/>
      <c r="L604" s="419"/>
      <c r="M604" s="420"/>
      <c r="N604" s="421"/>
      <c r="O604" s="421"/>
      <c r="P604" s="422"/>
      <c r="Q604" s="387"/>
    </row>
    <row r="605" ht="21.75" customHeight="1">
      <c r="B605" s="387"/>
      <c r="C605" s="413"/>
      <c r="D605" s="414"/>
      <c r="E605" s="414"/>
      <c r="F605" s="415"/>
      <c r="G605" s="423"/>
      <c r="H605" s="424"/>
      <c r="I605" s="416"/>
      <c r="J605" s="417"/>
      <c r="K605" s="418"/>
      <c r="L605" s="419"/>
      <c r="M605" s="420"/>
      <c r="N605" s="421"/>
      <c r="O605" s="421"/>
      <c r="P605" s="422"/>
      <c r="Q605" s="387"/>
    </row>
    <row r="606" ht="21.75" customHeight="1">
      <c r="B606" s="387"/>
      <c r="C606" s="413"/>
      <c r="D606" s="414"/>
      <c r="E606" s="414"/>
      <c r="F606" s="415"/>
      <c r="G606" s="423"/>
      <c r="H606" s="424"/>
      <c r="I606" s="416"/>
      <c r="J606" s="417"/>
      <c r="K606" s="418"/>
      <c r="L606" s="419"/>
      <c r="M606" s="420"/>
      <c r="N606" s="421"/>
      <c r="O606" s="421"/>
      <c r="P606" s="422"/>
      <c r="Q606" s="387"/>
    </row>
    <row r="607" ht="21.75" customHeight="1">
      <c r="B607" s="387"/>
      <c r="C607" s="413"/>
      <c r="D607" s="414"/>
      <c r="E607" s="414"/>
      <c r="F607" s="415"/>
      <c r="G607" s="423"/>
      <c r="H607" s="424"/>
      <c r="I607" s="416"/>
      <c r="J607" s="417"/>
      <c r="K607" s="418"/>
      <c r="L607" s="419"/>
      <c r="M607" s="420"/>
      <c r="N607" s="421"/>
      <c r="O607" s="421"/>
      <c r="P607" s="422"/>
      <c r="Q607" s="387"/>
    </row>
    <row r="608" ht="21.75" customHeight="1">
      <c r="B608" s="387"/>
      <c r="C608" s="413"/>
      <c r="D608" s="414"/>
      <c r="E608" s="414"/>
      <c r="F608" s="415"/>
      <c r="G608" s="423"/>
      <c r="H608" s="424"/>
      <c r="I608" s="416"/>
      <c r="J608" s="417"/>
      <c r="K608" s="418"/>
      <c r="L608" s="419"/>
      <c r="M608" s="420"/>
      <c r="N608" s="421"/>
      <c r="O608" s="421"/>
      <c r="P608" s="422"/>
      <c r="Q608" s="387"/>
    </row>
    <row r="609" ht="21.75" customHeight="1">
      <c r="B609" s="387"/>
      <c r="C609" s="413"/>
      <c r="D609" s="414"/>
      <c r="E609" s="414"/>
      <c r="F609" s="415"/>
      <c r="G609" s="423"/>
      <c r="H609" s="424"/>
      <c r="I609" s="416"/>
      <c r="J609" s="417"/>
      <c r="K609" s="418"/>
      <c r="L609" s="419"/>
      <c r="M609" s="420"/>
      <c r="N609" s="421"/>
      <c r="O609" s="421"/>
      <c r="P609" s="422"/>
      <c r="Q609" s="387"/>
    </row>
    <row r="610" ht="21.75" customHeight="1">
      <c r="B610" s="387"/>
      <c r="C610" s="413"/>
      <c r="D610" s="414"/>
      <c r="E610" s="414"/>
      <c r="F610" s="415"/>
      <c r="G610" s="423"/>
      <c r="H610" s="424"/>
      <c r="I610" s="416"/>
      <c r="J610" s="417"/>
      <c r="K610" s="418"/>
      <c r="L610" s="419"/>
      <c r="M610" s="420"/>
      <c r="N610" s="421"/>
      <c r="O610" s="421"/>
      <c r="P610" s="422"/>
      <c r="Q610" s="387"/>
    </row>
    <row r="611" ht="21.75" customHeight="1">
      <c r="B611" s="387"/>
      <c r="C611" s="413"/>
      <c r="D611" s="414"/>
      <c r="E611" s="414"/>
      <c r="F611" s="415"/>
      <c r="G611" s="423"/>
      <c r="H611" s="424"/>
      <c r="I611" s="416"/>
      <c r="J611" s="417"/>
      <c r="K611" s="418"/>
      <c r="L611" s="419"/>
      <c r="M611" s="420"/>
      <c r="N611" s="421"/>
      <c r="O611" s="421"/>
      <c r="P611" s="422"/>
      <c r="Q611" s="387"/>
    </row>
    <row r="612" ht="21.75" customHeight="1">
      <c r="B612" s="387"/>
      <c r="C612" s="413"/>
      <c r="D612" s="414"/>
      <c r="E612" s="414"/>
      <c r="F612" s="415"/>
      <c r="G612" s="423"/>
      <c r="H612" s="424"/>
      <c r="I612" s="416"/>
      <c r="J612" s="417"/>
      <c r="K612" s="418"/>
      <c r="L612" s="419"/>
      <c r="M612" s="420"/>
      <c r="N612" s="421"/>
      <c r="O612" s="421"/>
      <c r="P612" s="422"/>
      <c r="Q612" s="387"/>
    </row>
    <row r="613" ht="21.75" customHeight="1">
      <c r="B613" s="387"/>
      <c r="C613" s="413"/>
      <c r="D613" s="414"/>
      <c r="E613" s="414"/>
      <c r="F613" s="415"/>
      <c r="G613" s="423"/>
      <c r="H613" s="424"/>
      <c r="I613" s="416"/>
      <c r="J613" s="417"/>
      <c r="K613" s="418"/>
      <c r="L613" s="419"/>
      <c r="M613" s="420"/>
      <c r="N613" s="421"/>
      <c r="O613" s="421"/>
      <c r="P613" s="422"/>
      <c r="Q613" s="387"/>
    </row>
    <row r="614" ht="21.75" customHeight="1">
      <c r="B614" s="387"/>
      <c r="C614" s="413"/>
      <c r="D614" s="414"/>
      <c r="E614" s="414"/>
      <c r="F614" s="415"/>
      <c r="G614" s="423"/>
      <c r="H614" s="424"/>
      <c r="I614" s="416"/>
      <c r="J614" s="417"/>
      <c r="K614" s="418"/>
      <c r="L614" s="419"/>
      <c r="M614" s="420"/>
      <c r="N614" s="421"/>
      <c r="O614" s="421"/>
      <c r="P614" s="422"/>
      <c r="Q614" s="387"/>
    </row>
    <row r="615" ht="21.75" customHeight="1">
      <c r="B615" s="387"/>
      <c r="C615" s="413"/>
      <c r="D615" s="414"/>
      <c r="E615" s="414"/>
      <c r="F615" s="415"/>
      <c r="G615" s="423"/>
      <c r="H615" s="424"/>
      <c r="I615" s="416"/>
      <c r="J615" s="417"/>
      <c r="K615" s="418"/>
      <c r="L615" s="419"/>
      <c r="M615" s="420"/>
      <c r="N615" s="421"/>
      <c r="O615" s="421"/>
      <c r="P615" s="422"/>
      <c r="Q615" s="387"/>
    </row>
    <row r="616" ht="21.75" customHeight="1">
      <c r="B616" s="387"/>
      <c r="C616" s="413"/>
      <c r="D616" s="414"/>
      <c r="E616" s="414"/>
      <c r="F616" s="415"/>
      <c r="G616" s="423"/>
      <c r="H616" s="424"/>
      <c r="I616" s="416"/>
      <c r="J616" s="417"/>
      <c r="K616" s="418"/>
      <c r="L616" s="419"/>
      <c r="M616" s="420"/>
      <c r="N616" s="421"/>
      <c r="O616" s="421"/>
      <c r="P616" s="422"/>
      <c r="Q616" s="387"/>
    </row>
    <row r="617" ht="21.75" customHeight="1">
      <c r="B617" s="387"/>
      <c r="C617" s="413"/>
      <c r="D617" s="414"/>
      <c r="E617" s="414"/>
      <c r="F617" s="415"/>
      <c r="G617" s="423"/>
      <c r="H617" s="424"/>
      <c r="I617" s="416"/>
      <c r="J617" s="417"/>
      <c r="K617" s="418"/>
      <c r="L617" s="419"/>
      <c r="M617" s="420"/>
      <c r="N617" s="421"/>
      <c r="O617" s="421"/>
      <c r="P617" s="422"/>
      <c r="Q617" s="387"/>
    </row>
    <row r="618" ht="21.75" customHeight="1">
      <c r="B618" s="387"/>
      <c r="C618" s="413"/>
      <c r="D618" s="414"/>
      <c r="E618" s="414"/>
      <c r="F618" s="415"/>
      <c r="G618" s="423"/>
      <c r="H618" s="424"/>
      <c r="I618" s="416"/>
      <c r="J618" s="417"/>
      <c r="K618" s="418"/>
      <c r="L618" s="419"/>
      <c r="M618" s="420"/>
      <c r="N618" s="421"/>
      <c r="O618" s="421"/>
      <c r="P618" s="422"/>
      <c r="Q618" s="387"/>
    </row>
    <row r="619" ht="21.75" customHeight="1">
      <c r="B619" s="387"/>
      <c r="C619" s="413"/>
      <c r="D619" s="414"/>
      <c r="E619" s="414"/>
      <c r="F619" s="415"/>
      <c r="G619" s="423"/>
      <c r="H619" s="424"/>
      <c r="I619" s="416"/>
      <c r="J619" s="417"/>
      <c r="K619" s="418"/>
      <c r="L619" s="419"/>
      <c r="M619" s="420"/>
      <c r="N619" s="421"/>
      <c r="O619" s="421"/>
      <c r="P619" s="422"/>
      <c r="Q619" s="387"/>
    </row>
    <row r="620" ht="21.75" customHeight="1">
      <c r="B620" s="387"/>
      <c r="C620" s="413"/>
      <c r="D620" s="414"/>
      <c r="E620" s="414"/>
      <c r="F620" s="415"/>
      <c r="G620" s="423"/>
      <c r="H620" s="424"/>
      <c r="I620" s="416"/>
      <c r="J620" s="417"/>
      <c r="K620" s="418"/>
      <c r="L620" s="419"/>
      <c r="M620" s="420"/>
      <c r="N620" s="421"/>
      <c r="O620" s="421"/>
      <c r="P620" s="422"/>
      <c r="Q620" s="387"/>
    </row>
    <row r="621" ht="21.75" customHeight="1">
      <c r="B621" s="387"/>
      <c r="C621" s="413"/>
      <c r="D621" s="414"/>
      <c r="E621" s="414"/>
      <c r="F621" s="415"/>
      <c r="G621" s="423"/>
      <c r="H621" s="424"/>
      <c r="I621" s="416"/>
      <c r="J621" s="417"/>
      <c r="K621" s="418"/>
      <c r="L621" s="419"/>
      <c r="M621" s="420"/>
      <c r="N621" s="421"/>
      <c r="O621" s="421"/>
      <c r="P621" s="422"/>
      <c r="Q621" s="387"/>
    </row>
    <row r="622" ht="21.75" customHeight="1">
      <c r="B622" s="387"/>
      <c r="C622" s="413"/>
      <c r="D622" s="414"/>
      <c r="E622" s="414"/>
      <c r="F622" s="415"/>
      <c r="G622" s="423"/>
      <c r="H622" s="424"/>
      <c r="I622" s="416"/>
      <c r="J622" s="417"/>
      <c r="K622" s="418"/>
      <c r="L622" s="419"/>
      <c r="M622" s="420"/>
      <c r="N622" s="421"/>
      <c r="O622" s="421"/>
      <c r="P622" s="422"/>
      <c r="Q622" s="387"/>
    </row>
    <row r="623" ht="21.75" customHeight="1">
      <c r="B623" s="387"/>
      <c r="C623" s="413"/>
      <c r="D623" s="414"/>
      <c r="E623" s="414"/>
      <c r="F623" s="415"/>
      <c r="G623" s="423"/>
      <c r="H623" s="424"/>
      <c r="I623" s="416"/>
      <c r="J623" s="417"/>
      <c r="K623" s="418"/>
      <c r="L623" s="419"/>
      <c r="M623" s="420"/>
      <c r="N623" s="421"/>
      <c r="O623" s="421"/>
      <c r="P623" s="422"/>
      <c r="Q623" s="387"/>
    </row>
    <row r="624" ht="21.75" customHeight="1">
      <c r="B624" s="387"/>
      <c r="C624" s="413"/>
      <c r="D624" s="414"/>
      <c r="E624" s="414"/>
      <c r="F624" s="415"/>
      <c r="G624" s="423"/>
      <c r="H624" s="424"/>
      <c r="I624" s="416"/>
      <c r="J624" s="417"/>
      <c r="K624" s="418"/>
      <c r="L624" s="419"/>
      <c r="M624" s="420"/>
      <c r="N624" s="421"/>
      <c r="O624" s="421"/>
      <c r="P624" s="422"/>
      <c r="Q624" s="387"/>
    </row>
    <row r="625" ht="21.75" customHeight="1">
      <c r="B625" s="387"/>
      <c r="C625" s="413"/>
      <c r="D625" s="414"/>
      <c r="E625" s="414"/>
      <c r="F625" s="415"/>
      <c r="G625" s="423"/>
      <c r="H625" s="424"/>
      <c r="I625" s="416"/>
      <c r="J625" s="417"/>
      <c r="K625" s="418"/>
      <c r="L625" s="419"/>
      <c r="M625" s="420"/>
      <c r="N625" s="421"/>
      <c r="O625" s="421"/>
      <c r="P625" s="422"/>
      <c r="Q625" s="387"/>
    </row>
    <row r="626" ht="21.75" customHeight="1">
      <c r="B626" s="387"/>
      <c r="C626" s="413"/>
      <c r="D626" s="414"/>
      <c r="E626" s="414"/>
      <c r="F626" s="415"/>
      <c r="G626" s="423"/>
      <c r="H626" s="424"/>
      <c r="I626" s="416"/>
      <c r="J626" s="417"/>
      <c r="K626" s="418"/>
      <c r="L626" s="419"/>
      <c r="M626" s="420"/>
      <c r="N626" s="421"/>
      <c r="O626" s="421"/>
      <c r="P626" s="422"/>
      <c r="Q626" s="387"/>
    </row>
    <row r="627" ht="21.75" customHeight="1">
      <c r="B627" s="387"/>
      <c r="C627" s="413"/>
      <c r="D627" s="414"/>
      <c r="E627" s="414"/>
      <c r="F627" s="415"/>
      <c r="G627" s="423"/>
      <c r="H627" s="424"/>
      <c r="I627" s="416"/>
      <c r="J627" s="417"/>
      <c r="K627" s="418"/>
      <c r="L627" s="419"/>
      <c r="M627" s="420"/>
      <c r="N627" s="421"/>
      <c r="O627" s="421"/>
      <c r="P627" s="422"/>
      <c r="Q627" s="387"/>
    </row>
    <row r="628" ht="21.75" customHeight="1">
      <c r="B628" s="387"/>
      <c r="C628" s="413"/>
      <c r="D628" s="414"/>
      <c r="E628" s="414"/>
      <c r="F628" s="415"/>
      <c r="G628" s="423"/>
      <c r="H628" s="424"/>
      <c r="I628" s="416"/>
      <c r="J628" s="417"/>
      <c r="K628" s="418"/>
      <c r="L628" s="419"/>
      <c r="M628" s="420"/>
      <c r="N628" s="421"/>
      <c r="O628" s="421"/>
      <c r="P628" s="422"/>
      <c r="Q628" s="387"/>
    </row>
    <row r="629" ht="21.75" customHeight="1">
      <c r="B629" s="387"/>
      <c r="C629" s="413"/>
      <c r="D629" s="414"/>
      <c r="E629" s="414"/>
      <c r="F629" s="415"/>
      <c r="G629" s="423"/>
      <c r="H629" s="424"/>
      <c r="I629" s="416"/>
      <c r="J629" s="417"/>
      <c r="K629" s="418"/>
      <c r="L629" s="419"/>
      <c r="M629" s="420"/>
      <c r="N629" s="421"/>
      <c r="O629" s="421"/>
      <c r="P629" s="422"/>
      <c r="Q629" s="387"/>
    </row>
    <row r="630" ht="21.75" customHeight="1">
      <c r="B630" s="387"/>
      <c r="C630" s="413"/>
      <c r="D630" s="414"/>
      <c r="E630" s="414"/>
      <c r="F630" s="415"/>
      <c r="G630" s="423"/>
      <c r="H630" s="424"/>
      <c r="I630" s="416"/>
      <c r="J630" s="417"/>
      <c r="K630" s="418"/>
      <c r="L630" s="419"/>
      <c r="M630" s="420"/>
      <c r="N630" s="421"/>
      <c r="O630" s="421"/>
      <c r="P630" s="422"/>
      <c r="Q630" s="387"/>
    </row>
    <row r="631" ht="21.75" customHeight="1">
      <c r="B631" s="387"/>
      <c r="C631" s="413"/>
      <c r="D631" s="414"/>
      <c r="E631" s="414"/>
      <c r="F631" s="415"/>
      <c r="G631" s="423"/>
      <c r="H631" s="424"/>
      <c r="I631" s="416"/>
      <c r="J631" s="417"/>
      <c r="K631" s="418"/>
      <c r="L631" s="419"/>
      <c r="M631" s="420"/>
      <c r="N631" s="421"/>
      <c r="O631" s="421"/>
      <c r="P631" s="422"/>
      <c r="Q631" s="387"/>
    </row>
    <row r="632" ht="21.75" customHeight="1">
      <c r="B632" s="387"/>
      <c r="C632" s="413"/>
      <c r="D632" s="414"/>
      <c r="E632" s="414"/>
      <c r="F632" s="415"/>
      <c r="G632" s="423"/>
      <c r="H632" s="424"/>
      <c r="I632" s="416"/>
      <c r="J632" s="417"/>
      <c r="K632" s="418"/>
      <c r="L632" s="419"/>
      <c r="M632" s="420"/>
      <c r="N632" s="421"/>
      <c r="O632" s="421"/>
      <c r="P632" s="422"/>
      <c r="Q632" s="387"/>
    </row>
    <row r="633" ht="21.75" customHeight="1">
      <c r="B633" s="387"/>
      <c r="C633" s="413"/>
      <c r="D633" s="414"/>
      <c r="E633" s="414"/>
      <c r="F633" s="415"/>
      <c r="G633" s="423"/>
      <c r="H633" s="424"/>
      <c r="I633" s="416"/>
      <c r="J633" s="417"/>
      <c r="K633" s="418"/>
      <c r="L633" s="419"/>
      <c r="M633" s="420"/>
      <c r="N633" s="421"/>
      <c r="O633" s="421"/>
      <c r="P633" s="422"/>
      <c r="Q633" s="387"/>
    </row>
    <row r="634" ht="21.75" customHeight="1">
      <c r="B634" s="387"/>
      <c r="C634" s="413"/>
      <c r="D634" s="414"/>
      <c r="E634" s="414"/>
      <c r="F634" s="415"/>
      <c r="G634" s="423"/>
      <c r="H634" s="424"/>
      <c r="I634" s="416"/>
      <c r="J634" s="417"/>
      <c r="K634" s="418"/>
      <c r="L634" s="419"/>
      <c r="M634" s="420"/>
      <c r="N634" s="421"/>
      <c r="O634" s="421"/>
      <c r="P634" s="422"/>
      <c r="Q634" s="387"/>
    </row>
    <row r="635" ht="21.75" customHeight="1">
      <c r="B635" s="387"/>
      <c r="C635" s="413"/>
      <c r="D635" s="414"/>
      <c r="E635" s="414"/>
      <c r="F635" s="415"/>
      <c r="G635" s="423"/>
      <c r="H635" s="424"/>
      <c r="I635" s="416"/>
      <c r="J635" s="417"/>
      <c r="K635" s="418"/>
      <c r="L635" s="419"/>
      <c r="M635" s="420"/>
      <c r="N635" s="421"/>
      <c r="O635" s="421"/>
      <c r="P635" s="422"/>
      <c r="Q635" s="387"/>
    </row>
    <row r="636" ht="21.75" customHeight="1">
      <c r="B636" s="387"/>
      <c r="C636" s="413"/>
      <c r="D636" s="414"/>
      <c r="E636" s="414"/>
      <c r="F636" s="415"/>
      <c r="G636" s="423"/>
      <c r="H636" s="424"/>
      <c r="I636" s="416"/>
      <c r="J636" s="417"/>
      <c r="K636" s="418"/>
      <c r="L636" s="419"/>
      <c r="M636" s="420"/>
      <c r="N636" s="421"/>
      <c r="O636" s="421"/>
      <c r="P636" s="422"/>
      <c r="Q636" s="387"/>
    </row>
    <row r="637" ht="21.75" customHeight="1">
      <c r="B637" s="387"/>
      <c r="C637" s="413"/>
      <c r="D637" s="414"/>
      <c r="E637" s="414"/>
      <c r="F637" s="415"/>
      <c r="G637" s="423"/>
      <c r="H637" s="424"/>
      <c r="I637" s="416"/>
      <c r="J637" s="417"/>
      <c r="K637" s="418"/>
      <c r="L637" s="419"/>
      <c r="M637" s="420"/>
      <c r="N637" s="421"/>
      <c r="O637" s="421"/>
      <c r="P637" s="422"/>
      <c r="Q637" s="387"/>
    </row>
    <row r="638" ht="21.75" customHeight="1">
      <c r="B638" s="387"/>
      <c r="C638" s="413"/>
      <c r="D638" s="414"/>
      <c r="E638" s="414"/>
      <c r="F638" s="415"/>
      <c r="G638" s="423"/>
      <c r="H638" s="424"/>
      <c r="I638" s="416"/>
      <c r="J638" s="417"/>
      <c r="K638" s="418"/>
      <c r="L638" s="419"/>
      <c r="M638" s="420"/>
      <c r="N638" s="421"/>
      <c r="O638" s="421"/>
      <c r="P638" s="422"/>
      <c r="Q638" s="387"/>
    </row>
    <row r="639" ht="21.75" customHeight="1">
      <c r="B639" s="387"/>
      <c r="C639" s="413"/>
      <c r="D639" s="414"/>
      <c r="E639" s="414"/>
      <c r="F639" s="415"/>
      <c r="G639" s="423"/>
      <c r="H639" s="424"/>
      <c r="I639" s="416"/>
      <c r="J639" s="417"/>
      <c r="K639" s="418"/>
      <c r="L639" s="419"/>
      <c r="M639" s="420"/>
      <c r="N639" s="421"/>
      <c r="O639" s="421"/>
      <c r="P639" s="422"/>
      <c r="Q639" s="387"/>
    </row>
    <row r="640" ht="21.75" customHeight="1">
      <c r="B640" s="387"/>
      <c r="C640" s="413"/>
      <c r="D640" s="414"/>
      <c r="E640" s="414"/>
      <c r="F640" s="415"/>
      <c r="G640" s="423"/>
      <c r="H640" s="424"/>
      <c r="I640" s="416"/>
      <c r="J640" s="417"/>
      <c r="K640" s="418"/>
      <c r="L640" s="419"/>
      <c r="M640" s="420"/>
      <c r="N640" s="421"/>
      <c r="O640" s="421"/>
      <c r="P640" s="422"/>
      <c r="Q640" s="387"/>
    </row>
    <row r="641" ht="21.75" customHeight="1">
      <c r="B641" s="387"/>
      <c r="C641" s="413"/>
      <c r="D641" s="414"/>
      <c r="E641" s="414"/>
      <c r="F641" s="415"/>
      <c r="G641" s="423"/>
      <c r="H641" s="424"/>
      <c r="I641" s="416"/>
      <c r="J641" s="417"/>
      <c r="K641" s="418"/>
      <c r="L641" s="419"/>
      <c r="M641" s="420"/>
      <c r="N641" s="421"/>
      <c r="O641" s="421"/>
      <c r="P641" s="422"/>
      <c r="Q641" s="387"/>
    </row>
    <row r="642" ht="21.75" customHeight="1">
      <c r="B642" s="387"/>
      <c r="C642" s="413"/>
      <c r="D642" s="414"/>
      <c r="E642" s="414"/>
      <c r="F642" s="415"/>
      <c r="G642" s="423"/>
      <c r="H642" s="424"/>
      <c r="I642" s="416"/>
      <c r="J642" s="417"/>
      <c r="K642" s="418"/>
      <c r="L642" s="419"/>
      <c r="M642" s="420"/>
      <c r="N642" s="421"/>
      <c r="O642" s="421"/>
      <c r="P642" s="422"/>
      <c r="Q642" s="387"/>
    </row>
    <row r="643" ht="21.75" customHeight="1">
      <c r="B643" s="387"/>
      <c r="C643" s="413"/>
      <c r="D643" s="414"/>
      <c r="E643" s="414"/>
      <c r="F643" s="415"/>
      <c r="G643" s="423"/>
      <c r="H643" s="424"/>
      <c r="I643" s="416"/>
      <c r="J643" s="417"/>
      <c r="K643" s="418"/>
      <c r="L643" s="419"/>
      <c r="M643" s="420"/>
      <c r="N643" s="421"/>
      <c r="O643" s="421"/>
      <c r="P643" s="422"/>
      <c r="Q643" s="387"/>
    </row>
    <row r="644" ht="21.75" customHeight="1">
      <c r="B644" s="387"/>
      <c r="C644" s="413"/>
      <c r="D644" s="414"/>
      <c r="E644" s="414"/>
      <c r="F644" s="415"/>
      <c r="G644" s="423"/>
      <c r="H644" s="424"/>
      <c r="I644" s="416"/>
      <c r="J644" s="417"/>
      <c r="K644" s="418"/>
      <c r="L644" s="419"/>
      <c r="M644" s="420"/>
      <c r="N644" s="421"/>
      <c r="O644" s="421"/>
      <c r="P644" s="422"/>
      <c r="Q644" s="387"/>
    </row>
    <row r="645" ht="21.75" customHeight="1">
      <c r="B645" s="387"/>
      <c r="C645" s="413"/>
      <c r="D645" s="414"/>
      <c r="E645" s="414"/>
      <c r="F645" s="415"/>
      <c r="G645" s="423"/>
      <c r="H645" s="424"/>
      <c r="I645" s="416"/>
      <c r="J645" s="417"/>
      <c r="K645" s="418"/>
      <c r="L645" s="419"/>
      <c r="M645" s="420"/>
      <c r="N645" s="421"/>
      <c r="O645" s="421"/>
      <c r="P645" s="422"/>
      <c r="Q645" s="387"/>
    </row>
    <row r="646" ht="21.75" customHeight="1">
      <c r="B646" s="387"/>
      <c r="C646" s="413"/>
      <c r="D646" s="414"/>
      <c r="E646" s="414"/>
      <c r="F646" s="415"/>
      <c r="G646" s="423"/>
      <c r="H646" s="424"/>
      <c r="I646" s="416"/>
      <c r="J646" s="417"/>
      <c r="K646" s="418"/>
      <c r="L646" s="419"/>
      <c r="M646" s="420"/>
      <c r="N646" s="421"/>
      <c r="O646" s="421"/>
      <c r="P646" s="422"/>
      <c r="Q646" s="387"/>
    </row>
    <row r="647" ht="21.75" customHeight="1">
      <c r="B647" s="387"/>
      <c r="C647" s="413"/>
      <c r="D647" s="414"/>
      <c r="E647" s="414"/>
      <c r="F647" s="415"/>
      <c r="G647" s="423"/>
      <c r="H647" s="424"/>
      <c r="I647" s="416"/>
      <c r="J647" s="417"/>
      <c r="K647" s="418"/>
      <c r="L647" s="419"/>
      <c r="M647" s="420"/>
      <c r="N647" s="421"/>
      <c r="O647" s="421"/>
      <c r="P647" s="422"/>
      <c r="Q647" s="387"/>
    </row>
    <row r="648" ht="21.75" customHeight="1">
      <c r="B648" s="387"/>
      <c r="C648" s="413"/>
      <c r="D648" s="414"/>
      <c r="E648" s="414"/>
      <c r="F648" s="415"/>
      <c r="G648" s="423"/>
      <c r="H648" s="424"/>
      <c r="I648" s="416"/>
      <c r="J648" s="417"/>
      <c r="K648" s="418"/>
      <c r="L648" s="419"/>
      <c r="M648" s="420"/>
      <c r="N648" s="421"/>
      <c r="O648" s="421"/>
      <c r="P648" s="422"/>
      <c r="Q648" s="387"/>
    </row>
    <row r="649" ht="21.75" customHeight="1">
      <c r="B649" s="387"/>
      <c r="C649" s="413"/>
      <c r="D649" s="414"/>
      <c r="E649" s="414"/>
      <c r="F649" s="415"/>
      <c r="G649" s="423"/>
      <c r="H649" s="424"/>
      <c r="I649" s="416"/>
      <c r="J649" s="417"/>
      <c r="K649" s="418"/>
      <c r="L649" s="419"/>
      <c r="M649" s="420"/>
      <c r="N649" s="421"/>
      <c r="O649" s="421"/>
      <c r="P649" s="422"/>
      <c r="Q649" s="387"/>
    </row>
    <row r="650" ht="21.75" customHeight="1">
      <c r="B650" s="387"/>
      <c r="C650" s="413"/>
      <c r="D650" s="414"/>
      <c r="E650" s="414"/>
      <c r="F650" s="415"/>
      <c r="G650" s="423"/>
      <c r="H650" s="424"/>
      <c r="I650" s="416"/>
      <c r="J650" s="417"/>
      <c r="K650" s="418"/>
      <c r="L650" s="419"/>
      <c r="M650" s="420"/>
      <c r="N650" s="421"/>
      <c r="O650" s="421"/>
      <c r="P650" s="422"/>
      <c r="Q650" s="387"/>
    </row>
    <row r="651" ht="21.75" customHeight="1">
      <c r="B651" s="387"/>
      <c r="C651" s="413"/>
      <c r="D651" s="414"/>
      <c r="E651" s="414"/>
      <c r="F651" s="415"/>
      <c r="G651" s="423"/>
      <c r="H651" s="424"/>
      <c r="I651" s="416"/>
      <c r="J651" s="417"/>
      <c r="K651" s="418"/>
      <c r="L651" s="419"/>
      <c r="M651" s="420"/>
      <c r="N651" s="421"/>
      <c r="O651" s="421"/>
      <c r="P651" s="422"/>
      <c r="Q651" s="387"/>
    </row>
    <row r="652" ht="21.75" customHeight="1">
      <c r="B652" s="387"/>
      <c r="C652" s="413"/>
      <c r="D652" s="414"/>
      <c r="E652" s="414"/>
      <c r="F652" s="415"/>
      <c r="G652" s="423"/>
      <c r="H652" s="424"/>
      <c r="I652" s="416"/>
      <c r="J652" s="417"/>
      <c r="K652" s="418"/>
      <c r="L652" s="419"/>
      <c r="M652" s="420"/>
      <c r="N652" s="421"/>
      <c r="O652" s="421"/>
      <c r="P652" s="422"/>
      <c r="Q652" s="387"/>
    </row>
    <row r="653" ht="21.75" customHeight="1">
      <c r="B653" s="387"/>
      <c r="C653" s="413"/>
      <c r="D653" s="414"/>
      <c r="E653" s="414"/>
      <c r="F653" s="415"/>
      <c r="G653" s="423"/>
      <c r="H653" s="424"/>
      <c r="I653" s="416"/>
      <c r="J653" s="417"/>
      <c r="K653" s="418"/>
      <c r="L653" s="419"/>
      <c r="M653" s="420"/>
      <c r="N653" s="421"/>
      <c r="O653" s="421"/>
      <c r="P653" s="422"/>
      <c r="Q653" s="387"/>
    </row>
    <row r="654" ht="21.75" customHeight="1">
      <c r="B654" s="387"/>
      <c r="C654" s="413"/>
      <c r="D654" s="414"/>
      <c r="E654" s="414"/>
      <c r="F654" s="415"/>
      <c r="G654" s="423"/>
      <c r="H654" s="424"/>
      <c r="I654" s="416"/>
      <c r="J654" s="417"/>
      <c r="K654" s="418"/>
      <c r="L654" s="419"/>
      <c r="M654" s="420"/>
      <c r="N654" s="421"/>
      <c r="O654" s="421"/>
      <c r="P654" s="422"/>
      <c r="Q654" s="387"/>
    </row>
    <row r="655" ht="21.75" customHeight="1">
      <c r="B655" s="387"/>
      <c r="C655" s="413"/>
      <c r="D655" s="414"/>
      <c r="E655" s="414"/>
      <c r="F655" s="415"/>
      <c r="G655" s="423"/>
      <c r="H655" s="424"/>
      <c r="I655" s="416"/>
      <c r="J655" s="417"/>
      <c r="K655" s="418"/>
      <c r="L655" s="419"/>
      <c r="M655" s="420"/>
      <c r="N655" s="421"/>
      <c r="O655" s="421"/>
      <c r="P655" s="422"/>
      <c r="Q655" s="387"/>
    </row>
    <row r="656" ht="21.75" customHeight="1">
      <c r="B656" s="387"/>
      <c r="C656" s="413"/>
      <c r="D656" s="414"/>
      <c r="E656" s="414"/>
      <c r="F656" s="415"/>
      <c r="G656" s="423"/>
      <c r="H656" s="424"/>
      <c r="I656" s="416"/>
      <c r="J656" s="417"/>
      <c r="K656" s="418"/>
      <c r="L656" s="419"/>
      <c r="M656" s="420"/>
      <c r="N656" s="421"/>
      <c r="O656" s="421"/>
      <c r="P656" s="422"/>
      <c r="Q656" s="387"/>
    </row>
    <row r="657" ht="21.75" customHeight="1">
      <c r="B657" s="387"/>
      <c r="C657" s="413"/>
      <c r="D657" s="414"/>
      <c r="E657" s="414"/>
      <c r="F657" s="415"/>
      <c r="G657" s="423"/>
      <c r="H657" s="424"/>
      <c r="I657" s="416"/>
      <c r="J657" s="417"/>
      <c r="K657" s="418"/>
      <c r="L657" s="419"/>
      <c r="M657" s="420"/>
      <c r="N657" s="421"/>
      <c r="O657" s="421"/>
      <c r="P657" s="422"/>
      <c r="Q657" s="387"/>
    </row>
    <row r="658" ht="21.75" customHeight="1">
      <c r="B658" s="387"/>
      <c r="C658" s="413"/>
      <c r="D658" s="414"/>
      <c r="E658" s="414"/>
      <c r="F658" s="415"/>
      <c r="G658" s="423"/>
      <c r="H658" s="424"/>
      <c r="I658" s="416"/>
      <c r="J658" s="417"/>
      <c r="K658" s="418"/>
      <c r="L658" s="419"/>
      <c r="M658" s="420"/>
      <c r="N658" s="421"/>
      <c r="O658" s="421"/>
      <c r="P658" s="422"/>
      <c r="Q658" s="387"/>
    </row>
    <row r="659" ht="21.75" customHeight="1">
      <c r="B659" s="387"/>
      <c r="C659" s="413"/>
      <c r="D659" s="414"/>
      <c r="E659" s="414"/>
      <c r="F659" s="415"/>
      <c r="G659" s="423"/>
      <c r="H659" s="424"/>
      <c r="I659" s="416"/>
      <c r="J659" s="417"/>
      <c r="K659" s="418"/>
      <c r="L659" s="419"/>
      <c r="M659" s="420"/>
      <c r="N659" s="421"/>
      <c r="O659" s="421"/>
      <c r="P659" s="422"/>
      <c r="Q659" s="387"/>
    </row>
    <row r="660" ht="21.75" customHeight="1">
      <c r="B660" s="387"/>
      <c r="C660" s="413"/>
      <c r="D660" s="414"/>
      <c r="E660" s="414"/>
      <c r="F660" s="415"/>
      <c r="G660" s="423"/>
      <c r="H660" s="424"/>
      <c r="I660" s="416"/>
      <c r="J660" s="417"/>
      <c r="K660" s="418"/>
      <c r="L660" s="419"/>
      <c r="M660" s="420"/>
      <c r="N660" s="421"/>
      <c r="O660" s="421"/>
      <c r="P660" s="422"/>
      <c r="Q660" s="387"/>
    </row>
    <row r="661" ht="21.75" customHeight="1">
      <c r="B661" s="387"/>
      <c r="C661" s="413"/>
      <c r="D661" s="414"/>
      <c r="E661" s="414"/>
      <c r="F661" s="415"/>
      <c r="G661" s="423"/>
      <c r="H661" s="424"/>
      <c r="I661" s="416"/>
      <c r="J661" s="417"/>
      <c r="K661" s="418"/>
      <c r="L661" s="419"/>
      <c r="M661" s="420"/>
      <c r="N661" s="421"/>
      <c r="O661" s="421"/>
      <c r="P661" s="422"/>
      <c r="Q661" s="387"/>
    </row>
    <row r="662" ht="21.75" customHeight="1">
      <c r="B662" s="387"/>
      <c r="C662" s="413"/>
      <c r="D662" s="414"/>
      <c r="E662" s="414"/>
      <c r="F662" s="415"/>
      <c r="G662" s="423"/>
      <c r="H662" s="424"/>
      <c r="I662" s="416"/>
      <c r="J662" s="417"/>
      <c r="K662" s="418"/>
      <c r="L662" s="419"/>
      <c r="M662" s="420"/>
      <c r="N662" s="421"/>
      <c r="O662" s="421"/>
      <c r="P662" s="422"/>
      <c r="Q662" s="387"/>
    </row>
    <row r="663" ht="21.75" customHeight="1">
      <c r="B663" s="387"/>
      <c r="C663" s="413"/>
      <c r="D663" s="414"/>
      <c r="E663" s="414"/>
      <c r="F663" s="415"/>
      <c r="G663" s="423"/>
      <c r="H663" s="424"/>
      <c r="I663" s="416"/>
      <c r="J663" s="417"/>
      <c r="K663" s="418"/>
      <c r="L663" s="419"/>
      <c r="M663" s="420"/>
      <c r="N663" s="421"/>
      <c r="O663" s="421"/>
      <c r="P663" s="422"/>
      <c r="Q663" s="387"/>
    </row>
    <row r="664" ht="21.75" customHeight="1">
      <c r="B664" s="387"/>
      <c r="C664" s="413"/>
      <c r="D664" s="414"/>
      <c r="E664" s="414"/>
      <c r="F664" s="415"/>
      <c r="G664" s="423"/>
      <c r="H664" s="424"/>
      <c r="I664" s="416"/>
      <c r="J664" s="417"/>
      <c r="K664" s="418"/>
      <c r="L664" s="419"/>
      <c r="M664" s="420"/>
      <c r="N664" s="421"/>
      <c r="O664" s="421"/>
      <c r="P664" s="422"/>
      <c r="Q664" s="387"/>
    </row>
    <row r="665" ht="21.75" customHeight="1">
      <c r="B665" s="387"/>
      <c r="C665" s="413"/>
      <c r="D665" s="414"/>
      <c r="E665" s="414"/>
      <c r="F665" s="415"/>
      <c r="G665" s="423"/>
      <c r="H665" s="424"/>
      <c r="I665" s="416"/>
      <c r="J665" s="417"/>
      <c r="K665" s="418"/>
      <c r="L665" s="419"/>
      <c r="M665" s="420"/>
      <c r="N665" s="421"/>
      <c r="O665" s="421"/>
      <c r="P665" s="422"/>
      <c r="Q665" s="387"/>
    </row>
    <row r="666" ht="21.75" customHeight="1">
      <c r="B666" s="387"/>
      <c r="C666" s="413"/>
      <c r="D666" s="414"/>
      <c r="E666" s="414"/>
      <c r="F666" s="415"/>
      <c r="G666" s="423"/>
      <c r="H666" s="424"/>
      <c r="I666" s="416"/>
      <c r="J666" s="417"/>
      <c r="K666" s="418"/>
      <c r="L666" s="419"/>
      <c r="M666" s="420"/>
      <c r="N666" s="421"/>
      <c r="O666" s="421"/>
      <c r="P666" s="422"/>
      <c r="Q666" s="387"/>
    </row>
    <row r="667" ht="21.75" customHeight="1">
      <c r="B667" s="387"/>
      <c r="C667" s="413"/>
      <c r="D667" s="414"/>
      <c r="E667" s="414"/>
      <c r="F667" s="415"/>
      <c r="G667" s="423"/>
      <c r="H667" s="424"/>
      <c r="I667" s="416"/>
      <c r="J667" s="417"/>
      <c r="K667" s="418"/>
      <c r="L667" s="419"/>
      <c r="M667" s="420"/>
      <c r="N667" s="421"/>
      <c r="O667" s="421"/>
      <c r="P667" s="422"/>
      <c r="Q667" s="387"/>
    </row>
    <row r="668" ht="21.75" customHeight="1">
      <c r="B668" s="387"/>
      <c r="C668" s="413"/>
      <c r="D668" s="414"/>
      <c r="E668" s="414"/>
      <c r="F668" s="415"/>
      <c r="G668" s="423"/>
      <c r="H668" s="424"/>
      <c r="I668" s="416"/>
      <c r="J668" s="417"/>
      <c r="K668" s="418"/>
      <c r="L668" s="419"/>
      <c r="M668" s="420"/>
      <c r="N668" s="421"/>
      <c r="O668" s="421"/>
      <c r="P668" s="422"/>
      <c r="Q668" s="387"/>
    </row>
    <row r="669" ht="21.75" customHeight="1">
      <c r="B669" s="387"/>
      <c r="C669" s="413"/>
      <c r="D669" s="414"/>
      <c r="E669" s="414"/>
      <c r="F669" s="415"/>
      <c r="G669" s="423"/>
      <c r="H669" s="424"/>
      <c r="I669" s="416"/>
      <c r="J669" s="417"/>
      <c r="K669" s="418"/>
      <c r="L669" s="419"/>
      <c r="M669" s="420"/>
      <c r="N669" s="421"/>
      <c r="O669" s="421"/>
      <c r="P669" s="422"/>
      <c r="Q669" s="387"/>
    </row>
    <row r="670" ht="21.75" customHeight="1">
      <c r="B670" s="387"/>
      <c r="C670" s="413"/>
      <c r="D670" s="414"/>
      <c r="E670" s="414"/>
      <c r="F670" s="415"/>
      <c r="G670" s="423"/>
      <c r="H670" s="424"/>
      <c r="I670" s="416"/>
      <c r="J670" s="417"/>
      <c r="K670" s="418"/>
      <c r="L670" s="419"/>
      <c r="M670" s="420"/>
      <c r="N670" s="421"/>
      <c r="O670" s="421"/>
      <c r="P670" s="422"/>
      <c r="Q670" s="387"/>
    </row>
    <row r="671" ht="21.75" customHeight="1">
      <c r="B671" s="387"/>
      <c r="C671" s="413"/>
      <c r="D671" s="414"/>
      <c r="E671" s="414"/>
      <c r="F671" s="415"/>
      <c r="G671" s="423"/>
      <c r="H671" s="424"/>
      <c r="I671" s="416"/>
      <c r="J671" s="417"/>
      <c r="K671" s="418"/>
      <c r="L671" s="419"/>
      <c r="M671" s="420"/>
      <c r="N671" s="421"/>
      <c r="O671" s="421"/>
      <c r="P671" s="422"/>
      <c r="Q671" s="387"/>
    </row>
    <row r="672" ht="21.75" customHeight="1">
      <c r="B672" s="387"/>
      <c r="C672" s="413"/>
      <c r="D672" s="414"/>
      <c r="E672" s="414"/>
      <c r="F672" s="415"/>
      <c r="G672" s="423"/>
      <c r="H672" s="424"/>
      <c r="I672" s="416"/>
      <c r="J672" s="417"/>
      <c r="K672" s="418"/>
      <c r="L672" s="419"/>
      <c r="M672" s="420"/>
      <c r="N672" s="421"/>
      <c r="O672" s="421"/>
      <c r="P672" s="422"/>
      <c r="Q672" s="387"/>
    </row>
    <row r="673" ht="21.75" customHeight="1">
      <c r="B673" s="387"/>
      <c r="C673" s="413"/>
      <c r="D673" s="414"/>
      <c r="E673" s="414"/>
      <c r="F673" s="415"/>
      <c r="G673" s="423"/>
      <c r="H673" s="424"/>
      <c r="I673" s="416"/>
      <c r="J673" s="417"/>
      <c r="K673" s="418"/>
      <c r="L673" s="419"/>
      <c r="M673" s="420"/>
      <c r="N673" s="421"/>
      <c r="O673" s="421"/>
      <c r="P673" s="422"/>
      <c r="Q673" s="387"/>
    </row>
    <row r="674" ht="21.75" customHeight="1">
      <c r="B674" s="387"/>
      <c r="C674" s="413"/>
      <c r="D674" s="414"/>
      <c r="E674" s="414"/>
      <c r="F674" s="415"/>
      <c r="G674" s="423"/>
      <c r="H674" s="424"/>
      <c r="I674" s="416"/>
      <c r="J674" s="417"/>
      <c r="K674" s="418"/>
      <c r="L674" s="419"/>
      <c r="M674" s="420"/>
      <c r="N674" s="421"/>
      <c r="O674" s="421"/>
      <c r="P674" s="422"/>
      <c r="Q674" s="387"/>
    </row>
    <row r="675" ht="21.75" customHeight="1">
      <c r="B675" s="387"/>
      <c r="C675" s="413"/>
      <c r="D675" s="414"/>
      <c r="E675" s="414"/>
      <c r="F675" s="415"/>
      <c r="G675" s="423"/>
      <c r="H675" s="424"/>
      <c r="I675" s="416"/>
      <c r="J675" s="417"/>
      <c r="K675" s="418"/>
      <c r="L675" s="419"/>
      <c r="M675" s="420"/>
      <c r="N675" s="421"/>
      <c r="O675" s="421"/>
      <c r="P675" s="422"/>
      <c r="Q675" s="387"/>
    </row>
    <row r="676" ht="21.75" customHeight="1">
      <c r="B676" s="387"/>
      <c r="C676" s="413"/>
      <c r="D676" s="414"/>
      <c r="E676" s="414"/>
      <c r="F676" s="415"/>
      <c r="G676" s="423"/>
      <c r="H676" s="424"/>
      <c r="I676" s="416"/>
      <c r="J676" s="417"/>
      <c r="K676" s="418"/>
      <c r="L676" s="419"/>
      <c r="M676" s="420"/>
      <c r="N676" s="421"/>
      <c r="O676" s="421"/>
      <c r="P676" s="422"/>
      <c r="Q676" s="387"/>
    </row>
    <row r="677" ht="21.75" customHeight="1">
      <c r="B677" s="387"/>
      <c r="C677" s="413"/>
      <c r="D677" s="414"/>
      <c r="E677" s="414"/>
      <c r="F677" s="415"/>
      <c r="G677" s="423"/>
      <c r="H677" s="424"/>
      <c r="I677" s="416"/>
      <c r="J677" s="417"/>
      <c r="K677" s="418"/>
      <c r="L677" s="419"/>
      <c r="M677" s="420"/>
      <c r="N677" s="421"/>
      <c r="O677" s="421"/>
      <c r="P677" s="422"/>
      <c r="Q677" s="387"/>
    </row>
    <row r="678" ht="21.75" customHeight="1">
      <c r="B678" s="387"/>
      <c r="C678" s="413"/>
      <c r="D678" s="414"/>
      <c r="E678" s="414"/>
      <c r="F678" s="415"/>
      <c r="G678" s="423"/>
      <c r="H678" s="424"/>
      <c r="I678" s="416"/>
      <c r="J678" s="417"/>
      <c r="K678" s="418"/>
      <c r="L678" s="419"/>
      <c r="M678" s="420"/>
      <c r="N678" s="421"/>
      <c r="O678" s="421"/>
      <c r="P678" s="422"/>
      <c r="Q678" s="387"/>
    </row>
    <row r="679" ht="21.75" customHeight="1">
      <c r="B679" s="387"/>
      <c r="C679" s="413"/>
      <c r="D679" s="414"/>
      <c r="E679" s="414"/>
      <c r="F679" s="415"/>
      <c r="G679" s="423"/>
      <c r="H679" s="424"/>
      <c r="I679" s="416"/>
      <c r="J679" s="417"/>
      <c r="K679" s="418"/>
      <c r="L679" s="419"/>
      <c r="M679" s="420"/>
      <c r="N679" s="421"/>
      <c r="O679" s="421"/>
      <c r="P679" s="422"/>
      <c r="Q679" s="387"/>
    </row>
    <row r="680" ht="21.75" customHeight="1">
      <c r="B680" s="387"/>
      <c r="C680" s="413"/>
      <c r="D680" s="414"/>
      <c r="E680" s="414"/>
      <c r="F680" s="415"/>
      <c r="G680" s="423"/>
      <c r="H680" s="424"/>
      <c r="I680" s="416"/>
      <c r="J680" s="417"/>
      <c r="K680" s="418"/>
      <c r="L680" s="419"/>
      <c r="M680" s="420"/>
      <c r="N680" s="421"/>
      <c r="O680" s="421"/>
      <c r="P680" s="422"/>
      <c r="Q680" s="387"/>
    </row>
    <row r="681" ht="21.75" customHeight="1">
      <c r="B681" s="387"/>
      <c r="C681" s="413"/>
      <c r="D681" s="414"/>
      <c r="E681" s="414"/>
      <c r="F681" s="415"/>
      <c r="G681" s="423"/>
      <c r="H681" s="424"/>
      <c r="I681" s="416"/>
      <c r="J681" s="417"/>
      <c r="K681" s="418"/>
      <c r="L681" s="419"/>
      <c r="M681" s="420"/>
      <c r="N681" s="421"/>
      <c r="O681" s="421"/>
      <c r="P681" s="422"/>
      <c r="Q681" s="387"/>
    </row>
    <row r="682" ht="21.75" customHeight="1">
      <c r="B682" s="387"/>
      <c r="C682" s="413"/>
      <c r="D682" s="414"/>
      <c r="E682" s="414"/>
      <c r="F682" s="415"/>
      <c r="G682" s="423"/>
      <c r="H682" s="424"/>
      <c r="I682" s="416"/>
      <c r="J682" s="417"/>
      <c r="K682" s="418"/>
      <c r="L682" s="419"/>
      <c r="M682" s="420"/>
      <c r="N682" s="421"/>
      <c r="O682" s="421"/>
      <c r="P682" s="422"/>
      <c r="Q682" s="387"/>
    </row>
    <row r="683" ht="21.75" customHeight="1">
      <c r="B683" s="387"/>
      <c r="C683" s="413"/>
      <c r="D683" s="414"/>
      <c r="E683" s="414"/>
      <c r="F683" s="415"/>
      <c r="G683" s="423"/>
      <c r="H683" s="424"/>
      <c r="I683" s="416"/>
      <c r="J683" s="417"/>
      <c r="K683" s="418"/>
      <c r="L683" s="419"/>
      <c r="M683" s="420"/>
      <c r="N683" s="421"/>
      <c r="O683" s="421"/>
      <c r="P683" s="422"/>
      <c r="Q683" s="387"/>
    </row>
    <row r="684" ht="21.75" customHeight="1">
      <c r="B684" s="387"/>
      <c r="C684" s="413"/>
      <c r="D684" s="414"/>
      <c r="E684" s="414"/>
      <c r="F684" s="415"/>
      <c r="G684" s="423"/>
      <c r="H684" s="424"/>
      <c r="I684" s="416"/>
      <c r="J684" s="417"/>
      <c r="K684" s="418"/>
      <c r="L684" s="419"/>
      <c r="M684" s="420"/>
      <c r="N684" s="421"/>
      <c r="O684" s="421"/>
      <c r="P684" s="422"/>
      <c r="Q684" s="387"/>
    </row>
    <row r="685" ht="21.75" customHeight="1">
      <c r="B685" s="387"/>
      <c r="C685" s="413"/>
      <c r="D685" s="414"/>
      <c r="E685" s="414"/>
      <c r="F685" s="415"/>
      <c r="G685" s="423"/>
      <c r="H685" s="424"/>
      <c r="I685" s="416"/>
      <c r="J685" s="417"/>
      <c r="K685" s="418"/>
      <c r="L685" s="419"/>
      <c r="M685" s="420"/>
      <c r="N685" s="421"/>
      <c r="O685" s="421"/>
      <c r="P685" s="422"/>
      <c r="Q685" s="387"/>
    </row>
    <row r="686" ht="21.75" customHeight="1">
      <c r="B686" s="387"/>
      <c r="C686" s="413"/>
      <c r="D686" s="414"/>
      <c r="E686" s="414"/>
      <c r="F686" s="415"/>
      <c r="G686" s="423"/>
      <c r="H686" s="424"/>
      <c r="I686" s="416"/>
      <c r="J686" s="417"/>
      <c r="K686" s="418"/>
      <c r="L686" s="419"/>
      <c r="M686" s="420"/>
      <c r="N686" s="421"/>
      <c r="O686" s="421"/>
      <c r="P686" s="422"/>
      <c r="Q686" s="387"/>
    </row>
    <row r="687" ht="21.75" customHeight="1">
      <c r="B687" s="387"/>
      <c r="C687" s="413"/>
      <c r="D687" s="414"/>
      <c r="E687" s="414"/>
      <c r="F687" s="415"/>
      <c r="G687" s="423"/>
      <c r="H687" s="424"/>
      <c r="I687" s="416"/>
      <c r="J687" s="417"/>
      <c r="K687" s="418"/>
      <c r="L687" s="419"/>
      <c r="M687" s="420"/>
      <c r="N687" s="421"/>
      <c r="O687" s="421"/>
      <c r="P687" s="422"/>
      <c r="Q687" s="387"/>
    </row>
    <row r="688" ht="21.75" customHeight="1">
      <c r="B688" s="387"/>
      <c r="C688" s="413"/>
      <c r="D688" s="414"/>
      <c r="E688" s="414"/>
      <c r="F688" s="415"/>
      <c r="G688" s="423"/>
      <c r="H688" s="424"/>
      <c r="I688" s="416"/>
      <c r="J688" s="417"/>
      <c r="K688" s="418"/>
      <c r="L688" s="419"/>
      <c r="M688" s="420"/>
      <c r="N688" s="421"/>
      <c r="O688" s="421"/>
      <c r="P688" s="422"/>
      <c r="Q688" s="387"/>
    </row>
    <row r="689" ht="21.75" customHeight="1">
      <c r="B689" s="387"/>
      <c r="C689" s="413"/>
      <c r="D689" s="414"/>
      <c r="E689" s="414"/>
      <c r="F689" s="415"/>
      <c r="G689" s="423"/>
      <c r="H689" s="424"/>
      <c r="I689" s="416"/>
      <c r="J689" s="417"/>
      <c r="K689" s="418"/>
      <c r="L689" s="419"/>
      <c r="M689" s="420"/>
      <c r="N689" s="421"/>
      <c r="O689" s="421"/>
      <c r="P689" s="422"/>
      <c r="Q689" s="387"/>
    </row>
    <row r="690" ht="21.75" customHeight="1">
      <c r="B690" s="387"/>
      <c r="C690" s="413"/>
      <c r="D690" s="414"/>
      <c r="E690" s="414"/>
      <c r="F690" s="415"/>
      <c r="G690" s="423"/>
      <c r="H690" s="424"/>
      <c r="I690" s="416"/>
      <c r="J690" s="417"/>
      <c r="K690" s="418"/>
      <c r="L690" s="419"/>
      <c r="M690" s="420"/>
      <c r="N690" s="421"/>
      <c r="O690" s="421"/>
      <c r="P690" s="422"/>
      <c r="Q690" s="387"/>
    </row>
    <row r="691" ht="21.75" customHeight="1">
      <c r="B691" s="387"/>
      <c r="C691" s="413"/>
      <c r="D691" s="414"/>
      <c r="E691" s="414"/>
      <c r="F691" s="415"/>
      <c r="G691" s="423"/>
      <c r="H691" s="424"/>
      <c r="I691" s="416"/>
      <c r="J691" s="417"/>
      <c r="K691" s="418"/>
      <c r="L691" s="419"/>
      <c r="M691" s="420"/>
      <c r="N691" s="421"/>
      <c r="O691" s="421"/>
      <c r="P691" s="422"/>
      <c r="Q691" s="387"/>
    </row>
    <row r="692" ht="21.75" customHeight="1">
      <c r="B692" s="387"/>
      <c r="C692" s="413"/>
      <c r="D692" s="414"/>
      <c r="E692" s="414"/>
      <c r="F692" s="415"/>
      <c r="G692" s="423"/>
      <c r="H692" s="424"/>
      <c r="I692" s="416"/>
      <c r="J692" s="417"/>
      <c r="K692" s="418"/>
      <c r="L692" s="419"/>
      <c r="M692" s="420"/>
      <c r="N692" s="421"/>
      <c r="O692" s="421"/>
      <c r="P692" s="422"/>
      <c r="Q692" s="387"/>
    </row>
    <row r="693" ht="21.75" customHeight="1">
      <c r="B693" s="387"/>
      <c r="C693" s="413"/>
      <c r="D693" s="414"/>
      <c r="E693" s="414"/>
      <c r="F693" s="415"/>
      <c r="G693" s="423"/>
      <c r="H693" s="424"/>
      <c r="I693" s="416"/>
      <c r="J693" s="417"/>
      <c r="K693" s="418"/>
      <c r="L693" s="419"/>
      <c r="M693" s="420"/>
      <c r="N693" s="421"/>
      <c r="O693" s="421"/>
      <c r="P693" s="422"/>
      <c r="Q693" s="387"/>
    </row>
    <row r="694" ht="21.75" customHeight="1">
      <c r="B694" s="387"/>
      <c r="C694" s="413"/>
      <c r="D694" s="414"/>
      <c r="E694" s="414"/>
      <c r="F694" s="415"/>
      <c r="G694" s="423"/>
      <c r="H694" s="424"/>
      <c r="I694" s="416"/>
      <c r="J694" s="417"/>
      <c r="K694" s="418"/>
      <c r="L694" s="419"/>
      <c r="M694" s="420"/>
      <c r="N694" s="421"/>
      <c r="O694" s="421"/>
      <c r="P694" s="422"/>
      <c r="Q694" s="387"/>
    </row>
    <row r="695" ht="21.75" customHeight="1">
      <c r="B695" s="387"/>
      <c r="C695" s="413"/>
      <c r="D695" s="414"/>
      <c r="E695" s="414"/>
      <c r="F695" s="415"/>
      <c r="G695" s="423"/>
      <c r="H695" s="424"/>
      <c r="I695" s="416"/>
      <c r="J695" s="417"/>
      <c r="K695" s="418"/>
      <c r="L695" s="419"/>
      <c r="M695" s="420"/>
      <c r="N695" s="421"/>
      <c r="O695" s="421"/>
      <c r="P695" s="422"/>
      <c r="Q695" s="387"/>
    </row>
    <row r="696" ht="21.75" customHeight="1">
      <c r="B696" s="387"/>
      <c r="C696" s="413"/>
      <c r="D696" s="414"/>
      <c r="E696" s="414"/>
      <c r="F696" s="415"/>
      <c r="G696" s="423"/>
      <c r="H696" s="424"/>
      <c r="I696" s="416"/>
      <c r="J696" s="417"/>
      <c r="K696" s="418"/>
      <c r="L696" s="419"/>
      <c r="M696" s="420"/>
      <c r="N696" s="421"/>
      <c r="O696" s="421"/>
      <c r="P696" s="422"/>
      <c r="Q696" s="387"/>
    </row>
    <row r="697" ht="21.75" customHeight="1">
      <c r="B697" s="387"/>
      <c r="C697" s="413"/>
      <c r="D697" s="414"/>
      <c r="E697" s="414"/>
      <c r="F697" s="415"/>
      <c r="G697" s="423"/>
      <c r="H697" s="424"/>
      <c r="I697" s="416"/>
      <c r="J697" s="417"/>
      <c r="K697" s="418"/>
      <c r="L697" s="419"/>
      <c r="M697" s="420"/>
      <c r="N697" s="421"/>
      <c r="O697" s="421"/>
      <c r="P697" s="422"/>
      <c r="Q697" s="387"/>
    </row>
    <row r="698" ht="21.75" customHeight="1">
      <c r="B698" s="387"/>
      <c r="C698" s="413"/>
      <c r="D698" s="414"/>
      <c r="E698" s="414"/>
      <c r="F698" s="415"/>
      <c r="G698" s="423"/>
      <c r="H698" s="424"/>
      <c r="I698" s="416"/>
      <c r="J698" s="417"/>
      <c r="K698" s="418"/>
      <c r="L698" s="419"/>
      <c r="M698" s="420"/>
      <c r="N698" s="421"/>
      <c r="O698" s="421"/>
      <c r="P698" s="422"/>
      <c r="Q698" s="387"/>
    </row>
    <row r="699" ht="21.75" customHeight="1">
      <c r="B699" s="387"/>
      <c r="C699" s="413"/>
      <c r="D699" s="414"/>
      <c r="E699" s="414"/>
      <c r="F699" s="415"/>
      <c r="G699" s="423"/>
      <c r="H699" s="424"/>
      <c r="I699" s="416"/>
      <c r="J699" s="417"/>
      <c r="K699" s="418"/>
      <c r="L699" s="419"/>
      <c r="M699" s="420"/>
      <c r="N699" s="421"/>
      <c r="O699" s="421"/>
      <c r="P699" s="422"/>
      <c r="Q699" s="387"/>
    </row>
    <row r="700" ht="21.75" customHeight="1">
      <c r="B700" s="387"/>
      <c r="C700" s="413"/>
      <c r="D700" s="414"/>
      <c r="E700" s="414"/>
      <c r="F700" s="415"/>
      <c r="G700" s="423"/>
      <c r="H700" s="424"/>
      <c r="I700" s="416"/>
      <c r="J700" s="417"/>
      <c r="K700" s="418"/>
      <c r="L700" s="419"/>
      <c r="M700" s="420"/>
      <c r="N700" s="421"/>
      <c r="O700" s="421"/>
      <c r="P700" s="422"/>
      <c r="Q700" s="387"/>
    </row>
    <row r="701" ht="21.75" customHeight="1">
      <c r="B701" s="387"/>
      <c r="C701" s="413"/>
      <c r="D701" s="414"/>
      <c r="E701" s="414"/>
      <c r="F701" s="415"/>
      <c r="G701" s="423"/>
      <c r="H701" s="424"/>
      <c r="I701" s="416"/>
      <c r="J701" s="417"/>
      <c r="K701" s="418"/>
      <c r="L701" s="419"/>
      <c r="M701" s="420"/>
      <c r="N701" s="421"/>
      <c r="O701" s="421"/>
      <c r="P701" s="422"/>
      <c r="Q701" s="387"/>
    </row>
    <row r="702" ht="21.75" customHeight="1">
      <c r="B702" s="387"/>
      <c r="C702" s="413"/>
      <c r="D702" s="414"/>
      <c r="E702" s="414"/>
      <c r="F702" s="415"/>
      <c r="G702" s="423"/>
      <c r="H702" s="424"/>
      <c r="I702" s="416"/>
      <c r="J702" s="417"/>
      <c r="K702" s="418"/>
      <c r="L702" s="419"/>
      <c r="M702" s="420"/>
      <c r="N702" s="421"/>
      <c r="O702" s="421"/>
      <c r="P702" s="422"/>
      <c r="Q702" s="387"/>
    </row>
    <row r="703" ht="21.75" customHeight="1">
      <c r="B703" s="387"/>
      <c r="C703" s="413"/>
      <c r="D703" s="414"/>
      <c r="E703" s="414"/>
      <c r="F703" s="415"/>
      <c r="G703" s="423"/>
      <c r="H703" s="424"/>
      <c r="I703" s="416"/>
      <c r="J703" s="417"/>
      <c r="K703" s="418"/>
      <c r="L703" s="419"/>
      <c r="M703" s="420"/>
      <c r="N703" s="421"/>
      <c r="O703" s="421"/>
      <c r="P703" s="422"/>
      <c r="Q703" s="387"/>
    </row>
    <row r="704" ht="21.75" customHeight="1">
      <c r="B704" s="387"/>
      <c r="C704" s="413"/>
      <c r="D704" s="414"/>
      <c r="E704" s="414"/>
      <c r="F704" s="415"/>
      <c r="G704" s="423"/>
      <c r="H704" s="424"/>
      <c r="I704" s="416"/>
      <c r="J704" s="417"/>
      <c r="K704" s="418"/>
      <c r="L704" s="419"/>
      <c r="M704" s="420"/>
      <c r="N704" s="421"/>
      <c r="O704" s="421"/>
      <c r="P704" s="422"/>
      <c r="Q704" s="387"/>
    </row>
    <row r="705" ht="21.75" customHeight="1">
      <c r="B705" s="387"/>
      <c r="C705" s="413"/>
      <c r="D705" s="414"/>
      <c r="E705" s="414"/>
      <c r="F705" s="415"/>
      <c r="G705" s="423"/>
      <c r="H705" s="424"/>
      <c r="I705" s="416"/>
      <c r="J705" s="417"/>
      <c r="K705" s="418"/>
      <c r="L705" s="419"/>
      <c r="M705" s="420"/>
      <c r="N705" s="421"/>
      <c r="O705" s="421"/>
      <c r="P705" s="422"/>
      <c r="Q705" s="387"/>
    </row>
    <row r="706" ht="21.75" customHeight="1">
      <c r="B706" s="387"/>
      <c r="C706" s="413"/>
      <c r="D706" s="414"/>
      <c r="E706" s="414"/>
      <c r="F706" s="415"/>
      <c r="G706" s="423"/>
      <c r="H706" s="424"/>
      <c r="I706" s="416"/>
      <c r="J706" s="417"/>
      <c r="K706" s="418"/>
      <c r="L706" s="419"/>
      <c r="M706" s="420"/>
      <c r="N706" s="421"/>
      <c r="O706" s="421"/>
      <c r="P706" s="422"/>
      <c r="Q706" s="387"/>
    </row>
    <row r="707" ht="21.75" customHeight="1">
      <c r="B707" s="387"/>
      <c r="C707" s="413"/>
      <c r="D707" s="414"/>
      <c r="E707" s="414"/>
      <c r="F707" s="415"/>
      <c r="G707" s="423"/>
      <c r="H707" s="424"/>
      <c r="I707" s="416"/>
      <c r="J707" s="417"/>
      <c r="K707" s="418"/>
      <c r="L707" s="419"/>
      <c r="M707" s="420"/>
      <c r="N707" s="421"/>
      <c r="O707" s="421"/>
      <c r="P707" s="422"/>
      <c r="Q707" s="387"/>
    </row>
    <row r="708" ht="21.75" customHeight="1">
      <c r="B708" s="387"/>
      <c r="C708" s="413"/>
      <c r="D708" s="414"/>
      <c r="E708" s="414"/>
      <c r="F708" s="415"/>
      <c r="G708" s="423"/>
      <c r="H708" s="424"/>
      <c r="I708" s="416"/>
      <c r="J708" s="417"/>
      <c r="K708" s="418"/>
      <c r="L708" s="419"/>
      <c r="M708" s="420"/>
      <c r="N708" s="421"/>
      <c r="O708" s="421"/>
      <c r="P708" s="422"/>
      <c r="Q708" s="387"/>
    </row>
    <row r="709" ht="21.75" customHeight="1">
      <c r="B709" s="387"/>
      <c r="C709" s="413"/>
      <c r="D709" s="414"/>
      <c r="E709" s="414"/>
      <c r="F709" s="415"/>
      <c r="G709" s="423"/>
      <c r="H709" s="424"/>
      <c r="I709" s="416"/>
      <c r="J709" s="417"/>
      <c r="K709" s="418"/>
      <c r="L709" s="419"/>
      <c r="M709" s="420"/>
      <c r="N709" s="421"/>
      <c r="O709" s="421"/>
      <c r="P709" s="422"/>
      <c r="Q709" s="387"/>
    </row>
    <row r="710" ht="21.75" customHeight="1">
      <c r="B710" s="387"/>
      <c r="C710" s="413"/>
      <c r="D710" s="414"/>
      <c r="E710" s="414"/>
      <c r="F710" s="415"/>
      <c r="G710" s="423"/>
      <c r="H710" s="424"/>
      <c r="I710" s="416"/>
      <c r="J710" s="417"/>
      <c r="K710" s="418"/>
      <c r="L710" s="419"/>
      <c r="M710" s="420"/>
      <c r="N710" s="421"/>
      <c r="O710" s="421"/>
      <c r="P710" s="422"/>
      <c r="Q710" s="387"/>
    </row>
    <row r="711" ht="21.75" customHeight="1">
      <c r="B711" s="387"/>
      <c r="C711" s="413"/>
      <c r="D711" s="414"/>
      <c r="E711" s="414"/>
      <c r="F711" s="415"/>
      <c r="G711" s="423"/>
      <c r="H711" s="424"/>
      <c r="I711" s="416"/>
      <c r="J711" s="417"/>
      <c r="K711" s="418"/>
      <c r="L711" s="419"/>
      <c r="M711" s="420"/>
      <c r="N711" s="421"/>
      <c r="O711" s="421"/>
      <c r="P711" s="422"/>
      <c r="Q711" s="387"/>
    </row>
    <row r="712" ht="21.75" customHeight="1">
      <c r="B712" s="387"/>
      <c r="C712" s="413"/>
      <c r="D712" s="414"/>
      <c r="E712" s="414"/>
      <c r="F712" s="415"/>
      <c r="G712" s="423"/>
      <c r="H712" s="424"/>
      <c r="I712" s="416"/>
      <c r="J712" s="417"/>
      <c r="K712" s="418"/>
      <c r="L712" s="419"/>
      <c r="M712" s="420"/>
      <c r="N712" s="421"/>
      <c r="O712" s="421"/>
      <c r="P712" s="422"/>
      <c r="Q712" s="387"/>
    </row>
    <row r="713" ht="21.75" customHeight="1">
      <c r="B713" s="387"/>
      <c r="C713" s="413"/>
      <c r="D713" s="414"/>
      <c r="E713" s="414"/>
      <c r="F713" s="415"/>
      <c r="G713" s="423"/>
      <c r="H713" s="424"/>
      <c r="I713" s="416"/>
      <c r="J713" s="417"/>
      <c r="K713" s="418"/>
      <c r="L713" s="419"/>
      <c r="M713" s="420"/>
      <c r="N713" s="421"/>
      <c r="O713" s="421"/>
      <c r="P713" s="422"/>
      <c r="Q713" s="387"/>
    </row>
    <row r="714" ht="21.75" customHeight="1">
      <c r="B714" s="387"/>
      <c r="C714" s="413"/>
      <c r="D714" s="414"/>
      <c r="E714" s="414"/>
      <c r="F714" s="415"/>
      <c r="G714" s="423"/>
      <c r="H714" s="424"/>
      <c r="I714" s="416"/>
      <c r="J714" s="417"/>
      <c r="K714" s="418"/>
      <c r="L714" s="419"/>
      <c r="M714" s="420"/>
      <c r="N714" s="421"/>
      <c r="O714" s="421"/>
      <c r="P714" s="422"/>
      <c r="Q714" s="387"/>
    </row>
    <row r="715" ht="21.75" customHeight="1">
      <c r="B715" s="387"/>
      <c r="C715" s="413"/>
      <c r="D715" s="414"/>
      <c r="E715" s="414"/>
      <c r="F715" s="415"/>
      <c r="G715" s="423"/>
      <c r="H715" s="424"/>
      <c r="I715" s="416"/>
      <c r="J715" s="417"/>
      <c r="K715" s="418"/>
      <c r="L715" s="419"/>
      <c r="M715" s="420"/>
      <c r="N715" s="421"/>
      <c r="O715" s="421"/>
      <c r="P715" s="422"/>
      <c r="Q715" s="387"/>
    </row>
    <row r="716" ht="21.75" customHeight="1">
      <c r="B716" s="387"/>
      <c r="C716" s="413"/>
      <c r="D716" s="414"/>
      <c r="E716" s="414"/>
      <c r="F716" s="415"/>
      <c r="G716" s="423"/>
      <c r="H716" s="424"/>
      <c r="I716" s="416"/>
      <c r="J716" s="417"/>
      <c r="K716" s="418"/>
      <c r="L716" s="419"/>
      <c r="M716" s="420"/>
      <c r="N716" s="421"/>
      <c r="O716" s="421"/>
      <c r="P716" s="422"/>
      <c r="Q716" s="387"/>
    </row>
    <row r="717" ht="21.75" customHeight="1">
      <c r="B717" s="387"/>
      <c r="C717" s="413"/>
      <c r="D717" s="414"/>
      <c r="E717" s="414"/>
      <c r="F717" s="415"/>
      <c r="G717" s="423"/>
      <c r="H717" s="424"/>
      <c r="I717" s="416"/>
      <c r="J717" s="417"/>
      <c r="K717" s="418"/>
      <c r="L717" s="419"/>
      <c r="M717" s="420"/>
      <c r="N717" s="421"/>
      <c r="O717" s="421"/>
      <c r="P717" s="422"/>
      <c r="Q717" s="387"/>
    </row>
    <row r="718" ht="21.75" customHeight="1">
      <c r="B718" s="387"/>
      <c r="C718" s="413"/>
      <c r="D718" s="414"/>
      <c r="E718" s="414"/>
      <c r="F718" s="415"/>
      <c r="G718" s="423"/>
      <c r="H718" s="424"/>
      <c r="I718" s="416"/>
      <c r="J718" s="417"/>
      <c r="K718" s="418"/>
      <c r="L718" s="419"/>
      <c r="M718" s="420"/>
      <c r="N718" s="421"/>
      <c r="O718" s="421"/>
      <c r="P718" s="422"/>
      <c r="Q718" s="387"/>
    </row>
    <row r="719" ht="21.75" customHeight="1">
      <c r="B719" s="387"/>
      <c r="C719" s="413"/>
      <c r="D719" s="414"/>
      <c r="E719" s="414"/>
      <c r="F719" s="415"/>
      <c r="G719" s="423"/>
      <c r="H719" s="424"/>
      <c r="I719" s="416"/>
      <c r="J719" s="417"/>
      <c r="K719" s="418"/>
      <c r="L719" s="419"/>
      <c r="M719" s="420"/>
      <c r="N719" s="421"/>
      <c r="O719" s="421"/>
      <c r="P719" s="422"/>
      <c r="Q719" s="387"/>
    </row>
    <row r="720" ht="21.75" customHeight="1">
      <c r="B720" s="387"/>
      <c r="C720" s="413"/>
      <c r="D720" s="414"/>
      <c r="E720" s="414"/>
      <c r="F720" s="415"/>
      <c r="G720" s="423"/>
      <c r="H720" s="424"/>
      <c r="I720" s="416"/>
      <c r="J720" s="417"/>
      <c r="K720" s="418"/>
      <c r="L720" s="419"/>
      <c r="M720" s="420"/>
      <c r="N720" s="421"/>
      <c r="O720" s="421"/>
      <c r="P720" s="422"/>
      <c r="Q720" s="387"/>
    </row>
    <row r="721" ht="21.75" customHeight="1">
      <c r="B721" s="387"/>
      <c r="C721" s="413"/>
      <c r="D721" s="414"/>
      <c r="E721" s="414"/>
      <c r="F721" s="415"/>
      <c r="G721" s="423"/>
      <c r="H721" s="424"/>
      <c r="I721" s="416"/>
      <c r="J721" s="417"/>
      <c r="K721" s="418"/>
      <c r="L721" s="419"/>
      <c r="M721" s="420"/>
      <c r="N721" s="421"/>
      <c r="O721" s="421"/>
      <c r="P721" s="422"/>
      <c r="Q721" s="387"/>
    </row>
    <row r="722" ht="21.75" customHeight="1">
      <c r="B722" s="387"/>
      <c r="C722" s="413"/>
      <c r="D722" s="414"/>
      <c r="E722" s="414"/>
      <c r="F722" s="415"/>
      <c r="G722" s="423"/>
      <c r="H722" s="424"/>
      <c r="I722" s="416"/>
      <c r="J722" s="417"/>
      <c r="K722" s="418"/>
      <c r="L722" s="419"/>
      <c r="M722" s="420"/>
      <c r="N722" s="421"/>
      <c r="O722" s="421"/>
      <c r="P722" s="422"/>
      <c r="Q722" s="387"/>
    </row>
    <row r="723" ht="21.75" customHeight="1">
      <c r="B723" s="387"/>
      <c r="C723" s="413"/>
      <c r="D723" s="414"/>
      <c r="E723" s="414"/>
      <c r="F723" s="415"/>
      <c r="G723" s="423"/>
      <c r="H723" s="424"/>
      <c r="I723" s="416"/>
      <c r="J723" s="417"/>
      <c r="K723" s="418"/>
      <c r="L723" s="419"/>
      <c r="M723" s="420"/>
      <c r="N723" s="421"/>
      <c r="O723" s="421"/>
      <c r="P723" s="422"/>
      <c r="Q723" s="387"/>
    </row>
    <row r="724" ht="21.75" customHeight="1">
      <c r="B724" s="387"/>
      <c r="C724" s="413"/>
      <c r="D724" s="414"/>
      <c r="E724" s="414"/>
      <c r="F724" s="415"/>
      <c r="G724" s="423"/>
      <c r="H724" s="424"/>
      <c r="I724" s="416"/>
      <c r="J724" s="417"/>
      <c r="K724" s="418"/>
      <c r="L724" s="419"/>
      <c r="M724" s="420"/>
      <c r="N724" s="421"/>
      <c r="O724" s="421"/>
      <c r="P724" s="422"/>
      <c r="Q724" s="387"/>
    </row>
    <row r="725" ht="21.75" customHeight="1">
      <c r="B725" s="387"/>
      <c r="C725" s="413"/>
      <c r="D725" s="414"/>
      <c r="E725" s="414"/>
      <c r="F725" s="415"/>
      <c r="G725" s="423"/>
      <c r="H725" s="424"/>
      <c r="I725" s="416"/>
      <c r="J725" s="417"/>
      <c r="K725" s="418"/>
      <c r="L725" s="419"/>
      <c r="M725" s="420"/>
      <c r="N725" s="421"/>
      <c r="O725" s="421"/>
      <c r="P725" s="422"/>
      <c r="Q725" s="387"/>
    </row>
    <row r="726" ht="21.75" customHeight="1">
      <c r="B726" s="387"/>
      <c r="C726" s="413"/>
      <c r="D726" s="414"/>
      <c r="E726" s="414"/>
      <c r="F726" s="415"/>
      <c r="G726" s="423"/>
      <c r="H726" s="424"/>
      <c r="I726" s="416"/>
      <c r="J726" s="417"/>
      <c r="K726" s="418"/>
      <c r="L726" s="419"/>
      <c r="M726" s="420"/>
      <c r="N726" s="421"/>
      <c r="O726" s="421"/>
      <c r="P726" s="422"/>
      <c r="Q726" s="387"/>
    </row>
    <row r="727" ht="21.75" customHeight="1">
      <c r="B727" s="387"/>
      <c r="C727" s="413"/>
      <c r="D727" s="414"/>
      <c r="E727" s="414"/>
      <c r="F727" s="415"/>
      <c r="G727" s="423"/>
      <c r="H727" s="424"/>
      <c r="I727" s="416"/>
      <c r="J727" s="417"/>
      <c r="K727" s="418"/>
      <c r="L727" s="419"/>
      <c r="M727" s="420"/>
      <c r="N727" s="421"/>
      <c r="O727" s="421"/>
      <c r="P727" s="422"/>
      <c r="Q727" s="387"/>
    </row>
    <row r="728" ht="21.75" customHeight="1">
      <c r="B728" s="387"/>
      <c r="C728" s="413"/>
      <c r="D728" s="414"/>
      <c r="E728" s="414"/>
      <c r="F728" s="415"/>
      <c r="G728" s="423"/>
      <c r="H728" s="424"/>
      <c r="I728" s="416"/>
      <c r="J728" s="417"/>
      <c r="K728" s="418"/>
      <c r="L728" s="419"/>
      <c r="M728" s="420"/>
      <c r="N728" s="421"/>
      <c r="O728" s="421"/>
      <c r="P728" s="422"/>
      <c r="Q728" s="387"/>
    </row>
    <row r="729" ht="21.75" customHeight="1">
      <c r="B729" s="387"/>
      <c r="C729" s="413"/>
      <c r="D729" s="414"/>
      <c r="E729" s="414"/>
      <c r="F729" s="415"/>
      <c r="G729" s="423"/>
      <c r="H729" s="424"/>
      <c r="I729" s="416"/>
      <c r="J729" s="417"/>
      <c r="K729" s="418"/>
      <c r="L729" s="419"/>
      <c r="M729" s="420"/>
      <c r="N729" s="421"/>
      <c r="O729" s="421"/>
      <c r="P729" s="422"/>
      <c r="Q729" s="387"/>
    </row>
    <row r="730" ht="21.75" customHeight="1">
      <c r="B730" s="387"/>
      <c r="C730" s="413"/>
      <c r="D730" s="414"/>
      <c r="E730" s="414"/>
      <c r="F730" s="415"/>
      <c r="G730" s="423"/>
      <c r="H730" s="424"/>
      <c r="I730" s="416"/>
      <c r="J730" s="417"/>
      <c r="K730" s="418"/>
      <c r="L730" s="419"/>
      <c r="M730" s="420"/>
      <c r="N730" s="421"/>
      <c r="O730" s="421"/>
      <c r="P730" s="422"/>
      <c r="Q730" s="387"/>
    </row>
    <row r="731" ht="21.75" customHeight="1">
      <c r="B731" s="387"/>
      <c r="C731" s="413"/>
      <c r="D731" s="414"/>
      <c r="E731" s="414"/>
      <c r="F731" s="415"/>
      <c r="G731" s="423"/>
      <c r="H731" s="424"/>
      <c r="I731" s="416"/>
      <c r="J731" s="417"/>
      <c r="K731" s="418"/>
      <c r="L731" s="419"/>
      <c r="M731" s="420"/>
      <c r="N731" s="421"/>
      <c r="O731" s="421"/>
      <c r="P731" s="422"/>
      <c r="Q731" s="387"/>
    </row>
    <row r="732" ht="21.75" customHeight="1">
      <c r="B732" s="387"/>
      <c r="C732" s="413"/>
      <c r="D732" s="414"/>
      <c r="E732" s="414"/>
      <c r="F732" s="415"/>
      <c r="G732" s="423"/>
      <c r="H732" s="424"/>
      <c r="I732" s="416"/>
      <c r="J732" s="417"/>
      <c r="K732" s="418"/>
      <c r="L732" s="419"/>
      <c r="M732" s="420"/>
      <c r="N732" s="421"/>
      <c r="O732" s="421"/>
      <c r="P732" s="422"/>
      <c r="Q732" s="387"/>
    </row>
    <row r="733" ht="21.75" customHeight="1">
      <c r="B733" s="387"/>
      <c r="C733" s="413"/>
      <c r="D733" s="414"/>
      <c r="E733" s="414"/>
      <c r="F733" s="415"/>
      <c r="G733" s="423"/>
      <c r="H733" s="424"/>
      <c r="I733" s="416"/>
      <c r="J733" s="417"/>
      <c r="K733" s="418"/>
      <c r="L733" s="419"/>
      <c r="M733" s="420"/>
      <c r="N733" s="421"/>
      <c r="O733" s="421"/>
      <c r="P733" s="422"/>
      <c r="Q733" s="387"/>
    </row>
    <row r="734" ht="21.75" customHeight="1">
      <c r="B734" s="387"/>
      <c r="C734" s="413"/>
      <c r="D734" s="414"/>
      <c r="E734" s="414"/>
      <c r="F734" s="415"/>
      <c r="G734" s="423"/>
      <c r="H734" s="424"/>
      <c r="I734" s="416"/>
      <c r="J734" s="417"/>
      <c r="K734" s="418"/>
      <c r="L734" s="419"/>
      <c r="M734" s="420"/>
      <c r="N734" s="421"/>
      <c r="O734" s="421"/>
      <c r="P734" s="422"/>
      <c r="Q734" s="387"/>
    </row>
    <row r="735" ht="21.75" customHeight="1">
      <c r="B735" s="387"/>
      <c r="C735" s="413"/>
      <c r="D735" s="414"/>
      <c r="E735" s="414"/>
      <c r="F735" s="415"/>
      <c r="G735" s="423"/>
      <c r="H735" s="424"/>
      <c r="I735" s="416"/>
      <c r="J735" s="417"/>
      <c r="K735" s="418"/>
      <c r="L735" s="419"/>
      <c r="M735" s="420"/>
      <c r="N735" s="421"/>
      <c r="O735" s="421"/>
      <c r="P735" s="422"/>
      <c r="Q735" s="387"/>
    </row>
    <row r="736" ht="21.75" customHeight="1">
      <c r="B736" s="387"/>
      <c r="C736" s="413"/>
      <c r="D736" s="414"/>
      <c r="E736" s="414"/>
      <c r="F736" s="415"/>
      <c r="G736" s="423"/>
      <c r="H736" s="424"/>
      <c r="I736" s="416"/>
      <c r="J736" s="417"/>
      <c r="K736" s="418"/>
      <c r="L736" s="419"/>
      <c r="M736" s="420"/>
      <c r="N736" s="421"/>
      <c r="O736" s="421"/>
      <c r="P736" s="422"/>
      <c r="Q736" s="387"/>
    </row>
    <row r="737" ht="21.75" customHeight="1">
      <c r="B737" s="387"/>
      <c r="C737" s="413"/>
      <c r="D737" s="414"/>
      <c r="E737" s="414"/>
      <c r="F737" s="415"/>
      <c r="G737" s="423"/>
      <c r="H737" s="424"/>
      <c r="I737" s="416"/>
      <c r="J737" s="417"/>
      <c r="K737" s="418"/>
      <c r="L737" s="419"/>
      <c r="M737" s="420"/>
      <c r="N737" s="421"/>
      <c r="O737" s="421"/>
      <c r="P737" s="422"/>
      <c r="Q737" s="387"/>
    </row>
    <row r="738" ht="21.75" customHeight="1">
      <c r="B738" s="387"/>
      <c r="C738" s="413"/>
      <c r="D738" s="414"/>
      <c r="E738" s="414"/>
      <c r="F738" s="415"/>
      <c r="G738" s="423"/>
      <c r="H738" s="424"/>
      <c r="I738" s="416"/>
      <c r="J738" s="417"/>
      <c r="K738" s="418"/>
      <c r="L738" s="419"/>
      <c r="M738" s="420"/>
      <c r="N738" s="421"/>
      <c r="O738" s="421"/>
      <c r="P738" s="422"/>
      <c r="Q738" s="387"/>
    </row>
    <row r="739" ht="21.75" customHeight="1">
      <c r="B739" s="387"/>
      <c r="C739" s="413"/>
      <c r="D739" s="414"/>
      <c r="E739" s="414"/>
      <c r="F739" s="415"/>
      <c r="G739" s="423"/>
      <c r="H739" s="424"/>
      <c r="I739" s="416"/>
      <c r="J739" s="417"/>
      <c r="K739" s="418"/>
      <c r="L739" s="419"/>
      <c r="M739" s="420"/>
      <c r="N739" s="421"/>
      <c r="O739" s="421"/>
      <c r="P739" s="422"/>
      <c r="Q739" s="387"/>
    </row>
    <row r="740" ht="21.75" customHeight="1">
      <c r="B740" s="387"/>
      <c r="C740" s="413"/>
      <c r="D740" s="414"/>
      <c r="E740" s="414"/>
      <c r="F740" s="415"/>
      <c r="G740" s="423"/>
      <c r="H740" s="424"/>
      <c r="I740" s="416"/>
      <c r="J740" s="417"/>
      <c r="K740" s="418"/>
      <c r="L740" s="419"/>
      <c r="M740" s="420"/>
      <c r="N740" s="421"/>
      <c r="O740" s="421"/>
      <c r="P740" s="422"/>
      <c r="Q740" s="387"/>
    </row>
    <row r="741" ht="21.75" customHeight="1">
      <c r="B741" s="387"/>
      <c r="C741" s="413"/>
      <c r="D741" s="414"/>
      <c r="E741" s="414"/>
      <c r="F741" s="415"/>
      <c r="G741" s="423"/>
      <c r="H741" s="424"/>
      <c r="I741" s="416"/>
      <c r="J741" s="417"/>
      <c r="K741" s="418"/>
      <c r="L741" s="419"/>
      <c r="M741" s="420"/>
      <c r="N741" s="421"/>
      <c r="O741" s="421"/>
      <c r="P741" s="422"/>
      <c r="Q741" s="387"/>
    </row>
    <row r="742" ht="21.75" customHeight="1">
      <c r="B742" s="387"/>
      <c r="C742" s="413"/>
      <c r="D742" s="414"/>
      <c r="E742" s="414"/>
      <c r="F742" s="415"/>
      <c r="G742" s="423"/>
      <c r="H742" s="424"/>
      <c r="I742" s="416"/>
      <c r="J742" s="417"/>
      <c r="K742" s="418"/>
      <c r="L742" s="419"/>
      <c r="M742" s="420"/>
      <c r="N742" s="421"/>
      <c r="O742" s="421"/>
      <c r="P742" s="422"/>
      <c r="Q742" s="387"/>
    </row>
    <row r="743" ht="21.75" customHeight="1">
      <c r="B743" s="387"/>
      <c r="C743" s="413"/>
      <c r="D743" s="414"/>
      <c r="E743" s="414"/>
      <c r="F743" s="415"/>
      <c r="G743" s="423"/>
      <c r="H743" s="424"/>
      <c r="I743" s="416"/>
      <c r="J743" s="417"/>
      <c r="K743" s="418"/>
      <c r="L743" s="419"/>
      <c r="M743" s="420"/>
      <c r="N743" s="421"/>
      <c r="O743" s="421"/>
      <c r="P743" s="422"/>
      <c r="Q743" s="387"/>
    </row>
    <row r="744" ht="21.75" customHeight="1">
      <c r="B744" s="387"/>
      <c r="C744" s="413"/>
      <c r="D744" s="414"/>
      <c r="E744" s="414"/>
      <c r="F744" s="415"/>
      <c r="G744" s="423"/>
      <c r="H744" s="424"/>
      <c r="I744" s="416"/>
      <c r="J744" s="417"/>
      <c r="K744" s="418"/>
      <c r="L744" s="419"/>
      <c r="M744" s="420"/>
      <c r="N744" s="421"/>
      <c r="O744" s="421"/>
      <c r="P744" s="422"/>
      <c r="Q744" s="387"/>
    </row>
    <row r="745" ht="21.75" customHeight="1">
      <c r="B745" s="387"/>
      <c r="C745" s="413"/>
      <c r="D745" s="414"/>
      <c r="E745" s="414"/>
      <c r="F745" s="415"/>
      <c r="G745" s="423"/>
      <c r="H745" s="424"/>
      <c r="I745" s="416"/>
      <c r="J745" s="417"/>
      <c r="K745" s="418"/>
      <c r="L745" s="419"/>
      <c r="M745" s="420"/>
      <c r="N745" s="421"/>
      <c r="O745" s="421"/>
      <c r="P745" s="422"/>
      <c r="Q745" s="387"/>
    </row>
    <row r="746" ht="21.75" customHeight="1">
      <c r="B746" s="387"/>
      <c r="C746" s="413"/>
      <c r="D746" s="414"/>
      <c r="E746" s="414"/>
      <c r="F746" s="415"/>
      <c r="G746" s="423"/>
      <c r="H746" s="424"/>
      <c r="I746" s="416"/>
      <c r="J746" s="417"/>
      <c r="K746" s="418"/>
      <c r="L746" s="419"/>
      <c r="M746" s="420"/>
      <c r="N746" s="421"/>
      <c r="O746" s="421"/>
      <c r="P746" s="422"/>
      <c r="Q746" s="387"/>
    </row>
    <row r="747" ht="21.75" customHeight="1">
      <c r="B747" s="387"/>
      <c r="C747" s="413"/>
      <c r="D747" s="414"/>
      <c r="E747" s="414"/>
      <c r="F747" s="415"/>
      <c r="G747" s="423"/>
      <c r="H747" s="424"/>
      <c r="I747" s="416"/>
      <c r="J747" s="417"/>
      <c r="K747" s="418"/>
      <c r="L747" s="419"/>
      <c r="M747" s="420"/>
      <c r="N747" s="421"/>
      <c r="O747" s="421"/>
      <c r="P747" s="422"/>
      <c r="Q747" s="387"/>
    </row>
    <row r="748" ht="21.75" customHeight="1">
      <c r="B748" s="387"/>
      <c r="C748" s="413"/>
      <c r="D748" s="414"/>
      <c r="E748" s="414"/>
      <c r="F748" s="415"/>
      <c r="G748" s="423"/>
      <c r="H748" s="424"/>
      <c r="I748" s="416"/>
      <c r="J748" s="417"/>
      <c r="K748" s="418"/>
      <c r="L748" s="419"/>
      <c r="M748" s="420"/>
      <c r="N748" s="421"/>
      <c r="O748" s="421"/>
      <c r="P748" s="422"/>
      <c r="Q748" s="387"/>
    </row>
    <row r="749" ht="21.75" customHeight="1">
      <c r="B749" s="387"/>
      <c r="C749" s="413"/>
      <c r="D749" s="414"/>
      <c r="E749" s="414"/>
      <c r="F749" s="415"/>
      <c r="G749" s="423"/>
      <c r="H749" s="424"/>
      <c r="I749" s="416"/>
      <c r="J749" s="417"/>
      <c r="K749" s="418"/>
      <c r="L749" s="419"/>
      <c r="M749" s="420"/>
      <c r="N749" s="421"/>
      <c r="O749" s="421"/>
      <c r="P749" s="422"/>
      <c r="Q749" s="387"/>
    </row>
    <row r="750" ht="21.75" customHeight="1">
      <c r="B750" s="387"/>
      <c r="C750" s="413"/>
      <c r="D750" s="414"/>
      <c r="E750" s="414"/>
      <c r="F750" s="415"/>
      <c r="G750" s="423"/>
      <c r="H750" s="424"/>
      <c r="I750" s="416"/>
      <c r="J750" s="417"/>
      <c r="K750" s="418"/>
      <c r="L750" s="419"/>
      <c r="M750" s="420"/>
      <c r="N750" s="421"/>
      <c r="O750" s="421"/>
      <c r="P750" s="422"/>
      <c r="Q750" s="387"/>
    </row>
    <row r="751" ht="21.75" customHeight="1">
      <c r="B751" s="387"/>
      <c r="C751" s="413"/>
      <c r="D751" s="414"/>
      <c r="E751" s="414"/>
      <c r="F751" s="415"/>
      <c r="G751" s="423"/>
      <c r="H751" s="424"/>
      <c r="I751" s="416"/>
      <c r="J751" s="417"/>
      <c r="K751" s="418"/>
      <c r="L751" s="419"/>
      <c r="M751" s="420"/>
      <c r="N751" s="421"/>
      <c r="O751" s="421"/>
      <c r="P751" s="422"/>
      <c r="Q751" s="387"/>
    </row>
    <row r="752" ht="21.75" customHeight="1">
      <c r="B752" s="387"/>
      <c r="C752" s="413"/>
      <c r="D752" s="414"/>
      <c r="E752" s="414"/>
      <c r="F752" s="415"/>
      <c r="G752" s="423"/>
      <c r="H752" s="424"/>
      <c r="I752" s="416"/>
      <c r="J752" s="417"/>
      <c r="K752" s="418"/>
      <c r="L752" s="419"/>
      <c r="M752" s="420"/>
      <c r="N752" s="421"/>
      <c r="O752" s="421"/>
      <c r="P752" s="422"/>
      <c r="Q752" s="387"/>
    </row>
    <row r="753" ht="21.75" customHeight="1">
      <c r="B753" s="387"/>
      <c r="C753" s="413"/>
      <c r="D753" s="414"/>
      <c r="E753" s="414"/>
      <c r="F753" s="415"/>
      <c r="G753" s="423"/>
      <c r="H753" s="424"/>
      <c r="I753" s="416"/>
      <c r="J753" s="417"/>
      <c r="K753" s="418"/>
      <c r="L753" s="419"/>
      <c r="M753" s="420"/>
      <c r="N753" s="421"/>
      <c r="O753" s="421"/>
      <c r="P753" s="422"/>
      <c r="Q753" s="387"/>
    </row>
    <row r="754" ht="21.75" customHeight="1">
      <c r="B754" s="387"/>
      <c r="C754" s="413"/>
      <c r="D754" s="414"/>
      <c r="E754" s="414"/>
      <c r="F754" s="415"/>
      <c r="G754" s="423"/>
      <c r="H754" s="424"/>
      <c r="I754" s="416"/>
      <c r="J754" s="417"/>
      <c r="K754" s="418"/>
      <c r="L754" s="419"/>
      <c r="M754" s="420"/>
      <c r="N754" s="421"/>
      <c r="O754" s="421"/>
      <c r="P754" s="422"/>
      <c r="Q754" s="387"/>
    </row>
    <row r="755" ht="21.75" customHeight="1">
      <c r="B755" s="387"/>
      <c r="C755" s="413"/>
      <c r="D755" s="414"/>
      <c r="E755" s="414"/>
      <c r="F755" s="415"/>
      <c r="G755" s="423"/>
      <c r="H755" s="424"/>
      <c r="I755" s="416"/>
      <c r="J755" s="417"/>
      <c r="K755" s="418"/>
      <c r="L755" s="419"/>
      <c r="M755" s="420"/>
      <c r="N755" s="421"/>
      <c r="O755" s="421"/>
      <c r="P755" s="422"/>
      <c r="Q755" s="387"/>
    </row>
    <row r="756" ht="21.75" customHeight="1">
      <c r="B756" s="387"/>
      <c r="C756" s="413"/>
      <c r="D756" s="414"/>
      <c r="E756" s="414"/>
      <c r="F756" s="415"/>
      <c r="G756" s="423"/>
      <c r="H756" s="424"/>
      <c r="I756" s="416"/>
      <c r="J756" s="417"/>
      <c r="K756" s="418"/>
      <c r="L756" s="419"/>
      <c r="M756" s="420"/>
      <c r="N756" s="421"/>
      <c r="O756" s="421"/>
      <c r="P756" s="422"/>
      <c r="Q756" s="387"/>
    </row>
    <row r="757" ht="21.75" customHeight="1">
      <c r="B757" s="387"/>
      <c r="C757" s="413"/>
      <c r="D757" s="414"/>
      <c r="E757" s="414"/>
      <c r="F757" s="415"/>
      <c r="G757" s="423"/>
      <c r="H757" s="424"/>
      <c r="I757" s="416"/>
      <c r="J757" s="417"/>
      <c r="K757" s="418"/>
      <c r="L757" s="419"/>
      <c r="M757" s="420"/>
      <c r="N757" s="421"/>
      <c r="O757" s="421"/>
      <c r="P757" s="422"/>
      <c r="Q757" s="387"/>
    </row>
    <row r="758" ht="21.75" customHeight="1">
      <c r="B758" s="387"/>
      <c r="C758" s="413"/>
      <c r="D758" s="414"/>
      <c r="E758" s="414"/>
      <c r="F758" s="415"/>
      <c r="G758" s="423"/>
      <c r="H758" s="424"/>
      <c r="I758" s="416"/>
      <c r="J758" s="417"/>
      <c r="K758" s="418"/>
      <c r="L758" s="419"/>
      <c r="M758" s="420"/>
      <c r="N758" s="421"/>
      <c r="O758" s="421"/>
      <c r="P758" s="422"/>
      <c r="Q758" s="387"/>
    </row>
    <row r="759" ht="21.75" customHeight="1">
      <c r="B759" s="387"/>
      <c r="C759" s="413"/>
      <c r="D759" s="414"/>
      <c r="E759" s="414"/>
      <c r="F759" s="415"/>
      <c r="G759" s="423"/>
      <c r="H759" s="424"/>
      <c r="I759" s="416"/>
      <c r="J759" s="417"/>
      <c r="K759" s="418"/>
      <c r="L759" s="419"/>
      <c r="M759" s="420"/>
      <c r="N759" s="421"/>
      <c r="O759" s="421"/>
      <c r="P759" s="422"/>
      <c r="Q759" s="387"/>
    </row>
    <row r="760" ht="21.75" customHeight="1">
      <c r="B760" s="387"/>
      <c r="C760" s="413"/>
      <c r="D760" s="414"/>
      <c r="E760" s="414"/>
      <c r="F760" s="415"/>
      <c r="G760" s="423"/>
      <c r="H760" s="424"/>
      <c r="I760" s="416"/>
      <c r="J760" s="417"/>
      <c r="K760" s="418"/>
      <c r="L760" s="419"/>
      <c r="M760" s="420"/>
      <c r="N760" s="421"/>
      <c r="O760" s="421"/>
      <c r="P760" s="422"/>
      <c r="Q760" s="387"/>
    </row>
    <row r="761" ht="21.75" customHeight="1">
      <c r="B761" s="387"/>
      <c r="C761" s="413"/>
      <c r="D761" s="414"/>
      <c r="E761" s="414"/>
      <c r="F761" s="415"/>
      <c r="G761" s="423"/>
      <c r="H761" s="424"/>
      <c r="I761" s="416"/>
      <c r="J761" s="417"/>
      <c r="K761" s="418"/>
      <c r="L761" s="419"/>
      <c r="M761" s="420"/>
      <c r="N761" s="421"/>
      <c r="O761" s="421"/>
      <c r="P761" s="422"/>
      <c r="Q761" s="387"/>
    </row>
    <row r="762" ht="21.75" customHeight="1">
      <c r="B762" s="387"/>
      <c r="C762" s="413"/>
      <c r="D762" s="414"/>
      <c r="E762" s="414"/>
      <c r="F762" s="415"/>
      <c r="G762" s="423"/>
      <c r="H762" s="424"/>
      <c r="I762" s="416"/>
      <c r="J762" s="417"/>
      <c r="K762" s="418"/>
      <c r="L762" s="419"/>
      <c r="M762" s="420"/>
      <c r="N762" s="421"/>
      <c r="O762" s="421"/>
      <c r="P762" s="422"/>
      <c r="Q762" s="387"/>
    </row>
    <row r="763" ht="21.75" customHeight="1">
      <c r="B763" s="387"/>
      <c r="C763" s="413"/>
      <c r="D763" s="414"/>
      <c r="E763" s="414"/>
      <c r="F763" s="415"/>
      <c r="G763" s="423"/>
      <c r="H763" s="424"/>
      <c r="I763" s="416"/>
      <c r="J763" s="417"/>
      <c r="K763" s="418"/>
      <c r="L763" s="419"/>
      <c r="M763" s="420"/>
      <c r="N763" s="421"/>
      <c r="O763" s="421"/>
      <c r="P763" s="422"/>
      <c r="Q763" s="387"/>
    </row>
    <row r="764" ht="21.75" customHeight="1">
      <c r="B764" s="387"/>
      <c r="C764" s="413"/>
      <c r="D764" s="414"/>
      <c r="E764" s="414"/>
      <c r="F764" s="415"/>
      <c r="G764" s="423"/>
      <c r="H764" s="424"/>
      <c r="I764" s="416"/>
      <c r="J764" s="417"/>
      <c r="K764" s="418"/>
      <c r="L764" s="419"/>
      <c r="M764" s="420"/>
      <c r="N764" s="421"/>
      <c r="O764" s="421"/>
      <c r="P764" s="422"/>
      <c r="Q764" s="387"/>
    </row>
    <row r="765" ht="21.75" customHeight="1">
      <c r="B765" s="387"/>
      <c r="C765" s="413"/>
      <c r="D765" s="414"/>
      <c r="E765" s="414"/>
      <c r="F765" s="415"/>
      <c r="G765" s="423"/>
      <c r="H765" s="424"/>
      <c r="I765" s="416"/>
      <c r="J765" s="417"/>
      <c r="K765" s="418"/>
      <c r="L765" s="419"/>
      <c r="M765" s="420"/>
      <c r="N765" s="421"/>
      <c r="O765" s="421"/>
      <c r="P765" s="422"/>
      <c r="Q765" s="387"/>
    </row>
    <row r="766" ht="21.75" customHeight="1">
      <c r="B766" s="387"/>
      <c r="C766" s="413"/>
      <c r="D766" s="414"/>
      <c r="E766" s="414"/>
      <c r="F766" s="415"/>
      <c r="G766" s="423"/>
      <c r="H766" s="424"/>
      <c r="I766" s="416"/>
      <c r="J766" s="417"/>
      <c r="K766" s="418"/>
      <c r="L766" s="419"/>
      <c r="M766" s="420"/>
      <c r="N766" s="421"/>
      <c r="O766" s="421"/>
      <c r="P766" s="422"/>
      <c r="Q766" s="387"/>
    </row>
    <row r="767" ht="21.75" customHeight="1">
      <c r="B767" s="387"/>
      <c r="C767" s="413"/>
      <c r="D767" s="414"/>
      <c r="E767" s="414"/>
      <c r="F767" s="415"/>
      <c r="G767" s="423"/>
      <c r="H767" s="424"/>
      <c r="I767" s="416"/>
      <c r="J767" s="417"/>
      <c r="K767" s="418"/>
      <c r="L767" s="419"/>
      <c r="M767" s="420"/>
      <c r="N767" s="421"/>
      <c r="O767" s="421"/>
      <c r="P767" s="422"/>
      <c r="Q767" s="387"/>
    </row>
    <row r="768" ht="21.75" customHeight="1">
      <c r="B768" s="387"/>
      <c r="C768" s="413"/>
      <c r="D768" s="414"/>
      <c r="E768" s="414"/>
      <c r="F768" s="415"/>
      <c r="G768" s="423"/>
      <c r="H768" s="424"/>
      <c r="I768" s="416"/>
      <c r="J768" s="417"/>
      <c r="K768" s="418"/>
      <c r="L768" s="419"/>
      <c r="M768" s="420"/>
      <c r="N768" s="421"/>
      <c r="O768" s="421"/>
      <c r="P768" s="422"/>
      <c r="Q768" s="387"/>
    </row>
    <row r="769" ht="21.75" customHeight="1">
      <c r="B769" s="387"/>
      <c r="C769" s="413"/>
      <c r="D769" s="414"/>
      <c r="E769" s="414"/>
      <c r="F769" s="415"/>
      <c r="G769" s="423"/>
      <c r="H769" s="424"/>
      <c r="I769" s="416"/>
      <c r="J769" s="417"/>
      <c r="K769" s="418"/>
      <c r="L769" s="419"/>
      <c r="M769" s="420"/>
      <c r="N769" s="421"/>
      <c r="O769" s="421"/>
      <c r="P769" s="422"/>
      <c r="Q769" s="387"/>
    </row>
    <row r="770" ht="21.75" customHeight="1">
      <c r="B770" s="387"/>
      <c r="C770" s="413"/>
      <c r="D770" s="414"/>
      <c r="E770" s="414"/>
      <c r="F770" s="415"/>
      <c r="G770" s="423"/>
      <c r="H770" s="424"/>
      <c r="I770" s="416"/>
      <c r="J770" s="417"/>
      <c r="K770" s="418"/>
      <c r="L770" s="419"/>
      <c r="M770" s="420"/>
      <c r="N770" s="421"/>
      <c r="O770" s="421"/>
      <c r="P770" s="422"/>
      <c r="Q770" s="387"/>
    </row>
    <row r="771" ht="21.75" customHeight="1">
      <c r="B771" s="387"/>
      <c r="C771" s="413"/>
      <c r="D771" s="414"/>
      <c r="E771" s="414"/>
      <c r="F771" s="415"/>
      <c r="G771" s="423"/>
      <c r="H771" s="424"/>
      <c r="I771" s="416"/>
      <c r="J771" s="417"/>
      <c r="K771" s="418"/>
      <c r="L771" s="419"/>
      <c r="M771" s="420"/>
      <c r="N771" s="421"/>
      <c r="O771" s="421"/>
      <c r="P771" s="422"/>
      <c r="Q771" s="387"/>
    </row>
    <row r="772" ht="21.75" customHeight="1">
      <c r="B772" s="387"/>
      <c r="C772" s="413"/>
      <c r="D772" s="414"/>
      <c r="E772" s="414"/>
      <c r="F772" s="415"/>
      <c r="G772" s="423"/>
      <c r="H772" s="424"/>
      <c r="I772" s="416"/>
      <c r="J772" s="417"/>
      <c r="K772" s="418"/>
      <c r="L772" s="419"/>
      <c r="M772" s="420"/>
      <c r="N772" s="421"/>
      <c r="O772" s="421"/>
      <c r="P772" s="422"/>
      <c r="Q772" s="387"/>
    </row>
    <row r="773" ht="21.75" customHeight="1">
      <c r="B773" s="387"/>
      <c r="C773" s="413"/>
      <c r="D773" s="414"/>
      <c r="E773" s="414"/>
      <c r="F773" s="415"/>
      <c r="G773" s="423"/>
      <c r="H773" s="424"/>
      <c r="I773" s="416"/>
      <c r="J773" s="417"/>
      <c r="K773" s="418"/>
      <c r="L773" s="419"/>
      <c r="M773" s="420"/>
      <c r="N773" s="421"/>
      <c r="O773" s="421"/>
      <c r="P773" s="422"/>
      <c r="Q773" s="387"/>
    </row>
    <row r="774" ht="21.75" customHeight="1">
      <c r="B774" s="387"/>
      <c r="C774" s="413"/>
      <c r="D774" s="414"/>
      <c r="E774" s="414"/>
      <c r="F774" s="415"/>
      <c r="G774" s="423"/>
      <c r="H774" s="424"/>
      <c r="I774" s="416"/>
      <c r="J774" s="417"/>
      <c r="K774" s="418"/>
      <c r="L774" s="419"/>
      <c r="M774" s="420"/>
      <c r="N774" s="421"/>
      <c r="O774" s="421"/>
      <c r="P774" s="422"/>
      <c r="Q774" s="387"/>
    </row>
    <row r="775" ht="21.75" customHeight="1">
      <c r="B775" s="387"/>
      <c r="C775" s="413"/>
      <c r="D775" s="414"/>
      <c r="E775" s="414"/>
      <c r="F775" s="415"/>
      <c r="G775" s="423"/>
      <c r="H775" s="424"/>
      <c r="I775" s="416"/>
      <c r="J775" s="417"/>
      <c r="K775" s="418"/>
      <c r="L775" s="419"/>
      <c r="M775" s="420"/>
      <c r="N775" s="421"/>
      <c r="O775" s="421"/>
      <c r="P775" s="422"/>
      <c r="Q775" s="387"/>
    </row>
    <row r="776" ht="21.75" customHeight="1">
      <c r="B776" s="387"/>
      <c r="C776" s="413"/>
      <c r="D776" s="414"/>
      <c r="E776" s="414"/>
      <c r="F776" s="415"/>
      <c r="G776" s="423"/>
      <c r="H776" s="424"/>
      <c r="I776" s="416"/>
      <c r="J776" s="417"/>
      <c r="K776" s="418"/>
      <c r="L776" s="419"/>
      <c r="M776" s="420"/>
      <c r="N776" s="421"/>
      <c r="O776" s="421"/>
      <c r="P776" s="422"/>
      <c r="Q776" s="387"/>
    </row>
    <row r="777" ht="21.75" customHeight="1">
      <c r="B777" s="387"/>
      <c r="C777" s="413"/>
      <c r="D777" s="414"/>
      <c r="E777" s="414"/>
      <c r="F777" s="415"/>
      <c r="G777" s="423"/>
      <c r="H777" s="424"/>
      <c r="I777" s="416"/>
      <c r="J777" s="417"/>
      <c r="K777" s="418"/>
      <c r="L777" s="419"/>
      <c r="M777" s="420"/>
      <c r="N777" s="421"/>
      <c r="O777" s="421"/>
      <c r="P777" s="422"/>
      <c r="Q777" s="387"/>
    </row>
    <row r="778" ht="21.75" customHeight="1">
      <c r="B778" s="387"/>
      <c r="C778" s="413"/>
      <c r="D778" s="414"/>
      <c r="E778" s="414"/>
      <c r="F778" s="415"/>
      <c r="G778" s="423"/>
      <c r="H778" s="424"/>
      <c r="I778" s="416"/>
      <c r="J778" s="417"/>
      <c r="K778" s="418"/>
      <c r="L778" s="419"/>
      <c r="M778" s="420"/>
      <c r="N778" s="421"/>
      <c r="O778" s="421"/>
      <c r="P778" s="422"/>
      <c r="Q778" s="387"/>
    </row>
    <row r="779" ht="21.75" customHeight="1">
      <c r="B779" s="387"/>
      <c r="C779" s="413"/>
      <c r="D779" s="414"/>
      <c r="E779" s="414"/>
      <c r="F779" s="415"/>
      <c r="G779" s="423"/>
      <c r="H779" s="424"/>
      <c r="I779" s="416"/>
      <c r="J779" s="417"/>
      <c r="K779" s="418"/>
      <c r="L779" s="419"/>
      <c r="M779" s="420"/>
      <c r="N779" s="421"/>
      <c r="O779" s="421"/>
      <c r="P779" s="422"/>
      <c r="Q779" s="387"/>
    </row>
    <row r="780" ht="21.75" customHeight="1">
      <c r="B780" s="387"/>
      <c r="C780" s="413"/>
      <c r="D780" s="414"/>
      <c r="E780" s="414"/>
      <c r="F780" s="415"/>
      <c r="G780" s="423"/>
      <c r="H780" s="424"/>
      <c r="I780" s="416"/>
      <c r="J780" s="417"/>
      <c r="K780" s="418"/>
      <c r="L780" s="419"/>
      <c r="M780" s="420"/>
      <c r="N780" s="421"/>
      <c r="O780" s="421"/>
      <c r="P780" s="422"/>
      <c r="Q780" s="387"/>
    </row>
    <row r="781" ht="21.75" customHeight="1">
      <c r="B781" s="387"/>
      <c r="C781" s="413"/>
      <c r="D781" s="414"/>
      <c r="E781" s="414"/>
      <c r="F781" s="415"/>
      <c r="G781" s="423"/>
      <c r="H781" s="424"/>
      <c r="I781" s="416"/>
      <c r="J781" s="417"/>
      <c r="K781" s="418"/>
      <c r="L781" s="419"/>
      <c r="M781" s="420"/>
      <c r="N781" s="421"/>
      <c r="O781" s="421"/>
      <c r="P781" s="422"/>
      <c r="Q781" s="387"/>
    </row>
    <row r="782" ht="21.75" customHeight="1">
      <c r="B782" s="387"/>
      <c r="C782" s="413"/>
      <c r="D782" s="414"/>
      <c r="E782" s="414"/>
      <c r="F782" s="415"/>
      <c r="G782" s="423"/>
      <c r="H782" s="424"/>
      <c r="I782" s="416"/>
      <c r="J782" s="417"/>
      <c r="K782" s="418"/>
      <c r="L782" s="419"/>
      <c r="M782" s="420"/>
      <c r="N782" s="421"/>
      <c r="O782" s="421"/>
      <c r="P782" s="422"/>
      <c r="Q782" s="387"/>
    </row>
    <row r="783" ht="21.75" customHeight="1">
      <c r="B783" s="387"/>
      <c r="C783" s="413"/>
      <c r="D783" s="414"/>
      <c r="E783" s="414"/>
      <c r="F783" s="415"/>
      <c r="G783" s="423"/>
      <c r="H783" s="424"/>
      <c r="I783" s="416"/>
      <c r="J783" s="417"/>
      <c r="K783" s="418"/>
      <c r="L783" s="419"/>
      <c r="M783" s="420"/>
      <c r="N783" s="421"/>
      <c r="O783" s="421"/>
      <c r="P783" s="422"/>
      <c r="Q783" s="387"/>
    </row>
    <row r="784" ht="21.75" customHeight="1">
      <c r="B784" s="387"/>
      <c r="C784" s="413"/>
      <c r="D784" s="414"/>
      <c r="E784" s="414"/>
      <c r="F784" s="415"/>
      <c r="G784" s="423"/>
      <c r="H784" s="424"/>
      <c r="I784" s="416"/>
      <c r="J784" s="417"/>
      <c r="K784" s="418"/>
      <c r="L784" s="419"/>
      <c r="M784" s="420"/>
      <c r="N784" s="421"/>
      <c r="O784" s="421"/>
      <c r="P784" s="422"/>
      <c r="Q784" s="387"/>
    </row>
    <row r="785" ht="21.75" customHeight="1">
      <c r="B785" s="387"/>
      <c r="C785" s="413"/>
      <c r="D785" s="414"/>
      <c r="E785" s="414"/>
      <c r="F785" s="415"/>
      <c r="G785" s="423"/>
      <c r="H785" s="424"/>
      <c r="I785" s="416"/>
      <c r="J785" s="417"/>
      <c r="K785" s="418"/>
      <c r="L785" s="419"/>
      <c r="M785" s="420"/>
      <c r="N785" s="421"/>
      <c r="O785" s="421"/>
      <c r="P785" s="422"/>
      <c r="Q785" s="387"/>
    </row>
    <row r="786" ht="21.75" customHeight="1">
      <c r="B786" s="387"/>
      <c r="C786" s="413"/>
      <c r="D786" s="414"/>
      <c r="E786" s="414"/>
      <c r="F786" s="415"/>
      <c r="G786" s="423"/>
      <c r="H786" s="424"/>
      <c r="I786" s="416"/>
      <c r="J786" s="417"/>
      <c r="K786" s="418"/>
      <c r="L786" s="419"/>
      <c r="M786" s="420"/>
      <c r="N786" s="421"/>
      <c r="O786" s="421"/>
      <c r="P786" s="422"/>
      <c r="Q786" s="387"/>
    </row>
    <row r="787" ht="21.75" customHeight="1">
      <c r="B787" s="387"/>
      <c r="C787" s="413"/>
      <c r="D787" s="414"/>
      <c r="E787" s="414"/>
      <c r="F787" s="415"/>
      <c r="G787" s="423"/>
      <c r="H787" s="424"/>
      <c r="I787" s="416"/>
      <c r="J787" s="417"/>
      <c r="K787" s="418"/>
      <c r="L787" s="419"/>
      <c r="M787" s="420"/>
      <c r="N787" s="421"/>
      <c r="O787" s="421"/>
      <c r="P787" s="422"/>
      <c r="Q787" s="387"/>
    </row>
    <row r="788" ht="21.75" customHeight="1">
      <c r="B788" s="387"/>
      <c r="C788" s="413"/>
      <c r="D788" s="414"/>
      <c r="E788" s="414"/>
      <c r="F788" s="415"/>
      <c r="G788" s="423"/>
      <c r="H788" s="424"/>
      <c r="I788" s="416"/>
      <c r="J788" s="417"/>
      <c r="K788" s="418"/>
      <c r="L788" s="419"/>
      <c r="M788" s="420"/>
      <c r="N788" s="421"/>
      <c r="O788" s="421"/>
      <c r="P788" s="422"/>
      <c r="Q788" s="387"/>
    </row>
    <row r="789" ht="21.75" customHeight="1">
      <c r="B789" s="387"/>
      <c r="C789" s="413"/>
      <c r="D789" s="414"/>
      <c r="E789" s="414"/>
      <c r="F789" s="415"/>
      <c r="G789" s="423"/>
      <c r="H789" s="424"/>
      <c r="I789" s="416"/>
      <c r="J789" s="417"/>
      <c r="K789" s="418"/>
      <c r="L789" s="419"/>
      <c r="M789" s="420"/>
      <c r="N789" s="421"/>
      <c r="O789" s="421"/>
      <c r="P789" s="422"/>
      <c r="Q789" s="387"/>
    </row>
    <row r="790" ht="21.75" customHeight="1">
      <c r="B790" s="387"/>
      <c r="C790" s="413"/>
      <c r="D790" s="414"/>
      <c r="E790" s="414"/>
      <c r="F790" s="415"/>
      <c r="G790" s="423"/>
      <c r="H790" s="424"/>
      <c r="I790" s="416"/>
      <c r="J790" s="417"/>
      <c r="K790" s="418"/>
      <c r="L790" s="419"/>
      <c r="M790" s="420"/>
      <c r="N790" s="421"/>
      <c r="O790" s="421"/>
      <c r="P790" s="422"/>
      <c r="Q790" s="387"/>
    </row>
    <row r="791" ht="21.75" customHeight="1">
      <c r="B791" s="387"/>
      <c r="C791" s="413"/>
      <c r="D791" s="414"/>
      <c r="E791" s="414"/>
      <c r="F791" s="415"/>
      <c r="G791" s="423"/>
      <c r="H791" s="424"/>
      <c r="I791" s="416"/>
      <c r="J791" s="417"/>
      <c r="K791" s="418"/>
      <c r="L791" s="419"/>
      <c r="M791" s="420"/>
      <c r="N791" s="421"/>
      <c r="O791" s="421"/>
      <c r="P791" s="422"/>
      <c r="Q791" s="387"/>
    </row>
    <row r="792" ht="21.75" customHeight="1">
      <c r="B792" s="387"/>
      <c r="C792" s="413"/>
      <c r="D792" s="414"/>
      <c r="E792" s="414"/>
      <c r="F792" s="415"/>
      <c r="G792" s="423"/>
      <c r="H792" s="424"/>
      <c r="I792" s="416"/>
      <c r="J792" s="417"/>
      <c r="K792" s="418"/>
      <c r="L792" s="419"/>
      <c r="M792" s="420"/>
      <c r="N792" s="421"/>
      <c r="O792" s="421"/>
      <c r="P792" s="422"/>
      <c r="Q792" s="387"/>
    </row>
    <row r="793" ht="21.75" customHeight="1">
      <c r="B793" s="387"/>
      <c r="C793" s="413"/>
      <c r="D793" s="414"/>
      <c r="E793" s="414"/>
      <c r="F793" s="415"/>
      <c r="G793" s="423"/>
      <c r="H793" s="424"/>
      <c r="I793" s="416"/>
      <c r="J793" s="417"/>
      <c r="K793" s="418"/>
      <c r="L793" s="419"/>
      <c r="M793" s="420"/>
      <c r="N793" s="421"/>
      <c r="O793" s="421"/>
      <c r="P793" s="422"/>
      <c r="Q793" s="387"/>
    </row>
    <row r="794" ht="21.75" customHeight="1">
      <c r="B794" s="387"/>
      <c r="C794" s="413"/>
      <c r="D794" s="414"/>
      <c r="E794" s="414"/>
      <c r="F794" s="415"/>
      <c r="G794" s="423"/>
      <c r="H794" s="424"/>
      <c r="I794" s="416"/>
      <c r="J794" s="417"/>
      <c r="K794" s="418"/>
      <c r="L794" s="419"/>
      <c r="M794" s="420"/>
      <c r="N794" s="421"/>
      <c r="O794" s="421"/>
      <c r="P794" s="422"/>
      <c r="Q794" s="387"/>
    </row>
    <row r="795" ht="21.75" customHeight="1">
      <c r="B795" s="387"/>
      <c r="C795" s="413"/>
      <c r="D795" s="414"/>
      <c r="E795" s="414"/>
      <c r="F795" s="415"/>
      <c r="G795" s="423"/>
      <c r="H795" s="424"/>
      <c r="I795" s="416"/>
      <c r="J795" s="417"/>
      <c r="K795" s="418"/>
      <c r="L795" s="419"/>
      <c r="M795" s="420"/>
      <c r="N795" s="421"/>
      <c r="O795" s="421"/>
      <c r="P795" s="422"/>
      <c r="Q795" s="387"/>
    </row>
    <row r="796" ht="21.75" customHeight="1">
      <c r="B796" s="387"/>
      <c r="C796" s="413"/>
      <c r="D796" s="414"/>
      <c r="E796" s="414"/>
      <c r="F796" s="415"/>
      <c r="G796" s="423"/>
      <c r="H796" s="424"/>
      <c r="I796" s="416"/>
      <c r="J796" s="417"/>
      <c r="K796" s="418"/>
      <c r="L796" s="419"/>
      <c r="M796" s="420"/>
      <c r="N796" s="421"/>
      <c r="O796" s="421"/>
      <c r="P796" s="422"/>
      <c r="Q796" s="387"/>
    </row>
    <row r="797" ht="21.75" customHeight="1">
      <c r="B797" s="387"/>
      <c r="C797" s="413"/>
      <c r="D797" s="414"/>
      <c r="E797" s="414"/>
      <c r="F797" s="415"/>
      <c r="G797" s="423"/>
      <c r="H797" s="424"/>
      <c r="I797" s="416"/>
      <c r="J797" s="417"/>
      <c r="K797" s="418"/>
      <c r="L797" s="419"/>
      <c r="M797" s="420"/>
      <c r="N797" s="421"/>
      <c r="O797" s="421"/>
      <c r="P797" s="422"/>
      <c r="Q797" s="387"/>
    </row>
    <row r="798" ht="21.75" customHeight="1">
      <c r="B798" s="387"/>
      <c r="C798" s="413"/>
      <c r="D798" s="414"/>
      <c r="E798" s="414"/>
      <c r="F798" s="415"/>
      <c r="G798" s="423"/>
      <c r="H798" s="424"/>
      <c r="I798" s="416"/>
      <c r="J798" s="417"/>
      <c r="K798" s="418"/>
      <c r="L798" s="419"/>
      <c r="M798" s="420"/>
      <c r="N798" s="421"/>
      <c r="O798" s="421"/>
      <c r="P798" s="422"/>
      <c r="Q798" s="387"/>
    </row>
    <row r="799" ht="21.75" customHeight="1">
      <c r="B799" s="387"/>
      <c r="C799" s="413"/>
      <c r="D799" s="414"/>
      <c r="E799" s="414"/>
      <c r="F799" s="415"/>
      <c r="G799" s="423"/>
      <c r="H799" s="424"/>
      <c r="I799" s="416"/>
      <c r="J799" s="417"/>
      <c r="K799" s="418"/>
      <c r="L799" s="419"/>
      <c r="M799" s="420"/>
      <c r="N799" s="421"/>
      <c r="O799" s="421"/>
      <c r="P799" s="422"/>
      <c r="Q799" s="387"/>
    </row>
    <row r="800" ht="21.75" customHeight="1">
      <c r="B800" s="387"/>
      <c r="C800" s="413"/>
      <c r="D800" s="414"/>
      <c r="E800" s="414"/>
      <c r="F800" s="415"/>
      <c r="G800" s="423"/>
      <c r="H800" s="424"/>
      <c r="I800" s="416"/>
      <c r="J800" s="417"/>
      <c r="K800" s="418"/>
      <c r="L800" s="419"/>
      <c r="M800" s="420"/>
      <c r="N800" s="421"/>
      <c r="O800" s="421"/>
      <c r="P800" s="422"/>
      <c r="Q800" s="387"/>
    </row>
    <row r="801" ht="21.75" customHeight="1">
      <c r="B801" s="387"/>
      <c r="C801" s="413"/>
      <c r="D801" s="414"/>
      <c r="E801" s="414"/>
      <c r="F801" s="415"/>
      <c r="G801" s="423"/>
      <c r="H801" s="424"/>
      <c r="I801" s="416"/>
      <c r="J801" s="417"/>
      <c r="K801" s="418"/>
      <c r="L801" s="419"/>
      <c r="M801" s="420"/>
      <c r="N801" s="421"/>
      <c r="O801" s="421"/>
      <c r="P801" s="422"/>
      <c r="Q801" s="387"/>
    </row>
    <row r="802" ht="21.75" customHeight="1">
      <c r="B802" s="387"/>
      <c r="C802" s="413"/>
      <c r="D802" s="414"/>
      <c r="E802" s="414"/>
      <c r="F802" s="415"/>
      <c r="G802" s="423"/>
      <c r="H802" s="424"/>
      <c r="I802" s="416"/>
      <c r="J802" s="417"/>
      <c r="K802" s="418"/>
      <c r="L802" s="419"/>
      <c r="M802" s="420"/>
      <c r="N802" s="421"/>
      <c r="O802" s="421"/>
      <c r="P802" s="422"/>
      <c r="Q802" s="387"/>
    </row>
    <row r="803" ht="21.75" customHeight="1">
      <c r="B803" s="387"/>
      <c r="C803" s="413"/>
      <c r="D803" s="414"/>
      <c r="E803" s="414"/>
      <c r="F803" s="415"/>
      <c r="G803" s="423"/>
      <c r="H803" s="424"/>
      <c r="I803" s="416"/>
      <c r="J803" s="417"/>
      <c r="K803" s="418"/>
      <c r="L803" s="419"/>
      <c r="M803" s="420"/>
      <c r="N803" s="421"/>
      <c r="O803" s="421"/>
      <c r="P803" s="422"/>
      <c r="Q803" s="387"/>
    </row>
    <row r="804" ht="21.75" customHeight="1">
      <c r="B804" s="387"/>
      <c r="C804" s="413"/>
      <c r="D804" s="414"/>
      <c r="E804" s="414"/>
      <c r="F804" s="415"/>
      <c r="G804" s="423"/>
      <c r="H804" s="424"/>
      <c r="I804" s="416"/>
      <c r="J804" s="417"/>
      <c r="K804" s="418"/>
      <c r="L804" s="419"/>
      <c r="M804" s="420"/>
      <c r="N804" s="421"/>
      <c r="O804" s="421"/>
      <c r="P804" s="422"/>
      <c r="Q804" s="387"/>
    </row>
    <row r="805" ht="21.75" customHeight="1">
      <c r="B805" s="387"/>
      <c r="C805" s="413"/>
      <c r="D805" s="414"/>
      <c r="E805" s="414"/>
      <c r="F805" s="415"/>
      <c r="G805" s="423"/>
      <c r="H805" s="424"/>
      <c r="I805" s="416"/>
      <c r="J805" s="417"/>
      <c r="K805" s="418"/>
      <c r="L805" s="419"/>
      <c r="M805" s="420"/>
      <c r="N805" s="421"/>
      <c r="O805" s="421"/>
      <c r="P805" s="422"/>
      <c r="Q805" s="387"/>
    </row>
    <row r="806" ht="21.75" customHeight="1">
      <c r="B806" s="387"/>
      <c r="C806" s="413"/>
      <c r="D806" s="414"/>
      <c r="E806" s="414"/>
      <c r="F806" s="415"/>
      <c r="G806" s="423"/>
      <c r="H806" s="424"/>
      <c r="I806" s="416"/>
      <c r="J806" s="417"/>
      <c r="K806" s="418"/>
      <c r="L806" s="419"/>
      <c r="M806" s="420"/>
      <c r="N806" s="421"/>
      <c r="O806" s="421"/>
      <c r="P806" s="422"/>
      <c r="Q806" s="387"/>
    </row>
    <row r="807" ht="21.75" customHeight="1">
      <c r="B807" s="387"/>
      <c r="C807" s="413"/>
      <c r="D807" s="414"/>
      <c r="E807" s="414"/>
      <c r="F807" s="415"/>
      <c r="G807" s="423"/>
      <c r="H807" s="424"/>
      <c r="I807" s="416"/>
      <c r="J807" s="417"/>
      <c r="K807" s="418"/>
      <c r="L807" s="419"/>
      <c r="M807" s="420"/>
      <c r="N807" s="421"/>
      <c r="O807" s="421"/>
      <c r="P807" s="422"/>
      <c r="Q807" s="387"/>
    </row>
    <row r="808" ht="21.75" customHeight="1">
      <c r="B808" s="387"/>
      <c r="C808" s="413"/>
      <c r="D808" s="414"/>
      <c r="E808" s="414"/>
      <c r="F808" s="415"/>
      <c r="G808" s="423"/>
      <c r="H808" s="424"/>
      <c r="I808" s="416"/>
      <c r="J808" s="417"/>
      <c r="K808" s="418"/>
      <c r="L808" s="419"/>
      <c r="M808" s="420"/>
      <c r="N808" s="421"/>
      <c r="O808" s="421"/>
      <c r="P808" s="422"/>
      <c r="Q808" s="387"/>
    </row>
    <row r="809" ht="21.75" customHeight="1">
      <c r="B809" s="387"/>
      <c r="C809" s="413"/>
      <c r="D809" s="414"/>
      <c r="E809" s="414"/>
      <c r="F809" s="415"/>
      <c r="G809" s="423"/>
      <c r="H809" s="424"/>
      <c r="I809" s="416"/>
      <c r="J809" s="417"/>
      <c r="K809" s="418"/>
      <c r="L809" s="419"/>
      <c r="M809" s="420"/>
      <c r="N809" s="421"/>
      <c r="O809" s="421"/>
      <c r="P809" s="422"/>
      <c r="Q809" s="387"/>
    </row>
    <row r="810" ht="21.75" customHeight="1">
      <c r="B810" s="387"/>
      <c r="C810" s="413"/>
      <c r="D810" s="414"/>
      <c r="E810" s="414"/>
      <c r="F810" s="415"/>
      <c r="G810" s="423"/>
      <c r="H810" s="424"/>
      <c r="I810" s="416"/>
      <c r="J810" s="417"/>
      <c r="K810" s="418"/>
      <c r="L810" s="419"/>
      <c r="M810" s="420"/>
      <c r="N810" s="421"/>
      <c r="O810" s="421"/>
      <c r="P810" s="422"/>
      <c r="Q810" s="387"/>
    </row>
    <row r="811" ht="21.75" customHeight="1">
      <c r="B811" s="387"/>
      <c r="C811" s="413"/>
      <c r="D811" s="414"/>
      <c r="E811" s="414"/>
      <c r="F811" s="415"/>
      <c r="G811" s="423"/>
      <c r="H811" s="424"/>
      <c r="I811" s="416"/>
      <c r="J811" s="417"/>
      <c r="K811" s="418"/>
      <c r="L811" s="419"/>
      <c r="M811" s="420"/>
      <c r="N811" s="421"/>
      <c r="O811" s="421"/>
      <c r="P811" s="422"/>
      <c r="Q811" s="387"/>
    </row>
    <row r="812" ht="21.75" customHeight="1">
      <c r="B812" s="387"/>
      <c r="C812" s="413"/>
      <c r="D812" s="414"/>
      <c r="E812" s="414"/>
      <c r="F812" s="415"/>
      <c r="G812" s="423"/>
      <c r="H812" s="424"/>
      <c r="I812" s="416"/>
      <c r="J812" s="417"/>
      <c r="K812" s="418"/>
      <c r="L812" s="419"/>
      <c r="M812" s="420"/>
      <c r="N812" s="421"/>
      <c r="O812" s="421"/>
      <c r="P812" s="422"/>
      <c r="Q812" s="387"/>
    </row>
    <row r="813" ht="21.75" customHeight="1">
      <c r="B813" s="387"/>
      <c r="C813" s="413"/>
      <c r="D813" s="414"/>
      <c r="E813" s="414"/>
      <c r="F813" s="415"/>
      <c r="G813" s="423"/>
      <c r="H813" s="424"/>
      <c r="I813" s="416"/>
      <c r="J813" s="417"/>
      <c r="K813" s="418"/>
      <c r="L813" s="419"/>
      <c r="M813" s="420"/>
      <c r="N813" s="421"/>
      <c r="O813" s="421"/>
      <c r="P813" s="422"/>
      <c r="Q813" s="387"/>
    </row>
    <row r="814" ht="21.75" customHeight="1">
      <c r="B814" s="387"/>
      <c r="C814" s="413"/>
      <c r="D814" s="414"/>
      <c r="E814" s="414"/>
      <c r="F814" s="415"/>
      <c r="G814" s="423"/>
      <c r="H814" s="424"/>
      <c r="I814" s="416"/>
      <c r="J814" s="417"/>
      <c r="K814" s="418"/>
      <c r="L814" s="419"/>
      <c r="M814" s="420"/>
      <c r="N814" s="421"/>
      <c r="O814" s="421"/>
      <c r="P814" s="422"/>
      <c r="Q814" s="387"/>
    </row>
    <row r="815" ht="21.75" customHeight="1">
      <c r="B815" s="387"/>
      <c r="C815" s="413"/>
      <c r="D815" s="414"/>
      <c r="E815" s="414"/>
      <c r="F815" s="415"/>
      <c r="G815" s="423"/>
      <c r="H815" s="424"/>
      <c r="I815" s="416"/>
      <c r="J815" s="417"/>
      <c r="K815" s="418"/>
      <c r="L815" s="419"/>
      <c r="M815" s="420"/>
      <c r="N815" s="421"/>
      <c r="O815" s="421"/>
      <c r="P815" s="422"/>
      <c r="Q815" s="387"/>
    </row>
    <row r="816" ht="21.75" customHeight="1">
      <c r="B816" s="387"/>
      <c r="C816" s="413"/>
      <c r="D816" s="414"/>
      <c r="E816" s="414"/>
      <c r="F816" s="415"/>
      <c r="G816" s="423"/>
      <c r="H816" s="424"/>
      <c r="I816" s="416"/>
      <c r="J816" s="417"/>
      <c r="K816" s="418"/>
      <c r="L816" s="419"/>
      <c r="M816" s="420"/>
      <c r="N816" s="421"/>
      <c r="O816" s="421"/>
      <c r="P816" s="422"/>
      <c r="Q816" s="387"/>
    </row>
    <row r="817" ht="21.75" customHeight="1">
      <c r="B817" s="387"/>
      <c r="C817" s="413"/>
      <c r="D817" s="414"/>
      <c r="E817" s="414"/>
      <c r="F817" s="415"/>
      <c r="G817" s="423"/>
      <c r="H817" s="424"/>
      <c r="I817" s="416"/>
      <c r="J817" s="417"/>
      <c r="K817" s="418"/>
      <c r="L817" s="419"/>
      <c r="M817" s="420"/>
      <c r="N817" s="421"/>
      <c r="O817" s="421"/>
      <c r="P817" s="422"/>
      <c r="Q817" s="387"/>
    </row>
    <row r="818" ht="21.75" customHeight="1">
      <c r="B818" s="387"/>
      <c r="C818" s="413"/>
      <c r="D818" s="414"/>
      <c r="E818" s="414"/>
      <c r="F818" s="415"/>
      <c r="G818" s="423"/>
      <c r="H818" s="424"/>
      <c r="I818" s="416"/>
      <c r="J818" s="417"/>
      <c r="K818" s="418"/>
      <c r="L818" s="419"/>
      <c r="M818" s="420"/>
      <c r="N818" s="421"/>
      <c r="O818" s="421"/>
      <c r="P818" s="422"/>
      <c r="Q818" s="387"/>
    </row>
    <row r="819" ht="21.75" customHeight="1">
      <c r="B819" s="387"/>
      <c r="C819" s="413"/>
      <c r="D819" s="414"/>
      <c r="E819" s="414"/>
      <c r="F819" s="415"/>
      <c r="G819" s="423"/>
      <c r="H819" s="424"/>
      <c r="I819" s="416"/>
      <c r="J819" s="417"/>
      <c r="K819" s="418"/>
      <c r="L819" s="419"/>
      <c r="M819" s="420"/>
      <c r="N819" s="421"/>
      <c r="O819" s="421"/>
      <c r="P819" s="422"/>
      <c r="Q819" s="387"/>
    </row>
    <row r="820" ht="21.75" customHeight="1">
      <c r="B820" s="387"/>
      <c r="C820" s="413"/>
      <c r="D820" s="414"/>
      <c r="E820" s="414"/>
      <c r="F820" s="415"/>
      <c r="G820" s="423"/>
      <c r="H820" s="424"/>
      <c r="I820" s="416"/>
      <c r="J820" s="417"/>
      <c r="K820" s="418"/>
      <c r="L820" s="419"/>
      <c r="M820" s="420"/>
      <c r="N820" s="421"/>
      <c r="O820" s="421"/>
      <c r="P820" s="422"/>
      <c r="Q820" s="387"/>
    </row>
    <row r="821" ht="21.75" customHeight="1">
      <c r="B821" s="387"/>
      <c r="C821" s="413"/>
      <c r="D821" s="414"/>
      <c r="E821" s="414"/>
      <c r="F821" s="415"/>
      <c r="G821" s="423"/>
      <c r="H821" s="424"/>
      <c r="I821" s="416"/>
      <c r="J821" s="417"/>
      <c r="K821" s="418"/>
      <c r="L821" s="419"/>
      <c r="M821" s="420"/>
      <c r="N821" s="421"/>
      <c r="O821" s="421"/>
      <c r="P821" s="422"/>
      <c r="Q821" s="387"/>
    </row>
    <row r="822" ht="21.75" customHeight="1">
      <c r="B822" s="387"/>
      <c r="C822" s="413"/>
      <c r="D822" s="414"/>
      <c r="E822" s="414"/>
      <c r="F822" s="415"/>
      <c r="G822" s="423"/>
      <c r="H822" s="424"/>
      <c r="I822" s="416"/>
      <c r="J822" s="417"/>
      <c r="K822" s="418"/>
      <c r="L822" s="419"/>
      <c r="M822" s="420"/>
      <c r="N822" s="421"/>
      <c r="O822" s="421"/>
      <c r="P822" s="422"/>
      <c r="Q822" s="387"/>
    </row>
    <row r="823" ht="21.75" customHeight="1">
      <c r="B823" s="387"/>
      <c r="C823" s="413"/>
      <c r="D823" s="414"/>
      <c r="E823" s="414"/>
      <c r="F823" s="415"/>
      <c r="G823" s="423"/>
      <c r="H823" s="424"/>
      <c r="I823" s="416"/>
      <c r="J823" s="417"/>
      <c r="K823" s="418"/>
      <c r="L823" s="419"/>
      <c r="M823" s="420"/>
      <c r="N823" s="421"/>
      <c r="O823" s="421"/>
      <c r="P823" s="422"/>
      <c r="Q823" s="387"/>
    </row>
    <row r="824" ht="21.75" customHeight="1">
      <c r="B824" s="387"/>
      <c r="C824" s="413"/>
      <c r="D824" s="414"/>
      <c r="E824" s="414"/>
      <c r="F824" s="415"/>
      <c r="G824" s="423"/>
      <c r="H824" s="424"/>
      <c r="I824" s="416"/>
      <c r="J824" s="417"/>
      <c r="K824" s="418"/>
      <c r="L824" s="419"/>
      <c r="M824" s="420"/>
      <c r="N824" s="421"/>
      <c r="O824" s="421"/>
      <c r="P824" s="422"/>
      <c r="Q824" s="387"/>
    </row>
    <row r="825" ht="21.75" customHeight="1">
      <c r="B825" s="387"/>
      <c r="C825" s="413"/>
      <c r="D825" s="414"/>
      <c r="E825" s="414"/>
      <c r="F825" s="415"/>
      <c r="G825" s="423"/>
      <c r="H825" s="424"/>
      <c r="I825" s="416"/>
      <c r="J825" s="417"/>
      <c r="K825" s="418"/>
      <c r="L825" s="419"/>
      <c r="M825" s="420"/>
      <c r="N825" s="421"/>
      <c r="O825" s="421"/>
      <c r="P825" s="422"/>
      <c r="Q825" s="387"/>
    </row>
    <row r="826" ht="21.75" customHeight="1">
      <c r="B826" s="387"/>
      <c r="C826" s="413"/>
      <c r="D826" s="414"/>
      <c r="E826" s="414"/>
      <c r="F826" s="415"/>
      <c r="G826" s="423"/>
      <c r="H826" s="424"/>
      <c r="I826" s="416"/>
      <c r="J826" s="417"/>
      <c r="K826" s="418"/>
      <c r="L826" s="419"/>
      <c r="M826" s="420"/>
      <c r="N826" s="421"/>
      <c r="O826" s="421"/>
      <c r="P826" s="422"/>
      <c r="Q826" s="387"/>
    </row>
    <row r="827" ht="21.75" customHeight="1">
      <c r="B827" s="387"/>
      <c r="C827" s="413"/>
      <c r="D827" s="414"/>
      <c r="E827" s="414"/>
      <c r="F827" s="415"/>
      <c r="G827" s="423"/>
      <c r="H827" s="424"/>
      <c r="I827" s="416"/>
      <c r="J827" s="417"/>
      <c r="K827" s="418"/>
      <c r="L827" s="419"/>
      <c r="M827" s="420"/>
      <c r="N827" s="421"/>
      <c r="O827" s="421"/>
      <c r="P827" s="422"/>
      <c r="Q827" s="387"/>
    </row>
    <row r="828" ht="21.75" customHeight="1">
      <c r="B828" s="387"/>
      <c r="C828" s="413"/>
      <c r="D828" s="414"/>
      <c r="E828" s="414"/>
      <c r="F828" s="415"/>
      <c r="G828" s="423"/>
      <c r="H828" s="424"/>
      <c r="I828" s="416"/>
      <c r="J828" s="417"/>
      <c r="K828" s="418"/>
      <c r="L828" s="419"/>
      <c r="M828" s="420"/>
      <c r="N828" s="421"/>
      <c r="O828" s="421"/>
      <c r="P828" s="422"/>
      <c r="Q828" s="387"/>
    </row>
    <row r="829" ht="21.75" customHeight="1">
      <c r="B829" s="387"/>
      <c r="C829" s="413"/>
      <c r="D829" s="414"/>
      <c r="E829" s="414"/>
      <c r="F829" s="415"/>
      <c r="G829" s="423"/>
      <c r="H829" s="424"/>
      <c r="I829" s="416"/>
      <c r="J829" s="417"/>
      <c r="K829" s="418"/>
      <c r="L829" s="419"/>
      <c r="M829" s="420"/>
      <c r="N829" s="421"/>
      <c r="O829" s="421"/>
      <c r="P829" s="422"/>
      <c r="Q829" s="387"/>
    </row>
    <row r="830" ht="21.75" customHeight="1">
      <c r="B830" s="387"/>
      <c r="C830" s="413"/>
      <c r="D830" s="414"/>
      <c r="E830" s="414"/>
      <c r="F830" s="415"/>
      <c r="G830" s="423"/>
      <c r="H830" s="424"/>
      <c r="I830" s="416"/>
      <c r="J830" s="417"/>
      <c r="K830" s="418"/>
      <c r="L830" s="419"/>
      <c r="M830" s="420"/>
      <c r="N830" s="421"/>
      <c r="O830" s="421"/>
      <c r="P830" s="422"/>
      <c r="Q830" s="387"/>
    </row>
    <row r="831" ht="21.75" customHeight="1">
      <c r="B831" s="387"/>
      <c r="C831" s="413"/>
      <c r="D831" s="414"/>
      <c r="E831" s="414"/>
      <c r="F831" s="415"/>
      <c r="G831" s="423"/>
      <c r="H831" s="424"/>
      <c r="I831" s="416"/>
      <c r="J831" s="417"/>
      <c r="K831" s="418"/>
      <c r="L831" s="419"/>
      <c r="M831" s="420"/>
      <c r="N831" s="421"/>
      <c r="O831" s="421"/>
      <c r="P831" s="422"/>
      <c r="Q831" s="387"/>
    </row>
    <row r="832" ht="21.75" customHeight="1">
      <c r="B832" s="387"/>
      <c r="C832" s="413"/>
      <c r="D832" s="414"/>
      <c r="E832" s="414"/>
      <c r="F832" s="415"/>
      <c r="G832" s="423"/>
      <c r="H832" s="424"/>
      <c r="I832" s="416"/>
      <c r="J832" s="417"/>
      <c r="K832" s="418"/>
      <c r="L832" s="419"/>
      <c r="M832" s="420"/>
      <c r="N832" s="421"/>
      <c r="O832" s="421"/>
      <c r="P832" s="422"/>
      <c r="Q832" s="387"/>
    </row>
    <row r="833" ht="21.75" customHeight="1">
      <c r="B833" s="387"/>
      <c r="C833" s="413"/>
      <c r="D833" s="414"/>
      <c r="E833" s="414"/>
      <c r="F833" s="415"/>
      <c r="G833" s="423"/>
      <c r="H833" s="424"/>
      <c r="I833" s="416"/>
      <c r="J833" s="417"/>
      <c r="K833" s="418"/>
      <c r="L833" s="419"/>
      <c r="M833" s="420"/>
      <c r="N833" s="421"/>
      <c r="O833" s="421"/>
      <c r="P833" s="422"/>
      <c r="Q833" s="387"/>
    </row>
    <row r="834" ht="21.75" customHeight="1">
      <c r="B834" s="387"/>
      <c r="C834" s="413"/>
      <c r="D834" s="414"/>
      <c r="E834" s="414"/>
      <c r="F834" s="415"/>
      <c r="G834" s="423"/>
      <c r="H834" s="424"/>
      <c r="I834" s="416"/>
      <c r="J834" s="417"/>
      <c r="K834" s="418"/>
      <c r="L834" s="419"/>
      <c r="M834" s="420"/>
      <c r="N834" s="421"/>
      <c r="O834" s="421"/>
      <c r="P834" s="422"/>
      <c r="Q834" s="387"/>
    </row>
    <row r="835" ht="21.75" customHeight="1">
      <c r="B835" s="387"/>
      <c r="C835" s="413"/>
      <c r="D835" s="414"/>
      <c r="E835" s="414"/>
      <c r="F835" s="415"/>
      <c r="G835" s="423"/>
      <c r="H835" s="424"/>
      <c r="I835" s="416"/>
      <c r="J835" s="417"/>
      <c r="K835" s="418"/>
      <c r="L835" s="419"/>
      <c r="M835" s="420"/>
      <c r="N835" s="421"/>
      <c r="O835" s="421"/>
      <c r="P835" s="422"/>
      <c r="Q835" s="387"/>
    </row>
    <row r="836" ht="21.75" customHeight="1">
      <c r="B836" s="387"/>
      <c r="C836" s="413"/>
      <c r="D836" s="414"/>
      <c r="E836" s="414"/>
      <c r="F836" s="415"/>
      <c r="G836" s="423"/>
      <c r="H836" s="424"/>
      <c r="I836" s="416"/>
      <c r="J836" s="417"/>
      <c r="K836" s="418"/>
      <c r="L836" s="419"/>
      <c r="M836" s="420"/>
      <c r="N836" s="421"/>
      <c r="O836" s="421"/>
      <c r="P836" s="422"/>
      <c r="Q836" s="387"/>
    </row>
    <row r="837" ht="21.75" customHeight="1">
      <c r="B837" s="387"/>
      <c r="C837" s="413"/>
      <c r="D837" s="414"/>
      <c r="E837" s="414"/>
      <c r="F837" s="415"/>
      <c r="G837" s="423"/>
      <c r="H837" s="424"/>
      <c r="I837" s="416"/>
      <c r="J837" s="417"/>
      <c r="K837" s="418"/>
      <c r="L837" s="419"/>
      <c r="M837" s="420"/>
      <c r="N837" s="421"/>
      <c r="O837" s="421"/>
      <c r="P837" s="422"/>
      <c r="Q837" s="387"/>
    </row>
    <row r="838" ht="21.75" customHeight="1">
      <c r="B838" s="387"/>
      <c r="C838" s="413"/>
      <c r="D838" s="414"/>
      <c r="E838" s="414"/>
      <c r="F838" s="415"/>
      <c r="G838" s="423"/>
      <c r="H838" s="424"/>
      <c r="I838" s="416"/>
      <c r="J838" s="417"/>
      <c r="K838" s="418"/>
      <c r="L838" s="419"/>
      <c r="M838" s="420"/>
      <c r="N838" s="421"/>
      <c r="O838" s="421"/>
      <c r="P838" s="422"/>
      <c r="Q838" s="387"/>
    </row>
    <row r="839" ht="21.75" customHeight="1">
      <c r="B839" s="387"/>
      <c r="C839" s="413"/>
      <c r="D839" s="414"/>
      <c r="E839" s="414"/>
      <c r="F839" s="415"/>
      <c r="G839" s="423"/>
      <c r="H839" s="424"/>
      <c r="I839" s="416"/>
      <c r="J839" s="417"/>
      <c r="K839" s="418"/>
      <c r="L839" s="419"/>
      <c r="M839" s="420"/>
      <c r="N839" s="421"/>
      <c r="O839" s="421"/>
      <c r="P839" s="422"/>
      <c r="Q839" s="387"/>
    </row>
    <row r="840" ht="21.75" customHeight="1">
      <c r="B840" s="387"/>
      <c r="C840" s="413"/>
      <c r="D840" s="414"/>
      <c r="E840" s="414"/>
      <c r="F840" s="415"/>
      <c r="G840" s="423"/>
      <c r="H840" s="424"/>
      <c r="I840" s="416"/>
      <c r="J840" s="417"/>
      <c r="K840" s="418"/>
      <c r="L840" s="419"/>
      <c r="M840" s="420"/>
      <c r="N840" s="421"/>
      <c r="O840" s="421"/>
      <c r="P840" s="422"/>
      <c r="Q840" s="387"/>
    </row>
    <row r="841" ht="21.75" customHeight="1">
      <c r="B841" s="387"/>
      <c r="C841" s="413"/>
      <c r="D841" s="414"/>
      <c r="E841" s="414"/>
      <c r="F841" s="415"/>
      <c r="G841" s="423"/>
      <c r="H841" s="424"/>
      <c r="I841" s="416"/>
      <c r="J841" s="417"/>
      <c r="K841" s="418"/>
      <c r="L841" s="419"/>
      <c r="M841" s="420"/>
      <c r="N841" s="421"/>
      <c r="O841" s="421"/>
      <c r="P841" s="422"/>
      <c r="Q841" s="387"/>
    </row>
    <row r="842" ht="21.75" customHeight="1">
      <c r="B842" s="387"/>
      <c r="C842" s="413"/>
      <c r="D842" s="414"/>
      <c r="E842" s="414"/>
      <c r="F842" s="415"/>
      <c r="G842" s="423"/>
      <c r="H842" s="424"/>
      <c r="I842" s="416"/>
      <c r="J842" s="417"/>
      <c r="K842" s="418"/>
      <c r="L842" s="419"/>
      <c r="M842" s="420"/>
      <c r="N842" s="421"/>
      <c r="O842" s="421"/>
      <c r="P842" s="422"/>
      <c r="Q842" s="387"/>
    </row>
    <row r="843" ht="21.75" customHeight="1">
      <c r="B843" s="387"/>
      <c r="C843" s="413"/>
      <c r="D843" s="414"/>
      <c r="E843" s="414"/>
      <c r="F843" s="415"/>
      <c r="G843" s="423"/>
      <c r="H843" s="424"/>
      <c r="I843" s="416"/>
      <c r="J843" s="417"/>
      <c r="K843" s="418"/>
      <c r="L843" s="419"/>
      <c r="M843" s="420"/>
      <c r="N843" s="421"/>
      <c r="O843" s="421"/>
      <c r="P843" s="422"/>
      <c r="Q843" s="387"/>
    </row>
    <row r="844" ht="21.75" customHeight="1">
      <c r="B844" s="387"/>
      <c r="C844" s="413"/>
      <c r="D844" s="414"/>
      <c r="E844" s="414"/>
      <c r="F844" s="415"/>
      <c r="G844" s="423"/>
      <c r="H844" s="424"/>
      <c r="I844" s="416"/>
      <c r="J844" s="417"/>
      <c r="K844" s="418"/>
      <c r="L844" s="419"/>
      <c r="M844" s="420"/>
      <c r="N844" s="421"/>
      <c r="O844" s="421"/>
      <c r="P844" s="422"/>
      <c r="Q844" s="387"/>
    </row>
    <row r="845" ht="21.75" customHeight="1">
      <c r="B845" s="387"/>
      <c r="C845" s="413"/>
      <c r="D845" s="414"/>
      <c r="E845" s="414"/>
      <c r="F845" s="415"/>
      <c r="G845" s="423"/>
      <c r="H845" s="424"/>
      <c r="I845" s="416"/>
      <c r="J845" s="417"/>
      <c r="K845" s="418"/>
      <c r="L845" s="419"/>
      <c r="M845" s="420"/>
      <c r="N845" s="421"/>
      <c r="O845" s="421"/>
      <c r="P845" s="422"/>
      <c r="Q845" s="387"/>
    </row>
    <row r="846" ht="21.75" customHeight="1">
      <c r="B846" s="387"/>
      <c r="C846" s="413"/>
      <c r="D846" s="414"/>
      <c r="E846" s="414"/>
      <c r="F846" s="415"/>
      <c r="G846" s="423"/>
      <c r="H846" s="424"/>
      <c r="I846" s="416"/>
      <c r="J846" s="417"/>
      <c r="K846" s="418"/>
      <c r="L846" s="419"/>
      <c r="M846" s="420"/>
      <c r="N846" s="421"/>
      <c r="O846" s="421"/>
      <c r="P846" s="422"/>
      <c r="Q846" s="387"/>
    </row>
    <row r="847" ht="21.75" customHeight="1">
      <c r="B847" s="387"/>
      <c r="C847" s="413"/>
      <c r="D847" s="414"/>
      <c r="E847" s="414"/>
      <c r="F847" s="415"/>
      <c r="G847" s="423"/>
      <c r="H847" s="424"/>
      <c r="I847" s="416"/>
      <c r="J847" s="417"/>
      <c r="K847" s="418"/>
      <c r="L847" s="419"/>
      <c r="M847" s="420"/>
      <c r="N847" s="421"/>
      <c r="O847" s="421"/>
      <c r="P847" s="422"/>
      <c r="Q847" s="387"/>
    </row>
    <row r="848" ht="21.75" customHeight="1">
      <c r="B848" s="387"/>
      <c r="C848" s="413"/>
      <c r="D848" s="414"/>
      <c r="E848" s="414"/>
      <c r="F848" s="415"/>
      <c r="G848" s="423"/>
      <c r="H848" s="424"/>
      <c r="I848" s="416"/>
      <c r="J848" s="417"/>
      <c r="K848" s="418"/>
      <c r="L848" s="419"/>
      <c r="M848" s="420"/>
      <c r="N848" s="421"/>
      <c r="O848" s="421"/>
      <c r="P848" s="422"/>
      <c r="Q848" s="387"/>
    </row>
    <row r="849" ht="21.75" customHeight="1">
      <c r="B849" s="387"/>
      <c r="C849" s="413"/>
      <c r="D849" s="414"/>
      <c r="E849" s="414"/>
      <c r="F849" s="415"/>
      <c r="G849" s="423"/>
      <c r="H849" s="424"/>
      <c r="I849" s="416"/>
      <c r="J849" s="417"/>
      <c r="K849" s="418"/>
      <c r="L849" s="419"/>
      <c r="M849" s="420"/>
      <c r="N849" s="421"/>
      <c r="O849" s="421"/>
      <c r="P849" s="422"/>
      <c r="Q849" s="387"/>
    </row>
    <row r="850" ht="21.75" customHeight="1">
      <c r="B850" s="387"/>
      <c r="C850" s="413"/>
      <c r="D850" s="414"/>
      <c r="E850" s="414"/>
      <c r="F850" s="415"/>
      <c r="G850" s="423"/>
      <c r="H850" s="424"/>
      <c r="I850" s="416"/>
      <c r="J850" s="417"/>
      <c r="K850" s="418"/>
      <c r="L850" s="419"/>
      <c r="M850" s="420"/>
      <c r="N850" s="421"/>
      <c r="O850" s="421"/>
      <c r="P850" s="422"/>
      <c r="Q850" s="387"/>
    </row>
    <row r="851" ht="21.75" customHeight="1">
      <c r="B851" s="387"/>
      <c r="C851" s="413"/>
      <c r="D851" s="414"/>
      <c r="E851" s="414"/>
      <c r="F851" s="415"/>
      <c r="G851" s="423"/>
      <c r="H851" s="424"/>
      <c r="I851" s="416"/>
      <c r="J851" s="417"/>
      <c r="K851" s="418"/>
      <c r="L851" s="419"/>
      <c r="M851" s="420"/>
      <c r="N851" s="421"/>
      <c r="O851" s="421"/>
      <c r="P851" s="422"/>
      <c r="Q851" s="387"/>
    </row>
    <row r="852" ht="21.75" customHeight="1">
      <c r="B852" s="387"/>
      <c r="C852" s="413"/>
      <c r="D852" s="414"/>
      <c r="E852" s="414"/>
      <c r="F852" s="415"/>
      <c r="G852" s="423"/>
      <c r="H852" s="424"/>
      <c r="I852" s="416"/>
      <c r="J852" s="417"/>
      <c r="K852" s="418"/>
      <c r="L852" s="419"/>
      <c r="M852" s="420"/>
      <c r="N852" s="421"/>
      <c r="O852" s="421"/>
      <c r="P852" s="422"/>
      <c r="Q852" s="387"/>
    </row>
    <row r="853" ht="21.75" customHeight="1">
      <c r="B853" s="387"/>
      <c r="C853" s="413"/>
      <c r="D853" s="414"/>
      <c r="E853" s="414"/>
      <c r="F853" s="415"/>
      <c r="G853" s="423"/>
      <c r="H853" s="424"/>
      <c r="I853" s="416"/>
      <c r="J853" s="417"/>
      <c r="K853" s="418"/>
      <c r="L853" s="419"/>
      <c r="M853" s="420"/>
      <c r="N853" s="421"/>
      <c r="O853" s="421"/>
      <c r="P853" s="422"/>
      <c r="Q853" s="387"/>
    </row>
    <row r="854" ht="21.75" customHeight="1">
      <c r="B854" s="387"/>
      <c r="C854" s="413"/>
      <c r="D854" s="414"/>
      <c r="E854" s="414"/>
      <c r="F854" s="415"/>
      <c r="G854" s="423"/>
      <c r="H854" s="424"/>
      <c r="I854" s="416"/>
      <c r="J854" s="417"/>
      <c r="K854" s="418"/>
      <c r="L854" s="419"/>
      <c r="M854" s="420"/>
      <c r="N854" s="421"/>
      <c r="O854" s="421"/>
      <c r="P854" s="422"/>
      <c r="Q854" s="387"/>
    </row>
    <row r="855" ht="21.75" customHeight="1">
      <c r="B855" s="387"/>
      <c r="C855" s="413"/>
      <c r="D855" s="414"/>
      <c r="E855" s="414"/>
      <c r="F855" s="415"/>
      <c r="G855" s="423"/>
      <c r="H855" s="424"/>
      <c r="I855" s="416"/>
      <c r="J855" s="417"/>
      <c r="K855" s="418"/>
      <c r="L855" s="419"/>
      <c r="M855" s="420"/>
      <c r="N855" s="421"/>
      <c r="O855" s="421"/>
      <c r="P855" s="422"/>
      <c r="Q855" s="387"/>
    </row>
    <row r="856" ht="21.75" customHeight="1">
      <c r="B856" s="387"/>
      <c r="C856" s="413"/>
      <c r="D856" s="414"/>
      <c r="E856" s="414"/>
      <c r="F856" s="415"/>
      <c r="G856" s="423"/>
      <c r="H856" s="424"/>
      <c r="I856" s="416"/>
      <c r="J856" s="417"/>
      <c r="K856" s="418"/>
      <c r="L856" s="419"/>
      <c r="M856" s="420"/>
      <c r="N856" s="421"/>
      <c r="O856" s="421"/>
      <c r="P856" s="422"/>
      <c r="Q856" s="387"/>
    </row>
    <row r="857" ht="21.75" customHeight="1">
      <c r="B857" s="387"/>
      <c r="C857" s="413"/>
      <c r="D857" s="414"/>
      <c r="E857" s="414"/>
      <c r="F857" s="415"/>
      <c r="G857" s="423"/>
      <c r="H857" s="424"/>
      <c r="I857" s="416"/>
      <c r="J857" s="417"/>
      <c r="K857" s="418"/>
      <c r="L857" s="419"/>
      <c r="M857" s="420"/>
      <c r="N857" s="421"/>
      <c r="O857" s="421"/>
      <c r="P857" s="422"/>
      <c r="Q857" s="387"/>
    </row>
    <row r="858" ht="21.75" customHeight="1">
      <c r="B858" s="387"/>
      <c r="C858" s="413"/>
      <c r="D858" s="414"/>
      <c r="E858" s="414"/>
      <c r="F858" s="415"/>
      <c r="G858" s="423"/>
      <c r="H858" s="424"/>
      <c r="I858" s="416"/>
      <c r="J858" s="417"/>
      <c r="K858" s="418"/>
      <c r="L858" s="419"/>
      <c r="M858" s="420"/>
      <c r="N858" s="421"/>
      <c r="O858" s="421"/>
      <c r="P858" s="422"/>
      <c r="Q858" s="387"/>
    </row>
    <row r="859" ht="21.75" customHeight="1">
      <c r="B859" s="387"/>
      <c r="C859" s="413"/>
      <c r="D859" s="414"/>
      <c r="E859" s="414"/>
      <c r="F859" s="415"/>
      <c r="G859" s="423"/>
      <c r="H859" s="424"/>
      <c r="I859" s="416"/>
      <c r="J859" s="417"/>
      <c r="K859" s="418"/>
      <c r="L859" s="419"/>
      <c r="M859" s="420"/>
      <c r="N859" s="421"/>
      <c r="O859" s="421"/>
      <c r="P859" s="422"/>
      <c r="Q859" s="387"/>
    </row>
    <row r="860" ht="21.75" customHeight="1">
      <c r="B860" s="387"/>
      <c r="C860" s="413"/>
      <c r="D860" s="414"/>
      <c r="E860" s="414"/>
      <c r="F860" s="415"/>
      <c r="G860" s="423"/>
      <c r="H860" s="424"/>
      <c r="I860" s="416"/>
      <c r="J860" s="417"/>
      <c r="K860" s="418"/>
      <c r="L860" s="419"/>
      <c r="M860" s="420"/>
      <c r="N860" s="421"/>
      <c r="O860" s="421"/>
      <c r="P860" s="422"/>
      <c r="Q860" s="387"/>
    </row>
    <row r="861" ht="21.75" customHeight="1">
      <c r="B861" s="387"/>
      <c r="C861" s="413"/>
      <c r="D861" s="414"/>
      <c r="E861" s="414"/>
      <c r="F861" s="415"/>
      <c r="G861" s="423"/>
      <c r="H861" s="424"/>
      <c r="I861" s="416"/>
      <c r="J861" s="417"/>
      <c r="K861" s="418"/>
      <c r="L861" s="419"/>
      <c r="M861" s="420"/>
      <c r="N861" s="421"/>
      <c r="O861" s="421"/>
      <c r="P861" s="422"/>
      <c r="Q861" s="387"/>
    </row>
    <row r="862" ht="21.75" customHeight="1">
      <c r="B862" s="387"/>
      <c r="C862" s="413"/>
      <c r="D862" s="414"/>
      <c r="E862" s="414"/>
      <c r="F862" s="415"/>
      <c r="G862" s="423"/>
      <c r="H862" s="424"/>
      <c r="I862" s="416"/>
      <c r="J862" s="417"/>
      <c r="K862" s="418"/>
      <c r="L862" s="419"/>
      <c r="M862" s="420"/>
      <c r="N862" s="421"/>
      <c r="O862" s="421"/>
      <c r="P862" s="422"/>
      <c r="Q862" s="387"/>
    </row>
    <row r="863" ht="21.75" customHeight="1">
      <c r="B863" s="387"/>
      <c r="C863" s="413"/>
      <c r="D863" s="414"/>
      <c r="E863" s="414"/>
      <c r="F863" s="415"/>
      <c r="G863" s="423"/>
      <c r="H863" s="424"/>
      <c r="I863" s="416"/>
      <c r="J863" s="417"/>
      <c r="K863" s="418"/>
      <c r="L863" s="419"/>
      <c r="M863" s="420"/>
      <c r="N863" s="421"/>
      <c r="O863" s="421"/>
      <c r="P863" s="422"/>
      <c r="Q863" s="387"/>
    </row>
    <row r="864" ht="21.75" customHeight="1">
      <c r="B864" s="387"/>
      <c r="C864" s="413"/>
      <c r="D864" s="414"/>
      <c r="E864" s="414"/>
      <c r="F864" s="415"/>
      <c r="G864" s="423"/>
      <c r="H864" s="424"/>
      <c r="I864" s="416"/>
      <c r="J864" s="417"/>
      <c r="K864" s="418"/>
      <c r="L864" s="419"/>
      <c r="M864" s="420"/>
      <c r="N864" s="421"/>
      <c r="O864" s="421"/>
      <c r="P864" s="422"/>
      <c r="Q864" s="387"/>
    </row>
    <row r="865" ht="21.75" customHeight="1">
      <c r="B865" s="387"/>
      <c r="C865" s="413"/>
      <c r="D865" s="414"/>
      <c r="E865" s="414"/>
      <c r="F865" s="415"/>
      <c r="G865" s="423"/>
      <c r="H865" s="424"/>
      <c r="I865" s="416"/>
      <c r="J865" s="417"/>
      <c r="K865" s="418"/>
      <c r="L865" s="419"/>
      <c r="M865" s="420"/>
      <c r="N865" s="421"/>
      <c r="O865" s="421"/>
      <c r="P865" s="422"/>
      <c r="Q865" s="387"/>
    </row>
    <row r="866" ht="21.75" customHeight="1">
      <c r="B866" s="387"/>
      <c r="C866" s="413"/>
      <c r="D866" s="414"/>
      <c r="E866" s="414"/>
      <c r="F866" s="415"/>
      <c r="G866" s="423"/>
      <c r="H866" s="424"/>
      <c r="I866" s="416"/>
      <c r="J866" s="417"/>
      <c r="K866" s="418"/>
      <c r="L866" s="419"/>
      <c r="M866" s="420"/>
      <c r="N866" s="421"/>
      <c r="O866" s="421"/>
      <c r="P866" s="422"/>
      <c r="Q866" s="387"/>
    </row>
    <row r="867" ht="21.75" customHeight="1">
      <c r="B867" s="387"/>
      <c r="C867" s="413"/>
      <c r="D867" s="414"/>
      <c r="E867" s="414"/>
      <c r="F867" s="415"/>
      <c r="G867" s="423"/>
      <c r="H867" s="424"/>
      <c r="I867" s="416"/>
      <c r="J867" s="417"/>
      <c r="K867" s="418"/>
      <c r="L867" s="419"/>
      <c r="M867" s="420"/>
      <c r="N867" s="421"/>
      <c r="O867" s="421"/>
      <c r="P867" s="422"/>
      <c r="Q867" s="387"/>
    </row>
    <row r="868" ht="21.75" customHeight="1">
      <c r="B868" s="387"/>
      <c r="C868" s="413"/>
      <c r="D868" s="414"/>
      <c r="E868" s="414"/>
      <c r="F868" s="415"/>
      <c r="G868" s="423"/>
      <c r="H868" s="424"/>
      <c r="I868" s="416"/>
      <c r="J868" s="417"/>
      <c r="K868" s="418"/>
      <c r="L868" s="419"/>
      <c r="M868" s="420"/>
      <c r="N868" s="421"/>
      <c r="O868" s="421"/>
      <c r="P868" s="422"/>
      <c r="Q868" s="387"/>
    </row>
    <row r="869" ht="21.75" customHeight="1">
      <c r="B869" s="387"/>
      <c r="C869" s="413"/>
      <c r="D869" s="414"/>
      <c r="E869" s="414"/>
      <c r="F869" s="415"/>
      <c r="G869" s="423"/>
      <c r="H869" s="424"/>
      <c r="I869" s="416"/>
      <c r="J869" s="417"/>
      <c r="K869" s="418"/>
      <c r="L869" s="419"/>
      <c r="M869" s="420"/>
      <c r="N869" s="421"/>
      <c r="O869" s="421"/>
      <c r="P869" s="422"/>
      <c r="Q869" s="387"/>
    </row>
    <row r="870" ht="21.75" customHeight="1">
      <c r="B870" s="387"/>
      <c r="C870" s="413"/>
      <c r="D870" s="414"/>
      <c r="E870" s="414"/>
      <c r="F870" s="415"/>
      <c r="G870" s="423"/>
      <c r="H870" s="424"/>
      <c r="I870" s="416"/>
      <c r="J870" s="417"/>
      <c r="K870" s="418"/>
      <c r="L870" s="419"/>
      <c r="M870" s="420"/>
      <c r="N870" s="421"/>
      <c r="O870" s="421"/>
      <c r="P870" s="422"/>
      <c r="Q870" s="387"/>
    </row>
    <row r="871" ht="21.75" customHeight="1">
      <c r="B871" s="387"/>
      <c r="C871" s="413"/>
      <c r="D871" s="414"/>
      <c r="E871" s="414"/>
      <c r="F871" s="415"/>
      <c r="G871" s="423"/>
      <c r="H871" s="424"/>
      <c r="I871" s="416"/>
      <c r="J871" s="417"/>
      <c r="K871" s="418"/>
      <c r="L871" s="419"/>
      <c r="M871" s="420"/>
      <c r="N871" s="421"/>
      <c r="O871" s="421"/>
      <c r="P871" s="422"/>
      <c r="Q871" s="387"/>
    </row>
    <row r="872" ht="21.75" customHeight="1">
      <c r="B872" s="387"/>
      <c r="C872" s="413"/>
      <c r="D872" s="414"/>
      <c r="E872" s="414"/>
      <c r="F872" s="415"/>
      <c r="G872" s="423"/>
      <c r="H872" s="424"/>
      <c r="I872" s="416"/>
      <c r="J872" s="417"/>
      <c r="K872" s="418"/>
      <c r="L872" s="419"/>
      <c r="M872" s="420"/>
      <c r="N872" s="421"/>
      <c r="O872" s="421"/>
      <c r="P872" s="422"/>
      <c r="Q872" s="387"/>
    </row>
    <row r="873" ht="21.75" customHeight="1">
      <c r="B873" s="387"/>
      <c r="C873" s="413"/>
      <c r="D873" s="414"/>
      <c r="E873" s="414"/>
      <c r="F873" s="415"/>
      <c r="G873" s="423"/>
      <c r="H873" s="424"/>
      <c r="I873" s="416"/>
      <c r="J873" s="417"/>
      <c r="K873" s="418"/>
      <c r="L873" s="419"/>
      <c r="M873" s="420"/>
      <c r="N873" s="421"/>
      <c r="O873" s="421"/>
      <c r="P873" s="422"/>
      <c r="Q873" s="387"/>
    </row>
    <row r="874" ht="21.75" customHeight="1">
      <c r="B874" s="387"/>
      <c r="C874" s="413"/>
      <c r="D874" s="414"/>
      <c r="E874" s="414"/>
      <c r="F874" s="415"/>
      <c r="G874" s="423"/>
      <c r="H874" s="424"/>
      <c r="I874" s="416"/>
      <c r="J874" s="417"/>
      <c r="K874" s="418"/>
      <c r="L874" s="419"/>
      <c r="M874" s="420"/>
      <c r="N874" s="421"/>
      <c r="O874" s="421"/>
      <c r="P874" s="422"/>
      <c r="Q874" s="387"/>
    </row>
    <row r="875" ht="21.75" customHeight="1">
      <c r="B875" s="387"/>
      <c r="C875" s="413"/>
      <c r="D875" s="414"/>
      <c r="E875" s="414"/>
      <c r="F875" s="415"/>
      <c r="G875" s="423"/>
      <c r="H875" s="424"/>
      <c r="I875" s="416"/>
      <c r="J875" s="417"/>
      <c r="K875" s="418"/>
      <c r="L875" s="419"/>
      <c r="M875" s="420"/>
      <c r="N875" s="421"/>
      <c r="O875" s="421"/>
      <c r="P875" s="422"/>
      <c r="Q875" s="387"/>
    </row>
    <row r="876" ht="21.75" customHeight="1">
      <c r="B876" s="387"/>
      <c r="C876" s="413"/>
      <c r="D876" s="414"/>
      <c r="E876" s="414"/>
      <c r="F876" s="415"/>
      <c r="G876" s="423"/>
      <c r="H876" s="424"/>
      <c r="I876" s="416"/>
      <c r="J876" s="417"/>
      <c r="K876" s="418"/>
      <c r="L876" s="419"/>
      <c r="M876" s="420"/>
      <c r="N876" s="421"/>
      <c r="O876" s="421"/>
      <c r="P876" s="422"/>
      <c r="Q876" s="387"/>
    </row>
    <row r="877" ht="21.75" customHeight="1">
      <c r="B877" s="387"/>
      <c r="C877" s="413"/>
      <c r="D877" s="414"/>
      <c r="E877" s="414"/>
      <c r="F877" s="415"/>
      <c r="G877" s="423"/>
      <c r="H877" s="424"/>
      <c r="I877" s="416"/>
      <c r="J877" s="417"/>
      <c r="K877" s="418"/>
      <c r="L877" s="419"/>
      <c r="M877" s="420"/>
      <c r="N877" s="421"/>
      <c r="O877" s="421"/>
      <c r="P877" s="422"/>
      <c r="Q877" s="387"/>
    </row>
    <row r="878" ht="21.75" customHeight="1">
      <c r="B878" s="387"/>
      <c r="C878" s="413"/>
      <c r="D878" s="414"/>
      <c r="E878" s="414"/>
      <c r="F878" s="415"/>
      <c r="G878" s="423"/>
      <c r="H878" s="424"/>
      <c r="I878" s="416"/>
      <c r="J878" s="417"/>
      <c r="K878" s="418"/>
      <c r="L878" s="419"/>
      <c r="M878" s="420"/>
      <c r="N878" s="421"/>
      <c r="O878" s="421"/>
      <c r="P878" s="422"/>
      <c r="Q878" s="387"/>
    </row>
    <row r="879" ht="21.75" customHeight="1">
      <c r="B879" s="387"/>
      <c r="C879" s="413"/>
      <c r="D879" s="414"/>
      <c r="E879" s="414"/>
      <c r="F879" s="415"/>
      <c r="G879" s="423"/>
      <c r="H879" s="424"/>
      <c r="I879" s="416"/>
      <c r="J879" s="417"/>
      <c r="K879" s="418"/>
      <c r="L879" s="419"/>
      <c r="M879" s="420"/>
      <c r="N879" s="421"/>
      <c r="O879" s="421"/>
      <c r="P879" s="422"/>
      <c r="Q879" s="387"/>
    </row>
    <row r="880" ht="21.75" customHeight="1">
      <c r="B880" s="387"/>
      <c r="C880" s="413"/>
      <c r="D880" s="414"/>
      <c r="E880" s="414"/>
      <c r="F880" s="415"/>
      <c r="G880" s="423"/>
      <c r="H880" s="424"/>
      <c r="I880" s="416"/>
      <c r="J880" s="417"/>
      <c r="K880" s="418"/>
      <c r="L880" s="419"/>
      <c r="M880" s="420"/>
      <c r="N880" s="421"/>
      <c r="O880" s="421"/>
      <c r="P880" s="422"/>
      <c r="Q880" s="387"/>
    </row>
    <row r="881" ht="21.75" customHeight="1">
      <c r="B881" s="387"/>
      <c r="C881" s="413"/>
      <c r="D881" s="414"/>
      <c r="E881" s="414"/>
      <c r="F881" s="415"/>
      <c r="G881" s="423"/>
      <c r="H881" s="424"/>
      <c r="I881" s="416"/>
      <c r="J881" s="417"/>
      <c r="K881" s="418"/>
      <c r="L881" s="419"/>
      <c r="M881" s="420"/>
      <c r="N881" s="421"/>
      <c r="O881" s="421"/>
      <c r="P881" s="422"/>
      <c r="Q881" s="387"/>
    </row>
    <row r="882" ht="21.75" customHeight="1">
      <c r="B882" s="387"/>
      <c r="C882" s="413"/>
      <c r="D882" s="414"/>
      <c r="E882" s="414"/>
      <c r="F882" s="415"/>
      <c r="G882" s="423"/>
      <c r="H882" s="424"/>
      <c r="I882" s="416"/>
      <c r="J882" s="417"/>
      <c r="K882" s="418"/>
      <c r="L882" s="419"/>
      <c r="M882" s="420"/>
      <c r="N882" s="421"/>
      <c r="O882" s="421"/>
      <c r="P882" s="422"/>
      <c r="Q882" s="387"/>
    </row>
    <row r="883" ht="21.75" customHeight="1">
      <c r="B883" s="387"/>
      <c r="C883" s="413"/>
      <c r="D883" s="414"/>
      <c r="E883" s="414"/>
      <c r="F883" s="415"/>
      <c r="G883" s="423"/>
      <c r="H883" s="424"/>
      <c r="I883" s="416"/>
      <c r="J883" s="417"/>
      <c r="K883" s="418"/>
      <c r="L883" s="419"/>
      <c r="M883" s="420"/>
      <c r="N883" s="421"/>
      <c r="O883" s="421"/>
      <c r="P883" s="422"/>
      <c r="Q883" s="387"/>
    </row>
    <row r="884" ht="21.75" customHeight="1">
      <c r="B884" s="387"/>
      <c r="C884" s="413"/>
      <c r="D884" s="414"/>
      <c r="E884" s="414"/>
      <c r="F884" s="415"/>
      <c r="G884" s="423"/>
      <c r="H884" s="424"/>
      <c r="I884" s="416"/>
      <c r="J884" s="417"/>
      <c r="K884" s="418"/>
      <c r="L884" s="419"/>
      <c r="M884" s="420"/>
      <c r="N884" s="421"/>
      <c r="O884" s="421"/>
      <c r="P884" s="422"/>
      <c r="Q884" s="387"/>
    </row>
    <row r="885" ht="21.75" customHeight="1">
      <c r="B885" s="387"/>
      <c r="C885" s="413"/>
      <c r="D885" s="414"/>
      <c r="E885" s="414"/>
      <c r="F885" s="415"/>
      <c r="G885" s="423"/>
      <c r="H885" s="424"/>
      <c r="I885" s="416"/>
      <c r="J885" s="417"/>
      <c r="K885" s="418"/>
      <c r="L885" s="419"/>
      <c r="M885" s="420"/>
      <c r="N885" s="421"/>
      <c r="O885" s="421"/>
      <c r="P885" s="422"/>
      <c r="Q885" s="387"/>
    </row>
    <row r="886" ht="21.75" customHeight="1">
      <c r="B886" s="387"/>
      <c r="C886" s="413"/>
      <c r="D886" s="414"/>
      <c r="E886" s="414"/>
      <c r="F886" s="415"/>
      <c r="G886" s="423"/>
      <c r="H886" s="424"/>
      <c r="I886" s="416"/>
      <c r="J886" s="417"/>
      <c r="K886" s="418"/>
      <c r="L886" s="419"/>
      <c r="M886" s="420"/>
      <c r="N886" s="421"/>
      <c r="O886" s="421"/>
      <c r="P886" s="422"/>
      <c r="Q886" s="387"/>
    </row>
    <row r="887" ht="21.75" customHeight="1">
      <c r="B887" s="387"/>
      <c r="C887" s="413"/>
      <c r="D887" s="414"/>
      <c r="E887" s="414"/>
      <c r="F887" s="415"/>
      <c r="G887" s="423"/>
      <c r="H887" s="424"/>
      <c r="I887" s="416"/>
      <c r="J887" s="417"/>
      <c r="K887" s="418"/>
      <c r="L887" s="419"/>
      <c r="M887" s="420"/>
      <c r="N887" s="421"/>
      <c r="O887" s="421"/>
      <c r="P887" s="422"/>
      <c r="Q887" s="387"/>
    </row>
    <row r="888" ht="21.75" customHeight="1">
      <c r="B888" s="387"/>
      <c r="C888" s="413"/>
      <c r="D888" s="414"/>
      <c r="E888" s="414"/>
      <c r="F888" s="415"/>
      <c r="G888" s="423"/>
      <c r="H888" s="424"/>
      <c r="I888" s="416"/>
      <c r="J888" s="417"/>
      <c r="K888" s="418"/>
      <c r="L888" s="419"/>
      <c r="M888" s="420"/>
      <c r="N888" s="421"/>
      <c r="O888" s="421"/>
      <c r="P888" s="422"/>
      <c r="Q888" s="387"/>
    </row>
    <row r="889" ht="21.75" customHeight="1">
      <c r="B889" s="387"/>
      <c r="C889" s="413"/>
      <c r="D889" s="414"/>
      <c r="E889" s="414"/>
      <c r="F889" s="415"/>
      <c r="G889" s="423"/>
      <c r="H889" s="424"/>
      <c r="I889" s="416"/>
      <c r="J889" s="417"/>
      <c r="K889" s="418"/>
      <c r="L889" s="419"/>
      <c r="M889" s="420"/>
      <c r="N889" s="421"/>
      <c r="O889" s="421"/>
      <c r="P889" s="422"/>
      <c r="Q889" s="387"/>
    </row>
    <row r="890" ht="21.75" customHeight="1">
      <c r="B890" s="387"/>
      <c r="C890" s="413"/>
      <c r="D890" s="414"/>
      <c r="E890" s="414"/>
      <c r="F890" s="415"/>
      <c r="G890" s="423"/>
      <c r="H890" s="424"/>
      <c r="I890" s="416"/>
      <c r="J890" s="417"/>
      <c r="K890" s="418"/>
      <c r="L890" s="419"/>
      <c r="M890" s="420"/>
      <c r="N890" s="421"/>
      <c r="O890" s="421"/>
      <c r="P890" s="422"/>
      <c r="Q890" s="387"/>
    </row>
    <row r="891" ht="21.75" customHeight="1">
      <c r="B891" s="387"/>
      <c r="C891" s="413"/>
      <c r="D891" s="414"/>
      <c r="E891" s="414"/>
      <c r="F891" s="415"/>
      <c r="G891" s="423"/>
      <c r="H891" s="424"/>
      <c r="I891" s="416"/>
      <c r="J891" s="417"/>
      <c r="K891" s="418"/>
      <c r="L891" s="419"/>
      <c r="M891" s="420"/>
      <c r="N891" s="421"/>
      <c r="O891" s="421"/>
      <c r="P891" s="422"/>
      <c r="Q891" s="387"/>
    </row>
    <row r="892" ht="21.75" customHeight="1">
      <c r="B892" s="387"/>
      <c r="C892" s="413"/>
      <c r="D892" s="414"/>
      <c r="E892" s="414"/>
      <c r="F892" s="415"/>
      <c r="G892" s="423"/>
      <c r="H892" s="424"/>
      <c r="I892" s="416"/>
      <c r="J892" s="417"/>
      <c r="K892" s="418"/>
      <c r="L892" s="419"/>
      <c r="M892" s="420"/>
      <c r="N892" s="421"/>
      <c r="O892" s="421"/>
      <c r="P892" s="422"/>
      <c r="Q892" s="387"/>
    </row>
    <row r="893" ht="21.75" customHeight="1">
      <c r="B893" s="387"/>
      <c r="C893" s="413"/>
      <c r="D893" s="414"/>
      <c r="E893" s="414"/>
      <c r="F893" s="415"/>
      <c r="G893" s="423"/>
      <c r="H893" s="424"/>
      <c r="I893" s="416"/>
      <c r="J893" s="417"/>
      <c r="K893" s="418"/>
      <c r="L893" s="419"/>
      <c r="M893" s="420"/>
      <c r="N893" s="421"/>
      <c r="O893" s="421"/>
      <c r="P893" s="422"/>
      <c r="Q893" s="387"/>
    </row>
    <row r="894" ht="21.75" customHeight="1">
      <c r="B894" s="387"/>
      <c r="C894" s="413"/>
      <c r="D894" s="414"/>
      <c r="E894" s="414"/>
      <c r="F894" s="415"/>
      <c r="G894" s="423"/>
      <c r="H894" s="424"/>
      <c r="I894" s="416"/>
      <c r="J894" s="417"/>
      <c r="K894" s="418"/>
      <c r="L894" s="419"/>
      <c r="M894" s="420"/>
      <c r="N894" s="421"/>
      <c r="O894" s="421"/>
      <c r="P894" s="422"/>
      <c r="Q894" s="387"/>
    </row>
    <row r="895" ht="21.75" customHeight="1">
      <c r="B895" s="387"/>
      <c r="C895" s="413"/>
      <c r="D895" s="414"/>
      <c r="E895" s="414"/>
      <c r="F895" s="415"/>
      <c r="G895" s="423"/>
      <c r="H895" s="424"/>
      <c r="I895" s="416"/>
      <c r="J895" s="417"/>
      <c r="K895" s="418"/>
      <c r="L895" s="419"/>
      <c r="M895" s="420"/>
      <c r="N895" s="421"/>
      <c r="O895" s="421"/>
      <c r="P895" s="422"/>
      <c r="Q895" s="387"/>
    </row>
    <row r="896" ht="21.75" customHeight="1">
      <c r="B896" s="387"/>
      <c r="C896" s="413"/>
      <c r="D896" s="414"/>
      <c r="E896" s="414"/>
      <c r="F896" s="415"/>
      <c r="G896" s="423"/>
      <c r="H896" s="424"/>
      <c r="I896" s="416"/>
      <c r="J896" s="417"/>
      <c r="K896" s="418"/>
      <c r="L896" s="419"/>
      <c r="M896" s="420"/>
      <c r="N896" s="421"/>
      <c r="O896" s="421"/>
      <c r="P896" s="422"/>
      <c r="Q896" s="387"/>
    </row>
    <row r="897" ht="21.75" customHeight="1">
      <c r="B897" s="387"/>
      <c r="C897" s="413"/>
      <c r="D897" s="414"/>
      <c r="E897" s="414"/>
      <c r="F897" s="415"/>
      <c r="G897" s="423"/>
      <c r="H897" s="424"/>
      <c r="I897" s="416"/>
      <c r="J897" s="417"/>
      <c r="K897" s="418"/>
      <c r="L897" s="419"/>
      <c r="M897" s="420"/>
      <c r="N897" s="421"/>
      <c r="O897" s="421"/>
      <c r="P897" s="422"/>
      <c r="Q897" s="387"/>
    </row>
    <row r="898" ht="21.75" customHeight="1">
      <c r="B898" s="387"/>
      <c r="C898" s="413"/>
      <c r="D898" s="414"/>
      <c r="E898" s="414"/>
      <c r="F898" s="415"/>
      <c r="G898" s="423"/>
      <c r="H898" s="424"/>
      <c r="I898" s="416"/>
      <c r="J898" s="417"/>
      <c r="K898" s="418"/>
      <c r="L898" s="419"/>
      <c r="M898" s="420"/>
      <c r="N898" s="421"/>
      <c r="O898" s="421"/>
      <c r="P898" s="422"/>
      <c r="Q898" s="387"/>
    </row>
    <row r="899" ht="21.75" customHeight="1">
      <c r="B899" s="387"/>
      <c r="C899" s="413"/>
      <c r="D899" s="414"/>
      <c r="E899" s="414"/>
      <c r="F899" s="415"/>
      <c r="G899" s="423"/>
      <c r="H899" s="424"/>
      <c r="I899" s="416"/>
      <c r="J899" s="417"/>
      <c r="K899" s="418"/>
      <c r="L899" s="419"/>
      <c r="M899" s="420"/>
      <c r="N899" s="421"/>
      <c r="O899" s="421"/>
      <c r="P899" s="422"/>
      <c r="Q899" s="387"/>
    </row>
    <row r="900" ht="21.75" customHeight="1">
      <c r="B900" s="387"/>
      <c r="C900" s="413"/>
      <c r="D900" s="414"/>
      <c r="E900" s="414"/>
      <c r="F900" s="415"/>
      <c r="G900" s="423"/>
      <c r="H900" s="424"/>
      <c r="I900" s="416"/>
      <c r="J900" s="417"/>
      <c r="K900" s="418"/>
      <c r="L900" s="419"/>
      <c r="M900" s="420"/>
      <c r="N900" s="421"/>
      <c r="O900" s="421"/>
      <c r="P900" s="422"/>
      <c r="Q900" s="387"/>
    </row>
    <row r="901" ht="21.75" customHeight="1">
      <c r="B901" s="387"/>
      <c r="C901" s="413"/>
      <c r="D901" s="414"/>
      <c r="E901" s="414"/>
      <c r="F901" s="415"/>
      <c r="G901" s="423"/>
      <c r="H901" s="424"/>
      <c r="I901" s="416"/>
      <c r="J901" s="417"/>
      <c r="K901" s="418"/>
      <c r="L901" s="419"/>
      <c r="M901" s="420"/>
      <c r="N901" s="421"/>
      <c r="O901" s="421"/>
      <c r="P901" s="422"/>
      <c r="Q901" s="387"/>
    </row>
    <row r="902" ht="21.75" customHeight="1">
      <c r="B902" s="387"/>
      <c r="C902" s="413"/>
      <c r="D902" s="414"/>
      <c r="E902" s="414"/>
      <c r="F902" s="415"/>
      <c r="G902" s="423"/>
      <c r="H902" s="424"/>
      <c r="I902" s="416"/>
      <c r="J902" s="417"/>
      <c r="K902" s="418"/>
      <c r="L902" s="419"/>
      <c r="M902" s="420"/>
      <c r="N902" s="421"/>
      <c r="O902" s="421"/>
      <c r="P902" s="422"/>
      <c r="Q902" s="387"/>
    </row>
    <row r="903" ht="21.75" customHeight="1">
      <c r="B903" s="387"/>
      <c r="C903" s="413"/>
      <c r="D903" s="414"/>
      <c r="E903" s="414"/>
      <c r="F903" s="415"/>
      <c r="G903" s="423"/>
      <c r="H903" s="424"/>
      <c r="I903" s="416"/>
      <c r="J903" s="417"/>
      <c r="K903" s="418"/>
      <c r="L903" s="419"/>
      <c r="M903" s="420"/>
      <c r="N903" s="421"/>
      <c r="O903" s="421"/>
      <c r="P903" s="422"/>
      <c r="Q903" s="387"/>
    </row>
    <row r="904" ht="21.75" customHeight="1">
      <c r="B904" s="387"/>
      <c r="C904" s="413"/>
      <c r="D904" s="414"/>
      <c r="E904" s="414"/>
      <c r="F904" s="415"/>
      <c r="G904" s="423"/>
      <c r="H904" s="424"/>
      <c r="I904" s="416"/>
      <c r="J904" s="417"/>
      <c r="K904" s="418"/>
      <c r="L904" s="419"/>
      <c r="M904" s="420"/>
      <c r="N904" s="421"/>
      <c r="O904" s="421"/>
      <c r="P904" s="422"/>
      <c r="Q904" s="387"/>
    </row>
    <row r="905" ht="21.75" customHeight="1">
      <c r="B905" s="387"/>
      <c r="C905" s="413"/>
      <c r="D905" s="414"/>
      <c r="E905" s="414"/>
      <c r="F905" s="415"/>
      <c r="G905" s="423"/>
      <c r="H905" s="424"/>
      <c r="I905" s="416"/>
      <c r="J905" s="417"/>
      <c r="K905" s="418"/>
      <c r="L905" s="419"/>
      <c r="M905" s="420"/>
      <c r="N905" s="421"/>
      <c r="O905" s="421"/>
      <c r="P905" s="422"/>
      <c r="Q905" s="387"/>
    </row>
    <row r="906" ht="21.75" customHeight="1">
      <c r="B906" s="387"/>
      <c r="C906" s="413"/>
      <c r="D906" s="414"/>
      <c r="E906" s="414"/>
      <c r="F906" s="415"/>
      <c r="G906" s="423"/>
      <c r="H906" s="424"/>
      <c r="I906" s="416"/>
      <c r="J906" s="417"/>
      <c r="K906" s="418"/>
      <c r="L906" s="419"/>
      <c r="M906" s="420"/>
      <c r="N906" s="421"/>
      <c r="O906" s="421"/>
      <c r="P906" s="422"/>
      <c r="Q906" s="387"/>
    </row>
    <row r="907" ht="21.75" customHeight="1">
      <c r="B907" s="387"/>
      <c r="C907" s="413"/>
      <c r="D907" s="414"/>
      <c r="E907" s="414"/>
      <c r="F907" s="415"/>
      <c r="G907" s="423"/>
      <c r="H907" s="424"/>
      <c r="I907" s="416"/>
      <c r="J907" s="417"/>
      <c r="K907" s="418"/>
      <c r="L907" s="419"/>
      <c r="M907" s="420"/>
      <c r="N907" s="421"/>
      <c r="O907" s="421"/>
      <c r="P907" s="422"/>
      <c r="Q907" s="387"/>
    </row>
    <row r="908" ht="21.75" customHeight="1">
      <c r="B908" s="387"/>
      <c r="C908" s="413"/>
      <c r="D908" s="414"/>
      <c r="E908" s="414"/>
      <c r="F908" s="415"/>
      <c r="G908" s="423"/>
      <c r="H908" s="424"/>
      <c r="I908" s="416"/>
      <c r="J908" s="417"/>
      <c r="K908" s="418"/>
      <c r="L908" s="419"/>
      <c r="M908" s="420"/>
      <c r="N908" s="421"/>
      <c r="O908" s="421"/>
      <c r="P908" s="422"/>
      <c r="Q908" s="387"/>
    </row>
    <row r="909" ht="21.75" customHeight="1">
      <c r="B909" s="387"/>
      <c r="C909" s="413"/>
      <c r="D909" s="414"/>
      <c r="E909" s="414"/>
      <c r="F909" s="415"/>
      <c r="G909" s="423"/>
      <c r="H909" s="424"/>
      <c r="I909" s="416"/>
      <c r="J909" s="417"/>
      <c r="K909" s="418"/>
      <c r="L909" s="419"/>
      <c r="M909" s="420"/>
      <c r="N909" s="421"/>
      <c r="O909" s="421"/>
      <c r="P909" s="422"/>
      <c r="Q909" s="387"/>
    </row>
    <row r="910" ht="21.75" customHeight="1">
      <c r="B910" s="387"/>
      <c r="C910" s="413"/>
      <c r="D910" s="414"/>
      <c r="E910" s="414"/>
      <c r="F910" s="415"/>
      <c r="G910" s="423"/>
      <c r="H910" s="424"/>
      <c r="I910" s="416"/>
      <c r="J910" s="417"/>
      <c r="K910" s="418"/>
      <c r="L910" s="419"/>
      <c r="M910" s="420"/>
      <c r="N910" s="421"/>
      <c r="O910" s="421"/>
      <c r="P910" s="422"/>
      <c r="Q910" s="387"/>
    </row>
    <row r="911" ht="21.75" customHeight="1">
      <c r="B911" s="387"/>
      <c r="C911" s="413"/>
      <c r="D911" s="414"/>
      <c r="E911" s="414"/>
      <c r="F911" s="415"/>
      <c r="G911" s="423"/>
      <c r="H911" s="424"/>
      <c r="I911" s="416"/>
      <c r="J911" s="417"/>
      <c r="K911" s="418"/>
      <c r="L911" s="419"/>
      <c r="M911" s="420"/>
      <c r="N911" s="421"/>
      <c r="O911" s="421"/>
      <c r="P911" s="422"/>
      <c r="Q911" s="387"/>
    </row>
    <row r="912" ht="21.75" customHeight="1">
      <c r="B912" s="387"/>
      <c r="C912" s="413"/>
      <c r="D912" s="414"/>
      <c r="E912" s="414"/>
      <c r="F912" s="415"/>
      <c r="G912" s="423"/>
      <c r="H912" s="424"/>
      <c r="I912" s="416"/>
      <c r="J912" s="417"/>
      <c r="K912" s="418"/>
      <c r="L912" s="419"/>
      <c r="M912" s="420"/>
      <c r="N912" s="421"/>
      <c r="O912" s="421"/>
      <c r="P912" s="422"/>
      <c r="Q912" s="387"/>
    </row>
    <row r="913" ht="21.75" customHeight="1">
      <c r="B913" s="387"/>
      <c r="C913" s="413"/>
      <c r="D913" s="414"/>
      <c r="E913" s="414"/>
      <c r="F913" s="415"/>
      <c r="G913" s="423"/>
      <c r="H913" s="424"/>
      <c r="I913" s="416"/>
      <c r="J913" s="417"/>
      <c r="K913" s="418"/>
      <c r="L913" s="419"/>
      <c r="M913" s="420"/>
      <c r="N913" s="421"/>
      <c r="O913" s="421"/>
      <c r="P913" s="422"/>
      <c r="Q913" s="387"/>
    </row>
    <row r="914" ht="21.75" customHeight="1">
      <c r="B914" s="387"/>
      <c r="C914" s="413"/>
      <c r="D914" s="414"/>
      <c r="E914" s="414"/>
      <c r="F914" s="415"/>
      <c r="G914" s="423"/>
      <c r="H914" s="424"/>
      <c r="I914" s="416"/>
      <c r="J914" s="417"/>
      <c r="K914" s="418"/>
      <c r="L914" s="419"/>
      <c r="M914" s="420"/>
      <c r="N914" s="421"/>
      <c r="O914" s="421"/>
      <c r="P914" s="422"/>
      <c r="Q914" s="387"/>
    </row>
    <row r="915" ht="21.75" customHeight="1">
      <c r="B915" s="387"/>
      <c r="C915" s="413"/>
      <c r="D915" s="414"/>
      <c r="E915" s="414"/>
      <c r="F915" s="415"/>
      <c r="G915" s="423"/>
      <c r="H915" s="424"/>
      <c r="I915" s="416"/>
      <c r="J915" s="417"/>
      <c r="K915" s="418"/>
      <c r="L915" s="419"/>
      <c r="M915" s="420"/>
      <c r="N915" s="421"/>
      <c r="O915" s="421"/>
      <c r="P915" s="422"/>
      <c r="Q915" s="387"/>
    </row>
    <row r="916" ht="21.75" customHeight="1">
      <c r="B916" s="387"/>
      <c r="C916" s="413"/>
      <c r="D916" s="414"/>
      <c r="E916" s="414"/>
      <c r="F916" s="415"/>
      <c r="G916" s="423"/>
      <c r="H916" s="424"/>
      <c r="I916" s="416"/>
      <c r="J916" s="417"/>
      <c r="K916" s="418"/>
      <c r="L916" s="419"/>
      <c r="M916" s="420"/>
      <c r="N916" s="421"/>
      <c r="O916" s="421"/>
      <c r="P916" s="422"/>
      <c r="Q916" s="387"/>
    </row>
    <row r="917" ht="21.75" customHeight="1">
      <c r="B917" s="387"/>
      <c r="C917" s="413"/>
      <c r="D917" s="414"/>
      <c r="E917" s="414"/>
      <c r="F917" s="415"/>
      <c r="G917" s="423"/>
      <c r="H917" s="424"/>
      <c r="I917" s="416"/>
      <c r="J917" s="417"/>
      <c r="K917" s="418"/>
      <c r="L917" s="419"/>
      <c r="M917" s="420"/>
      <c r="N917" s="421"/>
      <c r="O917" s="421"/>
      <c r="P917" s="422"/>
      <c r="Q917" s="387"/>
    </row>
    <row r="918" ht="21.75" customHeight="1">
      <c r="B918" s="387"/>
      <c r="C918" s="413"/>
      <c r="D918" s="414"/>
      <c r="E918" s="414"/>
      <c r="F918" s="415"/>
      <c r="G918" s="423"/>
      <c r="H918" s="424"/>
      <c r="I918" s="416"/>
      <c r="J918" s="417"/>
      <c r="K918" s="418"/>
      <c r="L918" s="419"/>
      <c r="M918" s="420"/>
      <c r="N918" s="421"/>
      <c r="O918" s="421"/>
      <c r="P918" s="422"/>
      <c r="Q918" s="387"/>
    </row>
    <row r="919" ht="21.75" customHeight="1">
      <c r="B919" s="387"/>
      <c r="C919" s="413"/>
      <c r="D919" s="414"/>
      <c r="E919" s="414"/>
      <c r="F919" s="415"/>
      <c r="G919" s="423"/>
      <c r="H919" s="424"/>
      <c r="I919" s="416"/>
      <c r="J919" s="417"/>
      <c r="K919" s="418"/>
      <c r="L919" s="419"/>
      <c r="M919" s="420"/>
      <c r="N919" s="421"/>
      <c r="O919" s="421"/>
      <c r="P919" s="422"/>
      <c r="Q919" s="387"/>
    </row>
    <row r="920" ht="21.75" customHeight="1">
      <c r="B920" s="387"/>
      <c r="C920" s="413"/>
      <c r="D920" s="414"/>
      <c r="E920" s="414"/>
      <c r="F920" s="415"/>
      <c r="G920" s="423"/>
      <c r="H920" s="424"/>
      <c r="I920" s="416"/>
      <c r="J920" s="417"/>
      <c r="K920" s="418"/>
      <c r="L920" s="419"/>
      <c r="M920" s="420"/>
      <c r="N920" s="421"/>
      <c r="O920" s="421"/>
      <c r="P920" s="422"/>
      <c r="Q920" s="387"/>
    </row>
    <row r="921" ht="21.75" customHeight="1">
      <c r="B921" s="387"/>
      <c r="C921" s="413"/>
      <c r="D921" s="414"/>
      <c r="E921" s="414"/>
      <c r="F921" s="415"/>
      <c r="G921" s="423"/>
      <c r="H921" s="424"/>
      <c r="I921" s="416"/>
      <c r="J921" s="417"/>
      <c r="K921" s="418"/>
      <c r="L921" s="419"/>
      <c r="M921" s="420"/>
      <c r="N921" s="421"/>
      <c r="O921" s="421"/>
      <c r="P921" s="422"/>
      <c r="Q921" s="387"/>
    </row>
    <row r="922" ht="21.75" customHeight="1">
      <c r="B922" s="387"/>
      <c r="C922" s="413"/>
      <c r="D922" s="414"/>
      <c r="E922" s="414"/>
      <c r="F922" s="415"/>
      <c r="G922" s="423"/>
      <c r="H922" s="424"/>
      <c r="I922" s="416"/>
      <c r="J922" s="417"/>
      <c r="K922" s="418"/>
      <c r="L922" s="419"/>
      <c r="M922" s="420"/>
      <c r="N922" s="421"/>
      <c r="O922" s="421"/>
      <c r="P922" s="422"/>
      <c r="Q922" s="387"/>
    </row>
    <row r="923" ht="21.75" customHeight="1">
      <c r="B923" s="387"/>
      <c r="C923" s="413"/>
      <c r="D923" s="414"/>
      <c r="E923" s="414"/>
      <c r="F923" s="415"/>
      <c r="G923" s="423"/>
      <c r="H923" s="424"/>
      <c r="I923" s="416"/>
      <c r="J923" s="417"/>
      <c r="K923" s="418"/>
      <c r="L923" s="419"/>
      <c r="M923" s="420"/>
      <c r="N923" s="421"/>
      <c r="O923" s="421"/>
      <c r="P923" s="422"/>
      <c r="Q923" s="387"/>
    </row>
    <row r="924" ht="21.75" customHeight="1">
      <c r="B924" s="387"/>
      <c r="C924" s="413"/>
      <c r="D924" s="414"/>
      <c r="E924" s="414"/>
      <c r="F924" s="415"/>
      <c r="G924" s="423"/>
      <c r="H924" s="424"/>
      <c r="I924" s="416"/>
      <c r="J924" s="417"/>
      <c r="K924" s="418"/>
      <c r="L924" s="419"/>
      <c r="M924" s="420"/>
      <c r="N924" s="421"/>
      <c r="O924" s="421"/>
      <c r="P924" s="422"/>
      <c r="Q924" s="387"/>
    </row>
    <row r="925" ht="21.75" customHeight="1">
      <c r="B925" s="387"/>
      <c r="C925" s="413"/>
      <c r="D925" s="414"/>
      <c r="E925" s="414"/>
      <c r="F925" s="415"/>
      <c r="G925" s="423"/>
      <c r="H925" s="424"/>
      <c r="I925" s="416"/>
      <c r="J925" s="417"/>
      <c r="K925" s="418"/>
      <c r="L925" s="419"/>
      <c r="M925" s="420"/>
      <c r="N925" s="421"/>
      <c r="O925" s="421"/>
      <c r="P925" s="422"/>
      <c r="Q925" s="387"/>
    </row>
    <row r="926" ht="21.75" customHeight="1">
      <c r="B926" s="387"/>
      <c r="C926" s="413"/>
      <c r="D926" s="414"/>
      <c r="E926" s="414"/>
      <c r="F926" s="415"/>
      <c r="G926" s="423"/>
      <c r="H926" s="424"/>
      <c r="I926" s="416"/>
      <c r="J926" s="417"/>
      <c r="K926" s="418"/>
      <c r="L926" s="419"/>
      <c r="M926" s="420"/>
      <c r="N926" s="421"/>
      <c r="O926" s="421"/>
      <c r="P926" s="422"/>
      <c r="Q926" s="387"/>
    </row>
    <row r="927" ht="21.75" customHeight="1">
      <c r="B927" s="387"/>
      <c r="C927" s="413"/>
      <c r="D927" s="414"/>
      <c r="E927" s="414"/>
      <c r="F927" s="415"/>
      <c r="G927" s="423"/>
      <c r="H927" s="424"/>
      <c r="I927" s="416"/>
      <c r="J927" s="417"/>
      <c r="K927" s="418"/>
      <c r="L927" s="419"/>
      <c r="M927" s="420"/>
      <c r="N927" s="421"/>
      <c r="O927" s="421"/>
      <c r="P927" s="422"/>
      <c r="Q927" s="387"/>
    </row>
    <row r="928" ht="21.75" customHeight="1">
      <c r="B928" s="387"/>
      <c r="C928" s="413"/>
      <c r="D928" s="414"/>
      <c r="E928" s="414"/>
      <c r="F928" s="415"/>
      <c r="G928" s="423"/>
      <c r="H928" s="424"/>
      <c r="I928" s="416"/>
      <c r="J928" s="417"/>
      <c r="K928" s="418"/>
      <c r="L928" s="419"/>
      <c r="M928" s="420"/>
      <c r="N928" s="421"/>
      <c r="O928" s="421"/>
      <c r="P928" s="422"/>
      <c r="Q928" s="387"/>
    </row>
    <row r="929" ht="21.75" customHeight="1">
      <c r="B929" s="387"/>
      <c r="C929" s="413"/>
      <c r="D929" s="414"/>
      <c r="E929" s="414"/>
      <c r="F929" s="415"/>
      <c r="G929" s="423"/>
      <c r="H929" s="424"/>
      <c r="I929" s="416"/>
      <c r="J929" s="417"/>
      <c r="K929" s="418"/>
      <c r="L929" s="419"/>
      <c r="M929" s="420"/>
      <c r="N929" s="421"/>
      <c r="O929" s="421"/>
      <c r="P929" s="422"/>
      <c r="Q929" s="387"/>
    </row>
    <row r="930" ht="21.75" customHeight="1">
      <c r="B930" s="387"/>
      <c r="C930" s="413"/>
      <c r="D930" s="414"/>
      <c r="E930" s="414"/>
      <c r="F930" s="415"/>
      <c r="G930" s="423"/>
      <c r="H930" s="424"/>
      <c r="I930" s="416"/>
      <c r="J930" s="417"/>
      <c r="K930" s="418"/>
      <c r="L930" s="419"/>
      <c r="M930" s="420"/>
      <c r="N930" s="421"/>
      <c r="O930" s="421"/>
      <c r="P930" s="422"/>
      <c r="Q930" s="387"/>
    </row>
    <row r="931" ht="21.75" customHeight="1">
      <c r="B931" s="387"/>
      <c r="C931" s="413"/>
      <c r="D931" s="414"/>
      <c r="E931" s="414"/>
      <c r="F931" s="415"/>
      <c r="G931" s="423"/>
      <c r="H931" s="424"/>
      <c r="I931" s="416"/>
      <c r="J931" s="417"/>
      <c r="K931" s="418"/>
      <c r="L931" s="419"/>
      <c r="M931" s="420"/>
      <c r="N931" s="421"/>
      <c r="O931" s="421"/>
      <c r="P931" s="422"/>
      <c r="Q931" s="387"/>
    </row>
    <row r="932" ht="21.75" customHeight="1">
      <c r="B932" s="387"/>
      <c r="C932" s="413"/>
      <c r="D932" s="414"/>
      <c r="E932" s="414"/>
      <c r="F932" s="415"/>
      <c r="G932" s="423"/>
      <c r="H932" s="424"/>
      <c r="I932" s="416"/>
      <c r="J932" s="417"/>
      <c r="K932" s="418"/>
      <c r="L932" s="419"/>
      <c r="M932" s="420"/>
      <c r="N932" s="421"/>
      <c r="O932" s="421"/>
      <c r="P932" s="422"/>
      <c r="Q932" s="387"/>
    </row>
    <row r="933" ht="21.75" customHeight="1">
      <c r="B933" s="387"/>
      <c r="C933" s="413"/>
      <c r="D933" s="414"/>
      <c r="E933" s="414"/>
      <c r="F933" s="415"/>
      <c r="G933" s="423"/>
      <c r="H933" s="424"/>
      <c r="I933" s="416"/>
      <c r="J933" s="417"/>
      <c r="K933" s="418"/>
      <c r="L933" s="419"/>
      <c r="M933" s="420"/>
      <c r="N933" s="421"/>
      <c r="O933" s="421"/>
      <c r="P933" s="422"/>
      <c r="Q933" s="387"/>
    </row>
    <row r="934" ht="21.75" customHeight="1">
      <c r="B934" s="387"/>
      <c r="C934" s="413"/>
      <c r="D934" s="414"/>
      <c r="E934" s="414"/>
      <c r="F934" s="415"/>
      <c r="G934" s="423"/>
      <c r="H934" s="424"/>
      <c r="I934" s="416"/>
      <c r="J934" s="417"/>
      <c r="K934" s="418"/>
      <c r="L934" s="419"/>
      <c r="M934" s="420"/>
      <c r="N934" s="421"/>
      <c r="O934" s="421"/>
      <c r="P934" s="422"/>
      <c r="Q934" s="387"/>
    </row>
    <row r="935" ht="21.75" customHeight="1">
      <c r="B935" s="387"/>
      <c r="C935" s="413"/>
      <c r="D935" s="414"/>
      <c r="E935" s="414"/>
      <c r="F935" s="415"/>
      <c r="G935" s="423"/>
      <c r="H935" s="424"/>
      <c r="I935" s="416"/>
      <c r="J935" s="417"/>
      <c r="K935" s="418"/>
      <c r="L935" s="419"/>
      <c r="M935" s="420"/>
      <c r="N935" s="421"/>
      <c r="O935" s="421"/>
      <c r="P935" s="422"/>
      <c r="Q935" s="387"/>
    </row>
    <row r="936" ht="21.75" customHeight="1">
      <c r="B936" s="387"/>
      <c r="C936" s="413"/>
      <c r="D936" s="414"/>
      <c r="E936" s="414"/>
      <c r="F936" s="415"/>
      <c r="G936" s="423"/>
      <c r="H936" s="424"/>
      <c r="I936" s="416"/>
      <c r="J936" s="417"/>
      <c r="K936" s="418"/>
      <c r="L936" s="419"/>
      <c r="M936" s="420"/>
      <c r="N936" s="421"/>
      <c r="O936" s="421"/>
      <c r="P936" s="422"/>
      <c r="Q936" s="387"/>
    </row>
    <row r="937" ht="21.75" customHeight="1">
      <c r="B937" s="387"/>
      <c r="C937" s="413"/>
      <c r="D937" s="414"/>
      <c r="E937" s="414"/>
      <c r="F937" s="415"/>
      <c r="G937" s="423"/>
      <c r="H937" s="424"/>
      <c r="I937" s="416"/>
      <c r="J937" s="417"/>
      <c r="K937" s="418"/>
      <c r="L937" s="419"/>
      <c r="M937" s="420"/>
      <c r="N937" s="421"/>
      <c r="O937" s="421"/>
      <c r="P937" s="422"/>
      <c r="Q937" s="387"/>
    </row>
    <row r="938" ht="21.75" customHeight="1">
      <c r="B938" s="387"/>
      <c r="C938" s="413"/>
      <c r="D938" s="414"/>
      <c r="E938" s="414"/>
      <c r="F938" s="415"/>
      <c r="G938" s="423"/>
      <c r="H938" s="424"/>
      <c r="I938" s="416"/>
      <c r="J938" s="417"/>
      <c r="K938" s="418"/>
      <c r="L938" s="419"/>
      <c r="M938" s="420"/>
      <c r="N938" s="421"/>
      <c r="O938" s="421"/>
      <c r="P938" s="422"/>
      <c r="Q938" s="387"/>
    </row>
    <row r="939" ht="21.75" customHeight="1">
      <c r="B939" s="387"/>
      <c r="C939" s="413"/>
      <c r="D939" s="414"/>
      <c r="E939" s="414"/>
      <c r="F939" s="415"/>
      <c r="G939" s="423"/>
      <c r="H939" s="424"/>
      <c r="I939" s="416"/>
      <c r="J939" s="417"/>
      <c r="K939" s="418"/>
      <c r="L939" s="419"/>
      <c r="M939" s="420"/>
      <c r="N939" s="421"/>
      <c r="O939" s="421"/>
      <c r="P939" s="422"/>
      <c r="Q939" s="387"/>
    </row>
    <row r="940" ht="21.75" customHeight="1">
      <c r="B940" s="387"/>
      <c r="C940" s="413"/>
      <c r="D940" s="414"/>
      <c r="E940" s="414"/>
      <c r="F940" s="415"/>
      <c r="G940" s="423"/>
      <c r="H940" s="424"/>
      <c r="I940" s="416"/>
      <c r="J940" s="417"/>
      <c r="K940" s="418"/>
      <c r="L940" s="419"/>
      <c r="M940" s="420"/>
      <c r="N940" s="421"/>
      <c r="O940" s="421"/>
      <c r="P940" s="422"/>
      <c r="Q940" s="387"/>
    </row>
    <row r="941" ht="21.75" customHeight="1">
      <c r="B941" s="387"/>
      <c r="C941" s="413"/>
      <c r="D941" s="414"/>
      <c r="E941" s="414"/>
      <c r="F941" s="415"/>
      <c r="G941" s="423"/>
      <c r="H941" s="424"/>
      <c r="I941" s="416"/>
      <c r="J941" s="417"/>
      <c r="K941" s="418"/>
      <c r="L941" s="419"/>
      <c r="M941" s="420"/>
      <c r="N941" s="421"/>
      <c r="O941" s="421"/>
      <c r="P941" s="422"/>
      <c r="Q941" s="387"/>
    </row>
    <row r="942" ht="21.75" customHeight="1">
      <c r="B942" s="387"/>
      <c r="C942" s="413"/>
      <c r="D942" s="414"/>
      <c r="E942" s="414"/>
      <c r="F942" s="415"/>
      <c r="G942" s="423"/>
      <c r="H942" s="424"/>
      <c r="I942" s="416"/>
      <c r="J942" s="417"/>
      <c r="K942" s="418"/>
      <c r="L942" s="419"/>
      <c r="M942" s="420"/>
      <c r="N942" s="421"/>
      <c r="O942" s="421"/>
      <c r="P942" s="422"/>
      <c r="Q942" s="387"/>
    </row>
    <row r="943" ht="21.75" customHeight="1">
      <c r="B943" s="387"/>
      <c r="C943" s="413"/>
      <c r="D943" s="414"/>
      <c r="E943" s="414"/>
      <c r="F943" s="415"/>
      <c r="G943" s="423"/>
      <c r="H943" s="424"/>
      <c r="I943" s="416"/>
      <c r="J943" s="417"/>
      <c r="K943" s="418"/>
      <c r="L943" s="419"/>
      <c r="M943" s="420"/>
      <c r="N943" s="421"/>
      <c r="O943" s="421"/>
      <c r="P943" s="422"/>
      <c r="Q943" s="387"/>
    </row>
    <row r="944" ht="21.75" customHeight="1">
      <c r="B944" s="387"/>
      <c r="C944" s="413"/>
      <c r="D944" s="414"/>
      <c r="E944" s="414"/>
      <c r="F944" s="415"/>
      <c r="G944" s="423"/>
      <c r="H944" s="424"/>
      <c r="I944" s="416"/>
      <c r="J944" s="417"/>
      <c r="K944" s="418"/>
      <c r="L944" s="419"/>
      <c r="M944" s="420"/>
      <c r="N944" s="421"/>
      <c r="O944" s="421"/>
      <c r="P944" s="422"/>
      <c r="Q944" s="387"/>
    </row>
    <row r="945" ht="21.75" customHeight="1">
      <c r="B945" s="387"/>
      <c r="C945" s="413"/>
      <c r="D945" s="414"/>
      <c r="E945" s="414"/>
      <c r="F945" s="415"/>
      <c r="G945" s="423"/>
      <c r="H945" s="424"/>
      <c r="I945" s="416"/>
      <c r="J945" s="417"/>
      <c r="K945" s="418"/>
      <c r="L945" s="419"/>
      <c r="M945" s="420"/>
      <c r="N945" s="421"/>
      <c r="O945" s="421"/>
      <c r="P945" s="422"/>
      <c r="Q945" s="387"/>
    </row>
    <row r="946" ht="21.75" customHeight="1">
      <c r="B946" s="387"/>
      <c r="C946" s="413"/>
      <c r="D946" s="414"/>
      <c r="E946" s="414"/>
      <c r="F946" s="415"/>
      <c r="G946" s="423"/>
      <c r="H946" s="424"/>
      <c r="I946" s="416"/>
      <c r="J946" s="417"/>
      <c r="K946" s="418"/>
      <c r="L946" s="419"/>
      <c r="M946" s="420"/>
      <c r="N946" s="421"/>
      <c r="O946" s="421"/>
      <c r="P946" s="422"/>
      <c r="Q946" s="387"/>
    </row>
    <row r="947" ht="21.75" customHeight="1">
      <c r="B947" s="387"/>
      <c r="C947" s="413"/>
      <c r="D947" s="414"/>
      <c r="E947" s="414"/>
      <c r="F947" s="415"/>
      <c r="G947" s="423"/>
      <c r="H947" s="424"/>
      <c r="I947" s="416"/>
      <c r="J947" s="417"/>
      <c r="K947" s="418"/>
      <c r="L947" s="419"/>
      <c r="M947" s="420"/>
      <c r="N947" s="421"/>
      <c r="O947" s="421"/>
      <c r="P947" s="422"/>
      <c r="Q947" s="387"/>
    </row>
    <row r="948" ht="21.75" customHeight="1">
      <c r="B948" s="387"/>
      <c r="C948" s="413"/>
      <c r="D948" s="414"/>
      <c r="E948" s="414"/>
      <c r="F948" s="415"/>
      <c r="G948" s="423"/>
      <c r="H948" s="424"/>
      <c r="I948" s="416"/>
      <c r="J948" s="417"/>
      <c r="K948" s="418"/>
      <c r="L948" s="419"/>
      <c r="M948" s="420"/>
      <c r="N948" s="421"/>
      <c r="O948" s="421"/>
      <c r="P948" s="422"/>
      <c r="Q948" s="387"/>
    </row>
    <row r="949" ht="21.75" customHeight="1">
      <c r="B949" s="387"/>
      <c r="C949" s="413"/>
      <c r="D949" s="414"/>
      <c r="E949" s="414"/>
      <c r="F949" s="415"/>
      <c r="G949" s="423"/>
      <c r="H949" s="424"/>
      <c r="I949" s="416"/>
      <c r="J949" s="417"/>
      <c r="K949" s="418"/>
      <c r="L949" s="419"/>
      <c r="M949" s="420"/>
      <c r="N949" s="421"/>
      <c r="O949" s="421"/>
      <c r="P949" s="422"/>
      <c r="Q949" s="387"/>
    </row>
    <row r="950" ht="21.75" customHeight="1">
      <c r="B950" s="387"/>
      <c r="C950" s="413"/>
      <c r="D950" s="414"/>
      <c r="E950" s="414"/>
      <c r="F950" s="415"/>
      <c r="G950" s="423"/>
      <c r="H950" s="424"/>
      <c r="I950" s="416"/>
      <c r="J950" s="417"/>
      <c r="K950" s="418"/>
      <c r="L950" s="419"/>
      <c r="M950" s="420"/>
      <c r="N950" s="421"/>
      <c r="O950" s="421"/>
      <c r="P950" s="422"/>
      <c r="Q950" s="387"/>
    </row>
    <row r="951" ht="21.75" customHeight="1">
      <c r="B951" s="387"/>
      <c r="C951" s="413"/>
      <c r="D951" s="414"/>
      <c r="E951" s="414"/>
      <c r="F951" s="415"/>
      <c r="G951" s="423"/>
      <c r="H951" s="424"/>
      <c r="I951" s="416"/>
      <c r="J951" s="417"/>
      <c r="K951" s="418"/>
      <c r="L951" s="419"/>
      <c r="M951" s="420"/>
      <c r="N951" s="421"/>
      <c r="O951" s="421"/>
      <c r="P951" s="422"/>
      <c r="Q951" s="387"/>
    </row>
    <row r="952" ht="21.75" customHeight="1">
      <c r="B952" s="387"/>
      <c r="C952" s="413"/>
      <c r="D952" s="414"/>
      <c r="E952" s="414"/>
      <c r="F952" s="415"/>
      <c r="G952" s="423"/>
      <c r="H952" s="424"/>
      <c r="I952" s="416"/>
      <c r="J952" s="417"/>
      <c r="K952" s="418"/>
      <c r="L952" s="419"/>
      <c r="M952" s="420"/>
      <c r="N952" s="421"/>
      <c r="O952" s="421"/>
      <c r="P952" s="422"/>
      <c r="Q952" s="387"/>
    </row>
    <row r="953" ht="21.75" customHeight="1">
      <c r="B953" s="387"/>
      <c r="C953" s="413"/>
      <c r="D953" s="414"/>
      <c r="E953" s="414"/>
      <c r="F953" s="415"/>
      <c r="G953" s="423"/>
      <c r="H953" s="424"/>
      <c r="I953" s="416"/>
      <c r="J953" s="417"/>
      <c r="K953" s="418"/>
      <c r="L953" s="419"/>
      <c r="M953" s="420"/>
      <c r="N953" s="421"/>
      <c r="O953" s="421"/>
      <c r="P953" s="422"/>
      <c r="Q953" s="387"/>
    </row>
    <row r="954" ht="21.75" customHeight="1">
      <c r="B954" s="387"/>
      <c r="C954" s="413"/>
      <c r="D954" s="414"/>
      <c r="E954" s="414"/>
      <c r="F954" s="415"/>
      <c r="G954" s="423"/>
      <c r="H954" s="424"/>
      <c r="I954" s="416"/>
      <c r="J954" s="417"/>
      <c r="K954" s="418"/>
      <c r="L954" s="419"/>
      <c r="M954" s="420"/>
      <c r="N954" s="421"/>
      <c r="O954" s="421"/>
      <c r="P954" s="422"/>
      <c r="Q954" s="387"/>
    </row>
    <row r="955" ht="21.75" customHeight="1">
      <c r="B955" s="387"/>
      <c r="C955" s="413"/>
      <c r="D955" s="414"/>
      <c r="E955" s="414"/>
      <c r="F955" s="415"/>
      <c r="G955" s="423"/>
      <c r="H955" s="424"/>
      <c r="I955" s="416"/>
      <c r="J955" s="417"/>
      <c r="K955" s="418"/>
      <c r="L955" s="419"/>
      <c r="M955" s="420"/>
      <c r="N955" s="421"/>
      <c r="O955" s="421"/>
      <c r="P955" s="422"/>
      <c r="Q955" s="387"/>
    </row>
    <row r="956" ht="21.75" customHeight="1">
      <c r="B956" s="387"/>
      <c r="C956" s="413"/>
      <c r="D956" s="414"/>
      <c r="E956" s="414"/>
      <c r="F956" s="415"/>
      <c r="G956" s="423"/>
      <c r="H956" s="424"/>
      <c r="I956" s="416"/>
      <c r="J956" s="417"/>
      <c r="K956" s="418"/>
      <c r="L956" s="419"/>
      <c r="M956" s="420"/>
      <c r="N956" s="421"/>
      <c r="O956" s="421"/>
      <c r="P956" s="422"/>
      <c r="Q956" s="387"/>
    </row>
    <row r="957" ht="21.75" customHeight="1">
      <c r="B957" s="387"/>
      <c r="C957" s="413"/>
      <c r="D957" s="414"/>
      <c r="E957" s="414"/>
      <c r="F957" s="415"/>
      <c r="G957" s="423"/>
      <c r="H957" s="424"/>
      <c r="I957" s="416"/>
      <c r="J957" s="417"/>
      <c r="K957" s="418"/>
      <c r="L957" s="419"/>
      <c r="M957" s="420"/>
      <c r="N957" s="421"/>
      <c r="O957" s="421"/>
      <c r="P957" s="422"/>
      <c r="Q957" s="387"/>
    </row>
    <row r="958" ht="21.75" customHeight="1">
      <c r="B958" s="387"/>
      <c r="C958" s="413"/>
      <c r="D958" s="414"/>
      <c r="E958" s="414"/>
      <c r="F958" s="415"/>
      <c r="G958" s="423"/>
      <c r="H958" s="424"/>
      <c r="I958" s="416"/>
      <c r="J958" s="417"/>
      <c r="K958" s="418"/>
      <c r="L958" s="419"/>
      <c r="M958" s="420"/>
      <c r="N958" s="421"/>
      <c r="O958" s="421"/>
      <c r="P958" s="422"/>
      <c r="Q958" s="387"/>
    </row>
    <row r="959" ht="21.75" customHeight="1">
      <c r="B959" s="387"/>
      <c r="C959" s="413"/>
      <c r="D959" s="414"/>
      <c r="E959" s="414"/>
      <c r="F959" s="415"/>
      <c r="G959" s="423"/>
      <c r="H959" s="424"/>
      <c r="I959" s="416"/>
      <c r="J959" s="417"/>
      <c r="K959" s="418"/>
      <c r="L959" s="419"/>
      <c r="M959" s="420"/>
      <c r="N959" s="421"/>
      <c r="O959" s="421"/>
      <c r="P959" s="422"/>
      <c r="Q959" s="387"/>
    </row>
    <row r="960" ht="21.75" customHeight="1">
      <c r="B960" s="387"/>
      <c r="C960" s="413"/>
      <c r="D960" s="414"/>
      <c r="E960" s="414"/>
      <c r="F960" s="415"/>
      <c r="G960" s="423"/>
      <c r="H960" s="424"/>
      <c r="I960" s="416"/>
      <c r="J960" s="417"/>
      <c r="K960" s="418"/>
      <c r="L960" s="419"/>
      <c r="M960" s="420"/>
      <c r="N960" s="421"/>
      <c r="O960" s="421"/>
      <c r="P960" s="422"/>
      <c r="Q960" s="387"/>
    </row>
    <row r="961" ht="21.75" customHeight="1">
      <c r="B961" s="387"/>
      <c r="C961" s="413"/>
      <c r="D961" s="414"/>
      <c r="E961" s="414"/>
      <c r="F961" s="415"/>
      <c r="G961" s="423"/>
      <c r="H961" s="424"/>
      <c r="I961" s="416"/>
      <c r="J961" s="417"/>
      <c r="K961" s="418"/>
      <c r="L961" s="419"/>
      <c r="M961" s="420"/>
      <c r="N961" s="421"/>
      <c r="O961" s="421"/>
      <c r="P961" s="422"/>
      <c r="Q961" s="387"/>
    </row>
    <row r="962" ht="21.75" customHeight="1">
      <c r="B962" s="387"/>
      <c r="C962" s="413"/>
      <c r="D962" s="414"/>
      <c r="E962" s="414"/>
      <c r="F962" s="415"/>
      <c r="G962" s="423"/>
      <c r="H962" s="424"/>
      <c r="I962" s="416"/>
      <c r="J962" s="417"/>
      <c r="K962" s="418"/>
      <c r="L962" s="419"/>
      <c r="M962" s="420"/>
      <c r="N962" s="421"/>
      <c r="O962" s="421"/>
      <c r="P962" s="422"/>
      <c r="Q962" s="387"/>
    </row>
    <row r="963" ht="21.75" customHeight="1">
      <c r="B963" s="387"/>
      <c r="C963" s="413"/>
      <c r="D963" s="414"/>
      <c r="E963" s="414"/>
      <c r="F963" s="415"/>
      <c r="G963" s="423"/>
      <c r="H963" s="424"/>
      <c r="I963" s="416"/>
      <c r="J963" s="417"/>
      <c r="K963" s="418"/>
      <c r="L963" s="419"/>
      <c r="M963" s="420"/>
      <c r="N963" s="421"/>
      <c r="O963" s="421"/>
      <c r="P963" s="422"/>
      <c r="Q963" s="387"/>
    </row>
    <row r="964" ht="21.75" customHeight="1">
      <c r="B964" s="387"/>
      <c r="C964" s="413"/>
      <c r="D964" s="414"/>
      <c r="E964" s="414"/>
      <c r="F964" s="415"/>
      <c r="G964" s="423"/>
      <c r="H964" s="424"/>
      <c r="I964" s="416"/>
      <c r="J964" s="417"/>
      <c r="K964" s="418"/>
      <c r="L964" s="419"/>
      <c r="M964" s="420"/>
      <c r="N964" s="421"/>
      <c r="O964" s="421"/>
      <c r="P964" s="422"/>
      <c r="Q964" s="387"/>
    </row>
    <row r="965" ht="21.75" customHeight="1">
      <c r="B965" s="387"/>
      <c r="C965" s="413"/>
      <c r="D965" s="414"/>
      <c r="E965" s="414"/>
      <c r="F965" s="415"/>
      <c r="G965" s="423"/>
      <c r="H965" s="424"/>
      <c r="I965" s="416"/>
      <c r="J965" s="417"/>
      <c r="K965" s="418"/>
      <c r="L965" s="419"/>
      <c r="M965" s="420"/>
      <c r="N965" s="421"/>
      <c r="O965" s="421"/>
      <c r="P965" s="422"/>
      <c r="Q965" s="387"/>
    </row>
    <row r="966" ht="21.75" customHeight="1">
      <c r="B966" s="387"/>
      <c r="C966" s="413"/>
      <c r="D966" s="414"/>
      <c r="E966" s="414"/>
      <c r="F966" s="415"/>
      <c r="G966" s="423"/>
      <c r="H966" s="424"/>
      <c r="I966" s="416"/>
      <c r="J966" s="417"/>
      <c r="K966" s="418"/>
      <c r="L966" s="419"/>
      <c r="M966" s="420"/>
      <c r="N966" s="421"/>
      <c r="O966" s="421"/>
      <c r="P966" s="422"/>
      <c r="Q966" s="387"/>
    </row>
    <row r="967" ht="21.75" customHeight="1">
      <c r="B967" s="387"/>
      <c r="C967" s="413"/>
      <c r="D967" s="414"/>
      <c r="E967" s="414"/>
      <c r="F967" s="415"/>
      <c r="G967" s="423"/>
      <c r="H967" s="424"/>
      <c r="I967" s="416"/>
      <c r="J967" s="417"/>
      <c r="K967" s="418"/>
      <c r="L967" s="419"/>
      <c r="M967" s="420"/>
      <c r="N967" s="421"/>
      <c r="O967" s="421"/>
      <c r="P967" s="422"/>
      <c r="Q967" s="387"/>
    </row>
    <row r="968" ht="21.75" customHeight="1">
      <c r="B968" s="387"/>
      <c r="C968" s="413"/>
      <c r="D968" s="414"/>
      <c r="E968" s="414"/>
      <c r="F968" s="415"/>
      <c r="G968" s="423"/>
      <c r="H968" s="424"/>
      <c r="I968" s="416"/>
      <c r="J968" s="417"/>
      <c r="K968" s="418"/>
      <c r="L968" s="419"/>
      <c r="M968" s="420"/>
      <c r="N968" s="421"/>
      <c r="O968" s="421"/>
      <c r="P968" s="422"/>
      <c r="Q968" s="387"/>
    </row>
    <row r="969" ht="21.75" customHeight="1">
      <c r="B969" s="387"/>
      <c r="C969" s="413"/>
      <c r="D969" s="414"/>
      <c r="E969" s="414"/>
      <c r="F969" s="415"/>
      <c r="G969" s="423"/>
      <c r="H969" s="424"/>
      <c r="I969" s="416"/>
      <c r="J969" s="417"/>
      <c r="K969" s="418"/>
      <c r="L969" s="419"/>
      <c r="M969" s="420"/>
      <c r="N969" s="421"/>
      <c r="O969" s="421"/>
      <c r="P969" s="422"/>
      <c r="Q969" s="387"/>
    </row>
    <row r="970" ht="21.75" customHeight="1">
      <c r="B970" s="387"/>
      <c r="C970" s="413"/>
      <c r="D970" s="414"/>
      <c r="E970" s="414"/>
      <c r="F970" s="415"/>
      <c r="G970" s="423"/>
      <c r="H970" s="424"/>
      <c r="I970" s="416"/>
      <c r="J970" s="417"/>
      <c r="K970" s="418"/>
      <c r="L970" s="419"/>
      <c r="M970" s="420"/>
      <c r="N970" s="421"/>
      <c r="O970" s="421"/>
      <c r="P970" s="422"/>
      <c r="Q970" s="387"/>
    </row>
    <row r="971" ht="21.75" customHeight="1">
      <c r="B971" s="387"/>
      <c r="C971" s="413"/>
      <c r="D971" s="414"/>
      <c r="E971" s="414"/>
      <c r="F971" s="415"/>
      <c r="G971" s="423"/>
      <c r="H971" s="424"/>
      <c r="I971" s="416"/>
      <c r="J971" s="417"/>
      <c r="K971" s="418"/>
      <c r="L971" s="419"/>
      <c r="M971" s="420"/>
      <c r="N971" s="421"/>
      <c r="O971" s="421"/>
      <c r="P971" s="422"/>
      <c r="Q971" s="387"/>
    </row>
    <row r="972" ht="21.75" customHeight="1">
      <c r="B972" s="387"/>
      <c r="C972" s="413"/>
      <c r="D972" s="414"/>
      <c r="E972" s="414"/>
      <c r="F972" s="415"/>
      <c r="G972" s="423"/>
      <c r="H972" s="424"/>
      <c r="I972" s="416"/>
      <c r="J972" s="417"/>
      <c r="K972" s="418"/>
      <c r="L972" s="419"/>
      <c r="M972" s="420"/>
      <c r="N972" s="421"/>
      <c r="O972" s="421"/>
      <c r="P972" s="422"/>
      <c r="Q972" s="387"/>
    </row>
    <row r="973" ht="21.75" customHeight="1">
      <c r="B973" s="387"/>
      <c r="C973" s="413"/>
      <c r="D973" s="414"/>
      <c r="E973" s="414"/>
      <c r="F973" s="415"/>
      <c r="G973" s="423"/>
      <c r="H973" s="424"/>
      <c r="I973" s="416"/>
      <c r="J973" s="417"/>
      <c r="K973" s="418"/>
      <c r="L973" s="419"/>
      <c r="M973" s="420"/>
      <c r="N973" s="421"/>
      <c r="O973" s="421"/>
      <c r="P973" s="422"/>
      <c r="Q973" s="387"/>
    </row>
    <row r="974" ht="21.75" customHeight="1">
      <c r="B974" s="387"/>
      <c r="C974" s="413"/>
      <c r="D974" s="414"/>
      <c r="E974" s="414"/>
      <c r="F974" s="415"/>
      <c r="G974" s="423"/>
      <c r="H974" s="424"/>
      <c r="I974" s="416"/>
      <c r="J974" s="417"/>
      <c r="K974" s="418"/>
      <c r="L974" s="419"/>
      <c r="M974" s="420"/>
      <c r="N974" s="421"/>
      <c r="O974" s="421"/>
      <c r="P974" s="422"/>
      <c r="Q974" s="387"/>
    </row>
    <row r="975" ht="21.75" customHeight="1">
      <c r="B975" s="387"/>
      <c r="C975" s="413"/>
      <c r="D975" s="414"/>
      <c r="E975" s="414"/>
      <c r="F975" s="415"/>
      <c r="G975" s="423"/>
      <c r="H975" s="424"/>
      <c r="I975" s="416"/>
      <c r="J975" s="417"/>
      <c r="K975" s="418"/>
      <c r="L975" s="419"/>
      <c r="M975" s="420"/>
      <c r="N975" s="421"/>
      <c r="O975" s="421"/>
      <c r="P975" s="422"/>
      <c r="Q975" s="387"/>
    </row>
    <row r="976" ht="21.75" customHeight="1">
      <c r="B976" s="387"/>
      <c r="C976" s="413"/>
      <c r="D976" s="414"/>
      <c r="E976" s="414"/>
      <c r="F976" s="415"/>
      <c r="G976" s="423"/>
      <c r="H976" s="424"/>
      <c r="I976" s="416"/>
      <c r="J976" s="417"/>
      <c r="K976" s="418"/>
      <c r="L976" s="419"/>
      <c r="M976" s="420"/>
      <c r="N976" s="421"/>
      <c r="O976" s="421"/>
      <c r="P976" s="422"/>
      <c r="Q976" s="387"/>
    </row>
    <row r="977" ht="21.75" customHeight="1">
      <c r="B977" s="387"/>
      <c r="C977" s="413"/>
      <c r="D977" s="414"/>
      <c r="E977" s="414"/>
      <c r="F977" s="415"/>
      <c r="G977" s="423"/>
      <c r="H977" s="424"/>
      <c r="I977" s="416"/>
      <c r="J977" s="417"/>
      <c r="K977" s="418"/>
      <c r="L977" s="419"/>
      <c r="M977" s="420"/>
      <c r="N977" s="421"/>
      <c r="O977" s="421"/>
      <c r="P977" s="422"/>
      <c r="Q977" s="387"/>
    </row>
    <row r="978" ht="21.75" customHeight="1">
      <c r="B978" s="387"/>
      <c r="C978" s="413"/>
      <c r="D978" s="414"/>
      <c r="E978" s="414"/>
      <c r="F978" s="415"/>
      <c r="G978" s="423"/>
      <c r="H978" s="424"/>
      <c r="I978" s="416"/>
      <c r="J978" s="417"/>
      <c r="K978" s="418"/>
      <c r="L978" s="419"/>
      <c r="M978" s="420"/>
      <c r="N978" s="421"/>
      <c r="O978" s="421"/>
      <c r="P978" s="422"/>
      <c r="Q978" s="387"/>
    </row>
    <row r="979" ht="21.75" customHeight="1">
      <c r="B979" s="387"/>
      <c r="C979" s="413"/>
      <c r="D979" s="414"/>
      <c r="E979" s="414"/>
      <c r="F979" s="415"/>
      <c r="G979" s="423"/>
      <c r="H979" s="424"/>
      <c r="I979" s="416"/>
      <c r="J979" s="417"/>
      <c r="K979" s="418"/>
      <c r="L979" s="419"/>
      <c r="M979" s="420"/>
      <c r="N979" s="421"/>
      <c r="O979" s="421"/>
      <c r="P979" s="422"/>
      <c r="Q979" s="387"/>
    </row>
    <row r="980" ht="21.75" customHeight="1">
      <c r="B980" s="387"/>
      <c r="C980" s="413"/>
      <c r="D980" s="414"/>
      <c r="E980" s="414"/>
      <c r="F980" s="415"/>
      <c r="G980" s="423"/>
      <c r="H980" s="424"/>
      <c r="I980" s="416"/>
      <c r="J980" s="417"/>
      <c r="K980" s="418"/>
      <c r="L980" s="419"/>
      <c r="M980" s="420"/>
      <c r="N980" s="421"/>
      <c r="O980" s="421"/>
      <c r="P980" s="422"/>
      <c r="Q980" s="387"/>
    </row>
    <row r="981" ht="21.75" customHeight="1">
      <c r="B981" s="387"/>
      <c r="C981" s="413"/>
      <c r="D981" s="414"/>
      <c r="E981" s="414"/>
      <c r="F981" s="415"/>
      <c r="G981" s="423"/>
      <c r="H981" s="424"/>
      <c r="I981" s="416"/>
      <c r="J981" s="417"/>
      <c r="K981" s="418"/>
      <c r="L981" s="419"/>
      <c r="M981" s="420"/>
      <c r="N981" s="421"/>
      <c r="O981" s="421"/>
      <c r="P981" s="422"/>
      <c r="Q981" s="387"/>
    </row>
    <row r="982" ht="21.75" customHeight="1">
      <c r="B982" s="387"/>
      <c r="C982" s="413"/>
      <c r="D982" s="414"/>
      <c r="E982" s="414"/>
      <c r="F982" s="415"/>
      <c r="G982" s="423"/>
      <c r="H982" s="424"/>
      <c r="I982" s="416"/>
      <c r="J982" s="417"/>
      <c r="K982" s="418"/>
      <c r="L982" s="419"/>
      <c r="M982" s="420"/>
      <c r="N982" s="421"/>
      <c r="O982" s="421"/>
      <c r="P982" s="422"/>
      <c r="Q982" s="387"/>
    </row>
    <row r="983" ht="21.75" customHeight="1">
      <c r="B983" s="387"/>
      <c r="C983" s="413"/>
      <c r="D983" s="414"/>
      <c r="E983" s="414"/>
      <c r="F983" s="415"/>
      <c r="G983" s="423"/>
      <c r="H983" s="424"/>
      <c r="I983" s="416"/>
      <c r="J983" s="417"/>
      <c r="K983" s="418"/>
      <c r="L983" s="419"/>
      <c r="M983" s="420"/>
      <c r="N983" s="421"/>
      <c r="O983" s="421"/>
      <c r="P983" s="422"/>
      <c r="Q983" s="387"/>
    </row>
    <row r="984" ht="21.75" customHeight="1">
      <c r="B984" s="387"/>
      <c r="C984" s="413"/>
      <c r="D984" s="414"/>
      <c r="E984" s="414"/>
      <c r="F984" s="415"/>
      <c r="G984" s="423"/>
      <c r="H984" s="424"/>
      <c r="I984" s="416"/>
      <c r="J984" s="417"/>
      <c r="K984" s="418"/>
      <c r="L984" s="419"/>
      <c r="M984" s="420"/>
      <c r="N984" s="421"/>
      <c r="O984" s="421"/>
      <c r="P984" s="422"/>
      <c r="Q984" s="387"/>
    </row>
    <row r="985" ht="21.75" customHeight="1">
      <c r="B985" s="387"/>
      <c r="C985" s="413"/>
      <c r="D985" s="414"/>
      <c r="E985" s="414"/>
      <c r="F985" s="415"/>
      <c r="G985" s="423"/>
      <c r="H985" s="424"/>
      <c r="I985" s="416"/>
      <c r="J985" s="417"/>
      <c r="K985" s="418"/>
      <c r="L985" s="419"/>
      <c r="M985" s="420"/>
      <c r="N985" s="421"/>
      <c r="O985" s="421"/>
      <c r="P985" s="422"/>
      <c r="Q985" s="387"/>
    </row>
    <row r="986" ht="21.75" customHeight="1">
      <c r="B986" s="387"/>
      <c r="C986" s="413"/>
      <c r="D986" s="414"/>
      <c r="E986" s="414"/>
      <c r="F986" s="415"/>
      <c r="G986" s="423"/>
      <c r="H986" s="424"/>
      <c r="I986" s="416"/>
      <c r="J986" s="417"/>
      <c r="K986" s="418"/>
      <c r="L986" s="419"/>
      <c r="M986" s="420"/>
      <c r="N986" s="421"/>
      <c r="O986" s="421"/>
      <c r="P986" s="422"/>
      <c r="Q986" s="387"/>
    </row>
    <row r="987" ht="21.75" customHeight="1">
      <c r="B987" s="387"/>
      <c r="C987" s="413"/>
      <c r="D987" s="414"/>
      <c r="E987" s="414"/>
      <c r="F987" s="415"/>
      <c r="G987" s="423"/>
      <c r="H987" s="424"/>
      <c r="I987" s="416"/>
      <c r="J987" s="417"/>
      <c r="K987" s="418"/>
      <c r="L987" s="419"/>
      <c r="M987" s="420"/>
      <c r="N987" s="421"/>
      <c r="O987" s="421"/>
      <c r="P987" s="422"/>
      <c r="Q987" s="387"/>
    </row>
    <row r="988" ht="21.75" customHeight="1">
      <c r="B988" s="387"/>
      <c r="C988" s="413"/>
      <c r="D988" s="414"/>
      <c r="E988" s="414"/>
      <c r="F988" s="415"/>
      <c r="G988" s="423"/>
      <c r="H988" s="424"/>
      <c r="I988" s="416"/>
      <c r="J988" s="417"/>
      <c r="K988" s="418"/>
      <c r="L988" s="419"/>
      <c r="M988" s="420"/>
      <c r="N988" s="421"/>
      <c r="O988" s="421"/>
      <c r="P988" s="422"/>
      <c r="Q988" s="387"/>
    </row>
    <row r="989" ht="21.75" customHeight="1">
      <c r="B989" s="387"/>
      <c r="C989" s="413"/>
      <c r="D989" s="414"/>
      <c r="E989" s="414"/>
      <c r="F989" s="415"/>
      <c r="G989" s="423"/>
      <c r="H989" s="424"/>
      <c r="I989" s="416"/>
      <c r="J989" s="417"/>
      <c r="K989" s="418"/>
      <c r="L989" s="419"/>
      <c r="M989" s="420"/>
      <c r="N989" s="421"/>
      <c r="O989" s="421"/>
      <c r="P989" s="422"/>
      <c r="Q989" s="387"/>
    </row>
    <row r="990" ht="21.75" customHeight="1">
      <c r="B990" s="387"/>
      <c r="C990" s="413"/>
      <c r="D990" s="414"/>
      <c r="E990" s="414"/>
      <c r="F990" s="415"/>
      <c r="G990" s="423"/>
      <c r="H990" s="424"/>
      <c r="I990" s="416"/>
      <c r="J990" s="417"/>
      <c r="K990" s="418"/>
      <c r="L990" s="419"/>
      <c r="M990" s="420"/>
      <c r="N990" s="421"/>
      <c r="O990" s="421"/>
      <c r="P990" s="422"/>
      <c r="Q990" s="387"/>
    </row>
    <row r="991" ht="21.75" customHeight="1">
      <c r="B991" s="387"/>
      <c r="C991" s="413"/>
      <c r="D991" s="414"/>
      <c r="E991" s="414"/>
      <c r="F991" s="415"/>
      <c r="G991" s="423"/>
      <c r="H991" s="424"/>
      <c r="I991" s="416"/>
      <c r="J991" s="417"/>
      <c r="K991" s="418"/>
      <c r="L991" s="419"/>
      <c r="M991" s="420"/>
      <c r="N991" s="421"/>
      <c r="O991" s="421"/>
      <c r="P991" s="422"/>
      <c r="Q991" s="387"/>
    </row>
    <row r="992" ht="21.75" customHeight="1">
      <c r="B992" s="387"/>
      <c r="C992" s="413"/>
      <c r="D992" s="414"/>
      <c r="E992" s="414"/>
      <c r="F992" s="415"/>
      <c r="G992" s="423"/>
      <c r="H992" s="424"/>
      <c r="I992" s="416"/>
      <c r="J992" s="417"/>
      <c r="K992" s="418"/>
      <c r="L992" s="419"/>
      <c r="M992" s="420"/>
      <c r="N992" s="421"/>
      <c r="O992" s="421"/>
      <c r="P992" s="422"/>
      <c r="Q992" s="387"/>
    </row>
    <row r="993" ht="21.75" customHeight="1">
      <c r="B993" s="387"/>
      <c r="C993" s="413"/>
      <c r="D993" s="414"/>
      <c r="E993" s="414"/>
      <c r="F993" s="415"/>
      <c r="G993" s="423"/>
      <c r="H993" s="424"/>
      <c r="I993" s="416"/>
      <c r="J993" s="417"/>
      <c r="K993" s="418"/>
      <c r="L993" s="419"/>
      <c r="M993" s="420"/>
      <c r="N993" s="421"/>
      <c r="O993" s="421"/>
      <c r="P993" s="422"/>
      <c r="Q993" s="387"/>
    </row>
    <row r="994" ht="21.75" customHeight="1">
      <c r="B994" s="387"/>
      <c r="C994" s="413"/>
      <c r="D994" s="414"/>
      <c r="E994" s="414"/>
      <c r="F994" s="415"/>
      <c r="G994" s="423"/>
      <c r="H994" s="424"/>
      <c r="I994" s="416"/>
      <c r="J994" s="417"/>
      <c r="K994" s="418"/>
      <c r="L994" s="419"/>
      <c r="M994" s="420"/>
      <c r="N994" s="421"/>
      <c r="O994" s="421"/>
      <c r="P994" s="422"/>
      <c r="Q994" s="387"/>
    </row>
    <row r="995" ht="21.75" customHeight="1">
      <c r="B995" s="387"/>
      <c r="C995" s="413"/>
      <c r="D995" s="414"/>
      <c r="E995" s="414"/>
      <c r="F995" s="415"/>
      <c r="G995" s="423"/>
      <c r="H995" s="424"/>
      <c r="I995" s="416"/>
      <c r="J995" s="417"/>
      <c r="K995" s="418"/>
      <c r="L995" s="419"/>
      <c r="M995" s="420"/>
      <c r="N995" s="421"/>
      <c r="O995" s="421"/>
      <c r="P995" s="422"/>
      <c r="Q995" s="387"/>
    </row>
    <row r="996" ht="21.75" customHeight="1">
      <c r="B996" s="387"/>
      <c r="C996" s="425"/>
      <c r="D996" s="414"/>
      <c r="E996" s="414"/>
      <c r="F996" s="414"/>
      <c r="G996" s="426"/>
      <c r="H996" s="424"/>
      <c r="I996" s="427"/>
      <c r="J996" s="417"/>
      <c r="K996" s="418"/>
      <c r="L996" s="428"/>
      <c r="M996" s="421"/>
      <c r="N996" s="421"/>
      <c r="O996" s="421"/>
      <c r="P996" s="421"/>
    </row>
  </sheetData>
  <mergeCells count="98">
    <mergeCell ref="O2:O13"/>
    <mergeCell ref="P2:P13"/>
    <mergeCell ref="I4:I6"/>
    <mergeCell ref="J4:J6"/>
    <mergeCell ref="K4:K6"/>
    <mergeCell ref="L4:L6"/>
    <mergeCell ref="I7:I9"/>
    <mergeCell ref="J7:J9"/>
    <mergeCell ref="K7:K9"/>
    <mergeCell ref="L7:L9"/>
    <mergeCell ref="I2:I3"/>
    <mergeCell ref="I10:I12"/>
    <mergeCell ref="I13:I15"/>
    <mergeCell ref="Q1:S1"/>
    <mergeCell ref="J2:J3"/>
    <mergeCell ref="K2:K3"/>
    <mergeCell ref="L2:L3"/>
    <mergeCell ref="M2:M13"/>
    <mergeCell ref="N2:N13"/>
    <mergeCell ref="Q7:R7"/>
    <mergeCell ref="L10:L12"/>
    <mergeCell ref="I16:I18"/>
    <mergeCell ref="J16:J18"/>
    <mergeCell ref="I19:I21"/>
    <mergeCell ref="J19:J21"/>
    <mergeCell ref="I22:I24"/>
    <mergeCell ref="J22:J24"/>
    <mergeCell ref="J25:J27"/>
    <mergeCell ref="I25:I27"/>
    <mergeCell ref="I28:I30"/>
    <mergeCell ref="I31:I33"/>
    <mergeCell ref="I34:I36"/>
    <mergeCell ref="J34:J36"/>
    <mergeCell ref="I37:I39"/>
    <mergeCell ref="J37:J39"/>
    <mergeCell ref="I49:I51"/>
    <mergeCell ref="I52:I54"/>
    <mergeCell ref="I55:I57"/>
    <mergeCell ref="J52:J54"/>
    <mergeCell ref="J55:J57"/>
    <mergeCell ref="I40:I42"/>
    <mergeCell ref="J40:J42"/>
    <mergeCell ref="I43:I45"/>
    <mergeCell ref="J43:J45"/>
    <mergeCell ref="I46:I48"/>
    <mergeCell ref="J46:J48"/>
    <mergeCell ref="J49:J51"/>
    <mergeCell ref="L28:L30"/>
    <mergeCell ref="K31:K33"/>
    <mergeCell ref="L31:L33"/>
    <mergeCell ref="K22:K24"/>
    <mergeCell ref="L22:L24"/>
    <mergeCell ref="L25:L27"/>
    <mergeCell ref="M26:M37"/>
    <mergeCell ref="N26:N37"/>
    <mergeCell ref="O26:O37"/>
    <mergeCell ref="P26:P37"/>
    <mergeCell ref="K40:K42"/>
    <mergeCell ref="K43:K45"/>
    <mergeCell ref="K37:K39"/>
    <mergeCell ref="L37:L39"/>
    <mergeCell ref="M38:M49"/>
    <mergeCell ref="N38:N49"/>
    <mergeCell ref="O38:O49"/>
    <mergeCell ref="P38:P49"/>
    <mergeCell ref="L40:L42"/>
    <mergeCell ref="O50:O61"/>
    <mergeCell ref="P50:P61"/>
    <mergeCell ref="K52:K54"/>
    <mergeCell ref="L52:L54"/>
    <mergeCell ref="K55:K57"/>
    <mergeCell ref="L55:L57"/>
    <mergeCell ref="L43:L45"/>
    <mergeCell ref="K46:K48"/>
    <mergeCell ref="L46:L48"/>
    <mergeCell ref="K49:K51"/>
    <mergeCell ref="L49:L51"/>
    <mergeCell ref="M50:M61"/>
    <mergeCell ref="N50:N61"/>
    <mergeCell ref="O14:O25"/>
    <mergeCell ref="P14:P25"/>
    <mergeCell ref="K16:K18"/>
    <mergeCell ref="L16:L18"/>
    <mergeCell ref="K19:K21"/>
    <mergeCell ref="L19:L21"/>
    <mergeCell ref="J10:J12"/>
    <mergeCell ref="K10:K12"/>
    <mergeCell ref="J13:J15"/>
    <mergeCell ref="K13:K15"/>
    <mergeCell ref="L13:L15"/>
    <mergeCell ref="M14:M25"/>
    <mergeCell ref="N14:N25"/>
    <mergeCell ref="K25:K27"/>
    <mergeCell ref="K28:K30"/>
    <mergeCell ref="J28:J30"/>
    <mergeCell ref="J31:J33"/>
    <mergeCell ref="K34:K36"/>
    <mergeCell ref="L34:L36"/>
  </mergeCells>
  <conditionalFormatting sqref="D2:D57">
    <cfRule type="colorScale" priority="1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F2:F57">
    <cfRule type="colorScale" priority="2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J2:J31 J34 J37 J40 J43 J46 J49 J52 J55">
    <cfRule type="colorScale" priority="3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E2:E57">
    <cfRule type="colorScale" priority="4">
      <colorScale>
        <cfvo type="min"/>
        <cfvo type="percent" val="50"/>
        <cfvo type="max"/>
        <color rgb="FFFF0000"/>
        <color rgb="FFFFFF00"/>
        <color rgb="FF00FFFF"/>
      </colorScale>
    </cfRule>
  </conditionalFormatting>
  <conditionalFormatting sqref="I2:I31 I34 I37 I40 I43 I46 I49 I52 I55">
    <cfRule type="colorScale" priority="5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K2:K31 K34 K37 K40 K43 K46 K49 K52 K55">
    <cfRule type="colorScale" priority="6">
      <colorScale>
        <cfvo type="min"/>
        <cfvo type="percent" val="50"/>
        <cfvo type="max"/>
        <color rgb="FFFF0000"/>
        <color rgb="FFFFFF00"/>
        <color rgb="FF00FFFF"/>
      </colorScale>
    </cfRule>
  </conditionalFormatting>
  <conditionalFormatting sqref="I2:L31 I34:L34 I37:L37 I40:L40 I43:L43 I46:L46 I49:L49 I52:L52 I55:L55">
    <cfRule type="colorScale" priority="7">
      <colorScale>
        <cfvo type="min"/>
        <cfvo type="percent" val="50"/>
        <cfvo type="max"/>
        <color rgb="FFFF0000"/>
        <color rgb="FFFFFF00"/>
        <color rgb="FF00FFFF"/>
      </colorScale>
    </cfRule>
  </conditionalFormatting>
  <conditionalFormatting sqref="M2:M61">
    <cfRule type="colorScale" priority="8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C2:C194">
    <cfRule type="colorScale" priority="9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O2:O61">
    <cfRule type="colorScale" priority="10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P2:P61">
    <cfRule type="colorScale" priority="11">
      <colorScale>
        <cfvo type="min"/>
        <cfvo type="percentile" val="50"/>
        <cfvo type="max"/>
        <color rgb="FFFF0000"/>
        <color rgb="FFFFFF00"/>
        <color rgb="FF00FFFF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86"/>
    <col customWidth="1" min="2" max="2" width="11.43"/>
    <col customWidth="1" min="3" max="3" width="7.57"/>
    <col customWidth="1" min="4" max="4" width="9.57"/>
    <col customWidth="1" min="5" max="5" width="8.71"/>
  </cols>
  <sheetData>
    <row r="1" ht="25.5" customHeight="1">
      <c r="A1" s="429" t="s">
        <v>1360</v>
      </c>
      <c r="B1" s="429" t="s">
        <v>1349</v>
      </c>
      <c r="C1" s="430" t="s">
        <v>1350</v>
      </c>
      <c r="D1" s="429" t="s">
        <v>1351</v>
      </c>
      <c r="E1" s="431" t="s">
        <v>1352</v>
      </c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</row>
    <row r="2">
      <c r="A2" s="432" t="s">
        <v>27</v>
      </c>
      <c r="B2" s="433">
        <f t="shared" ref="B2:B27" si="1">C2/(C2+D2)</f>
        <v>0.5737327189</v>
      </c>
      <c r="C2" s="434">
        <f>COUNTIFS(Melee!$J:$J,"Fox",Melee!$L:$L,"W")</f>
        <v>498</v>
      </c>
      <c r="D2" s="434">
        <f>COUNTIFS(Melee!$J:$J,"Fox",Melee!$L:$L,"L")</f>
        <v>370</v>
      </c>
      <c r="E2" s="435">
        <f t="shared" ref="E2:E27" si="2">C2+D2</f>
        <v>868</v>
      </c>
      <c r="F2" s="24"/>
      <c r="G2" s="24"/>
      <c r="H2" s="24"/>
      <c r="I2" s="24"/>
      <c r="J2" s="24"/>
      <c r="K2" s="436"/>
      <c r="L2" s="25"/>
    </row>
    <row r="3">
      <c r="A3" s="432" t="s">
        <v>9</v>
      </c>
      <c r="B3" s="433">
        <f t="shared" si="1"/>
        <v>0.5257903494</v>
      </c>
      <c r="C3" s="437">
        <f>COUNTIFS(Melee!$J:$J,"Falco",Melee!$L:$L,"W")</f>
        <v>316</v>
      </c>
      <c r="D3" s="437">
        <f>COUNTIFS(Melee!$J:$J,"Falco",Melee!$L:$L,"L")</f>
        <v>285</v>
      </c>
      <c r="E3" s="435">
        <f t="shared" si="2"/>
        <v>601</v>
      </c>
      <c r="F3" s="436"/>
      <c r="G3" s="436"/>
      <c r="H3" s="436"/>
      <c r="I3" s="436"/>
      <c r="J3" s="24"/>
      <c r="K3" s="436"/>
      <c r="L3" s="436"/>
    </row>
    <row r="4">
      <c r="A4" s="432" t="s">
        <v>44</v>
      </c>
      <c r="B4" s="433">
        <f t="shared" si="1"/>
        <v>0.5585412668</v>
      </c>
      <c r="C4" s="437">
        <f>COUNTIFS(Melee!$J:$J,"Marth",Melee!$L:$L,"W")</f>
        <v>291</v>
      </c>
      <c r="D4" s="438">
        <f>COUNTIFS(Melee!$J:$J,"Marth",Melee!$L:$L,"L")</f>
        <v>230</v>
      </c>
      <c r="E4" s="435">
        <f t="shared" si="2"/>
        <v>521</v>
      </c>
      <c r="J4" s="24"/>
      <c r="K4" s="436"/>
    </row>
    <row r="5">
      <c r="A5" s="432" t="s">
        <v>23</v>
      </c>
      <c r="B5" s="433">
        <f t="shared" si="1"/>
        <v>0.535483871</v>
      </c>
      <c r="C5" s="437">
        <f>COUNTIFS(Melee!$J:$J,"Sheik",Melee!$L:$L,"W")</f>
        <v>166</v>
      </c>
      <c r="D5" s="438">
        <f>COUNTIFS(Melee!$J:$J,"Sheik",Melee!$L:$L,"L")</f>
        <v>144</v>
      </c>
      <c r="E5" s="435">
        <f t="shared" si="2"/>
        <v>310</v>
      </c>
      <c r="J5" s="24"/>
      <c r="K5" s="436"/>
    </row>
    <row r="6">
      <c r="A6" s="432" t="s">
        <v>48</v>
      </c>
      <c r="B6" s="433">
        <f t="shared" si="1"/>
        <v>0.4966442953</v>
      </c>
      <c r="C6" s="437">
        <f>COUNTIFS(Melee!$J:$J,"Puff",Melee!$L:$L,"W")</f>
        <v>74</v>
      </c>
      <c r="D6" s="438">
        <f>COUNTIFS(Melee!$J:$J,"Puff",Melee!$L:$L,"L")</f>
        <v>75</v>
      </c>
      <c r="E6" s="435">
        <f t="shared" si="2"/>
        <v>149</v>
      </c>
      <c r="J6" s="24"/>
      <c r="K6" s="436"/>
    </row>
    <row r="7">
      <c r="A7" s="432" t="s">
        <v>86</v>
      </c>
      <c r="B7" s="433">
        <f t="shared" si="1"/>
        <v>0.5463414634</v>
      </c>
      <c r="C7" s="437">
        <f>COUNTIFS(Melee!$J:$J,"Falcon",Melee!$L:$L,"W")</f>
        <v>224</v>
      </c>
      <c r="D7" s="438">
        <f>COUNTIFS(Melee!$J:$J,"Falcon",Melee!$L:$L,"L")</f>
        <v>186</v>
      </c>
      <c r="E7" s="435">
        <f t="shared" si="2"/>
        <v>410</v>
      </c>
      <c r="J7" s="24"/>
      <c r="K7" s="436"/>
    </row>
    <row r="8">
      <c r="A8" s="432" t="s">
        <v>71</v>
      </c>
      <c r="B8" s="433">
        <f t="shared" si="1"/>
        <v>0.4974874372</v>
      </c>
      <c r="C8" s="437">
        <f>COUNTIFS(Melee!$J:$J,"Peach",Melee!$L:$L,"W")</f>
        <v>99</v>
      </c>
      <c r="D8" s="438">
        <f>COUNTIFS(Melee!$J:$J,"Peach",Melee!$L:$L,"L")</f>
        <v>100</v>
      </c>
      <c r="E8" s="435">
        <f t="shared" si="2"/>
        <v>199</v>
      </c>
      <c r="F8" s="24"/>
      <c r="G8" s="24"/>
      <c r="H8" s="24"/>
      <c r="J8" s="24"/>
      <c r="K8" s="436"/>
    </row>
    <row r="9">
      <c r="A9" s="432" t="s">
        <v>216</v>
      </c>
      <c r="B9" s="433">
        <f t="shared" si="1"/>
        <v>0.487804878</v>
      </c>
      <c r="C9" s="437">
        <f>COUNTIFS(Melee!$J:$J,"IC's",Melee!$L:$L,"W")</f>
        <v>80</v>
      </c>
      <c r="D9" s="438">
        <f>COUNTIFS(Melee!$J:$J,"IC's",Melee!$L:$L,"L")</f>
        <v>84</v>
      </c>
      <c r="E9" s="435">
        <f t="shared" si="2"/>
        <v>164</v>
      </c>
      <c r="F9" s="436"/>
      <c r="G9" s="436"/>
      <c r="H9" s="436"/>
      <c r="J9" s="24"/>
      <c r="K9" s="436"/>
    </row>
    <row r="10">
      <c r="A10" s="432" t="s">
        <v>97</v>
      </c>
      <c r="B10" s="433">
        <f t="shared" si="1"/>
        <v>0.6732673267</v>
      </c>
      <c r="C10" s="437">
        <f>COUNTIFS(Melee!$J:$J,"Samus",Melee!$L:$L,"W")</f>
        <v>68</v>
      </c>
      <c r="D10" s="438">
        <f>COUNTIFS(Melee!$J:$J,"Samus",Melee!$L:$L,"L")</f>
        <v>33</v>
      </c>
      <c r="E10" s="435">
        <f t="shared" si="2"/>
        <v>101</v>
      </c>
      <c r="J10" s="24"/>
      <c r="K10" s="436"/>
    </row>
    <row r="11">
      <c r="A11" s="432" t="s">
        <v>139</v>
      </c>
      <c r="B11" s="433">
        <f t="shared" si="1"/>
        <v>0.6666666667</v>
      </c>
      <c r="C11" s="437">
        <f>COUNTIFS(Melee!$J:$J,"Pikachu",Melee!$L:$L,"W")</f>
        <v>40</v>
      </c>
      <c r="D11" s="438">
        <f>COUNTIFS(Melee!$J:$J,"Pikachu",Melee!$L:$L,"L")</f>
        <v>20</v>
      </c>
      <c r="E11" s="435">
        <f t="shared" si="2"/>
        <v>60</v>
      </c>
      <c r="F11" s="24"/>
      <c r="G11" s="24"/>
      <c r="J11" s="24"/>
      <c r="K11" s="436"/>
    </row>
    <row r="12">
      <c r="A12" s="432" t="s">
        <v>102</v>
      </c>
      <c r="B12" s="433">
        <f t="shared" si="1"/>
        <v>0.55</v>
      </c>
      <c r="C12" s="437">
        <f>COUNTIFS(Melee!$J:$J,"Luigi",Melee!$L:$L,"W")</f>
        <v>66</v>
      </c>
      <c r="D12" s="438">
        <f>COUNTIFS(Melee!$J:$J,"Luigi",Melee!$L:$L,"L")</f>
        <v>54</v>
      </c>
      <c r="E12" s="435">
        <f t="shared" si="2"/>
        <v>120</v>
      </c>
      <c r="F12" s="436"/>
      <c r="G12" s="436"/>
      <c r="J12" s="24"/>
      <c r="K12" s="436"/>
    </row>
    <row r="13">
      <c r="A13" s="432" t="s">
        <v>138</v>
      </c>
      <c r="B13" s="433">
        <f t="shared" si="1"/>
        <v>0.5490196078</v>
      </c>
      <c r="C13" s="437">
        <f>COUNTIFS(Melee!$J:$J,"Doc",Melee!$L:$L,"W")</f>
        <v>28</v>
      </c>
      <c r="D13" s="438">
        <f>COUNTIFS(Melee!$J:$J,"Doc",Melee!$L:$L,"L")</f>
        <v>23</v>
      </c>
      <c r="E13" s="435">
        <f t="shared" si="2"/>
        <v>51</v>
      </c>
      <c r="J13" s="24"/>
      <c r="K13" s="436"/>
    </row>
    <row r="14">
      <c r="A14" s="432" t="s">
        <v>182</v>
      </c>
      <c r="B14" s="433">
        <f t="shared" si="1"/>
        <v>0.8571428571</v>
      </c>
      <c r="C14" s="437">
        <f>COUNTIFS(Melee!$J:$J,"Yoshi",Melee!$L:$L,"W")</f>
        <v>6</v>
      </c>
      <c r="D14" s="438">
        <f>COUNTIFS(Melee!$J:$J,"Yoshi",Melee!$L:$L,"L")</f>
        <v>1</v>
      </c>
      <c r="E14" s="435">
        <f t="shared" si="2"/>
        <v>7</v>
      </c>
      <c r="F14" s="24"/>
      <c r="G14" s="24"/>
      <c r="H14" s="24"/>
      <c r="I14" s="24"/>
      <c r="J14" s="24"/>
      <c r="K14" s="436"/>
    </row>
    <row r="15">
      <c r="A15" s="432" t="s">
        <v>64</v>
      </c>
      <c r="B15" s="433">
        <f t="shared" si="1"/>
        <v>0.5205479452</v>
      </c>
      <c r="C15" s="437">
        <f>COUNTIFS(Melee!$J:$J,"Ganon",Melee!$L:$L,"W")</f>
        <v>38</v>
      </c>
      <c r="D15" s="438">
        <f>COUNTIFS(Melee!$J:$J,"Ganon",Melee!$L:$L,"L")</f>
        <v>35</v>
      </c>
      <c r="E15" s="435">
        <f t="shared" si="2"/>
        <v>73</v>
      </c>
      <c r="F15" s="436"/>
      <c r="G15" s="436"/>
      <c r="H15" s="436"/>
      <c r="I15" s="436"/>
      <c r="J15" s="24"/>
      <c r="K15" s="436"/>
    </row>
    <row r="16">
      <c r="A16" s="432" t="s">
        <v>140</v>
      </c>
      <c r="B16" s="433">
        <f t="shared" si="1"/>
        <v>0.7647058824</v>
      </c>
      <c r="C16" s="437">
        <f>COUNTIFS(Melee!$J:$J,"Mario",Melee!$L:$L,"W")</f>
        <v>13</v>
      </c>
      <c r="D16" s="438">
        <f>COUNTIFS(Melee!$J:$J,"Mario",Melee!$L:$L,"L")</f>
        <v>4</v>
      </c>
      <c r="E16" s="435">
        <f t="shared" si="2"/>
        <v>17</v>
      </c>
      <c r="J16" s="24"/>
      <c r="K16" s="436"/>
    </row>
    <row r="17">
      <c r="A17" s="432" t="s">
        <v>479</v>
      </c>
      <c r="B17" s="433">
        <f t="shared" si="1"/>
        <v>0.7777777778</v>
      </c>
      <c r="C17" s="437">
        <f>COUNTIFS(Melee!$J:$J,"Young Link",Melee!$L:$L,"W")</f>
        <v>7</v>
      </c>
      <c r="D17" s="438">
        <f>COUNTIFS(Melee!$J:$J,"Young Link",Melee!$L:$L,"L")</f>
        <v>2</v>
      </c>
      <c r="E17" s="435">
        <f t="shared" si="2"/>
        <v>9</v>
      </c>
      <c r="J17" s="24"/>
      <c r="K17" s="436"/>
    </row>
    <row r="18">
      <c r="A18" s="432" t="s">
        <v>1361</v>
      </c>
      <c r="B18" s="433" t="str">
        <f t="shared" si="1"/>
        <v>#DIV/0!</v>
      </c>
      <c r="C18" s="437">
        <f>COUNTIFS(Melee!$J:$J,"Link",Melee!$L:$L,"W")</f>
        <v>0</v>
      </c>
      <c r="D18" s="438">
        <f>COUNTIFS(Melee!$J:$J,"Link",Melee!$L:$L,"L")</f>
        <v>0</v>
      </c>
      <c r="E18" s="435">
        <f t="shared" si="2"/>
        <v>0</v>
      </c>
      <c r="J18" s="24"/>
      <c r="K18" s="436"/>
    </row>
    <row r="19">
      <c r="A19" s="432" t="s">
        <v>1362</v>
      </c>
      <c r="B19" s="433" t="str">
        <f t="shared" si="1"/>
        <v>#DIV/0!</v>
      </c>
      <c r="C19" s="437">
        <f>COUNTIFS(Melee!$J:$J,"DK",Melee!$L:$L,"W")</f>
        <v>0</v>
      </c>
      <c r="D19" s="438">
        <f>COUNTIFS(Melee!$J:$J,"DK",Melee!$L:$L,"W")</f>
        <v>0</v>
      </c>
      <c r="E19" s="435">
        <f t="shared" si="2"/>
        <v>0</v>
      </c>
      <c r="J19" s="24"/>
      <c r="K19" s="436"/>
    </row>
    <row r="20">
      <c r="A20" s="432" t="s">
        <v>882</v>
      </c>
      <c r="B20" s="433">
        <f t="shared" si="1"/>
        <v>1</v>
      </c>
      <c r="C20" s="437">
        <f>COUNTIFS(Melee!$J:$J,"Mr. Game &amp; Watch",Melee!$L:$L,"W")</f>
        <v>3</v>
      </c>
      <c r="D20" s="438">
        <f>COUNTIFS(Melee!$J:$J,"Mr. Game &amp; Watch",Melee!$L:$L,"L")</f>
        <v>0</v>
      </c>
      <c r="E20" s="435">
        <f t="shared" si="2"/>
        <v>3</v>
      </c>
      <c r="J20" s="24"/>
      <c r="K20" s="436"/>
    </row>
    <row r="21">
      <c r="A21" s="432" t="s">
        <v>40</v>
      </c>
      <c r="B21" s="433">
        <f t="shared" si="1"/>
        <v>0.8333333333</v>
      </c>
      <c r="C21" s="437">
        <f>COUNTIFS(Melee!$J:$J,"Roy",Melee!$L:$L,"W")</f>
        <v>10</v>
      </c>
      <c r="D21" s="438">
        <f>COUNTIFS(Melee!$J:$J,"Roy",Melee!$L:$L,"L")</f>
        <v>2</v>
      </c>
      <c r="E21" s="435">
        <f t="shared" si="2"/>
        <v>12</v>
      </c>
      <c r="J21" s="24"/>
      <c r="K21" s="436"/>
    </row>
    <row r="22">
      <c r="A22" s="432" t="s">
        <v>318</v>
      </c>
      <c r="B22" s="433">
        <f t="shared" si="1"/>
        <v>0.8333333333</v>
      </c>
      <c r="C22" s="437">
        <f>COUNTIFS(Melee!$J:$J,"Ness",Melee!$L:$L,"W")</f>
        <v>5</v>
      </c>
      <c r="D22" s="438">
        <f>COUNTIFS(Melee!$J:$J,"Ness",Melee!$L:$L,"L")</f>
        <v>1</v>
      </c>
      <c r="E22" s="435">
        <f t="shared" si="2"/>
        <v>6</v>
      </c>
      <c r="J22" s="24"/>
      <c r="K22" s="436"/>
    </row>
    <row r="23">
      <c r="A23" s="432" t="s">
        <v>1363</v>
      </c>
      <c r="B23" s="433" t="str">
        <f t="shared" si="1"/>
        <v>#DIV/0!</v>
      </c>
      <c r="C23" s="437">
        <f>COUNTIFS(Melee!$J:$J,"Pichu",Melee!$L:$L,"W")</f>
        <v>0</v>
      </c>
      <c r="D23" s="438">
        <f>COUNTIFS(Melee!$J:$J,"Pichu",Melee!$L:$L,"L")</f>
        <v>0</v>
      </c>
      <c r="E23" s="435">
        <f t="shared" si="2"/>
        <v>0</v>
      </c>
    </row>
    <row r="24">
      <c r="A24" s="432" t="s">
        <v>1212</v>
      </c>
      <c r="B24" s="433" t="str">
        <f t="shared" si="1"/>
        <v>#DIV/0!</v>
      </c>
      <c r="C24" s="437">
        <f>COUNTIFS(Melee!$J:$J,"Mewtwo",Melee!$L:$L,"W")</f>
        <v>0</v>
      </c>
      <c r="D24" s="438">
        <f>COUNTIFS(Melee!$J:$J,"Mewtwo",Melee!$L:$L,"L")</f>
        <v>0</v>
      </c>
      <c r="E24" s="435">
        <f t="shared" si="2"/>
        <v>0</v>
      </c>
    </row>
    <row r="25">
      <c r="A25" s="432" t="s">
        <v>338</v>
      </c>
      <c r="B25" s="433">
        <f t="shared" si="1"/>
        <v>0.4</v>
      </c>
      <c r="C25" s="437">
        <f>COUNTIFS(Melee!$J:$J,"Zelda",Melee!$L:$L,"W")</f>
        <v>2</v>
      </c>
      <c r="D25" s="438">
        <f>COUNTIFS(Melee!$J:$J,"Zelda",Melee!$L:$L,"L")</f>
        <v>3</v>
      </c>
      <c r="E25" s="435">
        <f t="shared" si="2"/>
        <v>5</v>
      </c>
    </row>
    <row r="26">
      <c r="A26" s="432" t="s">
        <v>853</v>
      </c>
      <c r="B26" s="433">
        <f t="shared" si="1"/>
        <v>1</v>
      </c>
      <c r="C26" s="437">
        <f>COUNTIFS(Melee!$J:$J,"Kirby",Melee!$L:$L,"W")</f>
        <v>2</v>
      </c>
      <c r="D26" s="438">
        <f>COUNTIFS(Melee!$J:$J,"Kirby",Melee!$L:$L,"L")</f>
        <v>0</v>
      </c>
      <c r="E26" s="435">
        <f t="shared" si="2"/>
        <v>2</v>
      </c>
    </row>
    <row r="27">
      <c r="A27" s="439" t="s">
        <v>1364</v>
      </c>
      <c r="B27" s="433" t="str">
        <f t="shared" si="1"/>
        <v>#DIV/0!</v>
      </c>
      <c r="C27" s="440">
        <f>COUNTIFS(Melee!$J:$J,"Bowser",Melee!$L:$L,"W")</f>
        <v>0</v>
      </c>
      <c r="D27" s="441">
        <f>COUNTIFS(Melee!$J:$J,"Bowser",Melee!$L:$L,"L")</f>
        <v>0</v>
      </c>
      <c r="E27" s="442">
        <f t="shared" si="2"/>
        <v>0</v>
      </c>
    </row>
    <row r="28">
      <c r="B28" s="387"/>
      <c r="C28" s="387"/>
      <c r="D28" s="387"/>
    </row>
  </sheetData>
  <conditionalFormatting sqref="B1:B28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C2:C27">
    <cfRule type="colorScale" priority="2">
      <colorScale>
        <cfvo type="min"/>
        <cfvo type="percent" val="50"/>
        <cfvo type="max"/>
        <color rgb="FFFF0000"/>
        <color rgb="FFFFFF00"/>
        <color rgb="FF00FFFF"/>
      </colorScale>
    </cfRule>
  </conditionalFormatting>
  <conditionalFormatting sqref="D2:D27">
    <cfRule type="colorScale" priority="3">
      <colorScale>
        <cfvo type="min"/>
        <cfvo type="percent" val="50"/>
        <cfvo type="max"/>
        <color rgb="FFFF0000"/>
        <color rgb="FFFFFF00"/>
        <color rgb="FF00FFFF"/>
      </colorScale>
    </cfRule>
  </conditionalFormatting>
  <conditionalFormatting sqref="E2:E27">
    <cfRule type="colorScale" priority="4">
      <colorScale>
        <cfvo type="min"/>
        <cfvo type="percent" val="50"/>
        <cfvo type="max"/>
        <color rgb="FFFF0000"/>
        <color rgb="FFFFFF00"/>
        <color rgb="FF00FFFF"/>
      </colorScale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12.43"/>
    <col customWidth="1" min="3" max="3" width="8.86"/>
    <col customWidth="1" min="4" max="7" width="6.0"/>
    <col customWidth="1" min="9" max="9" width="10.0"/>
    <col customWidth="1" min="10" max="10" width="7.0"/>
    <col customWidth="1" min="11" max="11" width="5.43"/>
    <col customWidth="1" min="12" max="12" width="26.14"/>
    <col customWidth="1" min="13" max="13" width="9.14"/>
    <col customWidth="1" min="21" max="21" width="21.0"/>
    <col hidden="1" min="25" max="25" width="14.43"/>
    <col customWidth="1" min="27" max="27" width="22.14"/>
  </cols>
  <sheetData>
    <row r="1">
      <c r="A1" s="443"/>
      <c r="B1" s="444" t="s">
        <v>1365</v>
      </c>
      <c r="C1" s="165"/>
      <c r="D1" s="443"/>
      <c r="E1" s="443"/>
      <c r="F1" s="443"/>
      <c r="G1" s="443"/>
      <c r="H1" s="444" t="s">
        <v>1366</v>
      </c>
      <c r="I1" s="166"/>
      <c r="J1" s="445"/>
      <c r="K1" s="24"/>
      <c r="L1" s="444" t="s">
        <v>1367</v>
      </c>
      <c r="M1" s="165"/>
      <c r="N1" s="25" t="s">
        <v>1368</v>
      </c>
      <c r="O1" s="25" t="s">
        <v>1369</v>
      </c>
      <c r="P1" s="25" t="s">
        <v>1370</v>
      </c>
      <c r="Q1" s="446" t="s">
        <v>1371</v>
      </c>
      <c r="R1" s="446" t="s">
        <v>1372</v>
      </c>
      <c r="S1" s="446" t="s">
        <v>1346</v>
      </c>
      <c r="T1" s="446" t="s">
        <v>1373</v>
      </c>
      <c r="U1" t="str">
        <f>IFERROR(__xludf.DUMMYFUNCTION("unique(sort(Melee!D:D))"),"AEW#1")</f>
        <v>AEW#1</v>
      </c>
      <c r="V1" s="447">
        <f>countifs(Melee!$M:$M,"W",Melee!D:D,U1)</f>
        <v>3</v>
      </c>
      <c r="W1" s="446">
        <f>countifs(Melee!M:M,"L",Melee!D:D,U1)</f>
        <v>4</v>
      </c>
      <c r="X1">
        <f t="shared" ref="X1:X292" si="1">sum(V1:W1)</f>
        <v>7</v>
      </c>
      <c r="Y1">
        <f t="shared" ref="Y1:Y292" si="2">rand()+X1</f>
        <v>7.464563129</v>
      </c>
      <c r="Z1" s="25" t="s">
        <v>1354</v>
      </c>
      <c r="AA1" s="25" t="s">
        <v>2</v>
      </c>
      <c r="AB1" s="25" t="s">
        <v>1374</v>
      </c>
      <c r="AC1" s="25" t="s">
        <v>1375</v>
      </c>
    </row>
    <row r="2">
      <c r="A2" s="448"/>
      <c r="B2" s="449" t="s">
        <v>1375</v>
      </c>
      <c r="C2" s="450" t="s">
        <v>1376</v>
      </c>
      <c r="D2" s="450" t="s">
        <v>1354</v>
      </c>
      <c r="E2" s="451"/>
      <c r="F2" s="451"/>
      <c r="G2" s="451"/>
      <c r="H2" s="449" t="s">
        <v>1377</v>
      </c>
      <c r="I2" s="450" t="s">
        <v>1376</v>
      </c>
      <c r="J2" s="448"/>
      <c r="K2" s="24"/>
      <c r="L2" s="449" t="s">
        <v>74</v>
      </c>
      <c r="M2" s="452" t="s">
        <v>1376</v>
      </c>
      <c r="N2" t="s">
        <v>18</v>
      </c>
      <c r="O2" t="str">
        <f>IFERROR(__xludf.DUMMYFUNCTION("(UNIQUE(sort(Melee!B:B)))"),"Ann Arbor, MI")</f>
        <v>Ann Arbor, MI</v>
      </c>
      <c r="P2">
        <f>COUNTIFS(Melee!$A:$A,O2)</f>
        <v>111</v>
      </c>
      <c r="Q2" s="447">
        <f>countifs(Melee!$M:$M,"W",Melee!B:B,O2)</f>
        <v>332</v>
      </c>
      <c r="R2" s="447">
        <f>countifs(Melee!$M:$M,"L",Melee!B:B,O2)</f>
        <v>273</v>
      </c>
      <c r="S2" s="447">
        <f t="shared" ref="S2:S28" si="3">sum(Q2:R2)</f>
        <v>605</v>
      </c>
      <c r="T2" s="453">
        <f t="shared" ref="T2:T28" si="4">S2/P2</f>
        <v>5.45045045</v>
      </c>
      <c r="U2" t="str">
        <f>IFERROR(__xludf.DUMMYFUNCTION("""COMPUTED_VALUE"""),"AEW#2")</f>
        <v>AEW#2</v>
      </c>
      <c r="V2" s="447">
        <f>countifs(Melee!$M:$M,"W",Melee!D:D,U2)</f>
        <v>4</v>
      </c>
      <c r="W2" s="446">
        <f>countifs(Melee!M:M,"L",Melee!D:D,U2)</f>
        <v>4</v>
      </c>
      <c r="X2">
        <f t="shared" si="1"/>
        <v>8</v>
      </c>
      <c r="Y2">
        <f t="shared" si="2"/>
        <v>8.481204281</v>
      </c>
      <c r="Z2">
        <f>large(X:X,1)</f>
        <v>16</v>
      </c>
      <c r="AA2" t="str">
        <f t="array" ref="AA2">INDEX(U:U,MATCH(LARGE(Y:Y,1),Y:Y,0))</f>
        <v>Motor City Smackdown</v>
      </c>
      <c r="AB2" s="447" t="str">
        <f t="array" ref="AB2">index(Melee!B:B,Match(AA2,Melee!D:D,0))</f>
        <v>Detroit, MI</v>
      </c>
      <c r="AC2" s="447" t="str">
        <f t="array" ref="AC2">index(Melee!C:C,Match(AA2,Melee!D:D,0))</f>
        <v>Local</v>
      </c>
    </row>
    <row r="3">
      <c r="A3" s="454"/>
      <c r="B3" s="455" t="s">
        <v>74</v>
      </c>
      <c r="C3" s="456">
        <f>COUNTIFS(Melee!$A:$A,"Weekly")</f>
        <v>171</v>
      </c>
      <c r="D3" s="447">
        <f>(countifs(Melee!$M:$M,"W",Melee!C:C,B3) + countifs(Melee!$M:$M,"L",Melee!C:C,B3))</f>
        <v>830</v>
      </c>
      <c r="E3" s="457">
        <f t="shared" ref="E3:E9" si="5">D3/C3</f>
        <v>4.85380117</v>
      </c>
      <c r="F3" s="174"/>
      <c r="G3" s="174"/>
      <c r="H3" s="455" t="s">
        <v>476</v>
      </c>
      <c r="I3" s="458">
        <f>COUNTIFS(Melee!$A:$A,"Ann Arbor*")</f>
        <v>111</v>
      </c>
      <c r="J3" s="447"/>
      <c r="K3" s="24"/>
      <c r="L3" s="455" t="s">
        <v>1378</v>
      </c>
      <c r="M3" s="458">
        <f>COUNTIFS(Melee!$A:$A,"UMeMe*")</f>
        <v>66</v>
      </c>
      <c r="N3" s="25" t="s">
        <v>1379</v>
      </c>
      <c r="O3" t="str">
        <f>IFERROR(__xludf.DUMMYFUNCTION("""COMPUTED_VALUE"""),"Auburn Hills, MI")</f>
        <v>Auburn Hills, MI</v>
      </c>
      <c r="P3">
        <f>COUNTIFS(Melee!$A:$A,O3)</f>
        <v>5</v>
      </c>
      <c r="Q3" s="447">
        <f>countifs(Melee!$M:$M,"W",Melee!B:B,O3)</f>
        <v>24</v>
      </c>
      <c r="R3" s="447">
        <f>countifs(Melee!$M:$M,"L",Melee!B:B,O3)</f>
        <v>17</v>
      </c>
      <c r="S3" s="447">
        <f t="shared" si="3"/>
        <v>41</v>
      </c>
      <c r="T3" s="453">
        <f t="shared" si="4"/>
        <v>8.2</v>
      </c>
      <c r="U3" t="str">
        <f>IFERROR(__xludf.DUMMYFUNCTION("""COMPUTED_VALUE"""),"AEW#3")</f>
        <v>AEW#3</v>
      </c>
      <c r="V3" s="447">
        <f>countifs(Melee!$M:$M,"W",Melee!D:D,U3)</f>
        <v>6</v>
      </c>
      <c r="W3" s="446">
        <f>countifs(Melee!M:M,"L",Melee!D:D,U3)</f>
        <v>2</v>
      </c>
      <c r="X3">
        <f t="shared" si="1"/>
        <v>8</v>
      </c>
      <c r="Y3">
        <f t="shared" si="2"/>
        <v>8.868929372</v>
      </c>
      <c r="Z3" s="25">
        <f>large(X:X,2)</f>
        <v>15</v>
      </c>
      <c r="AA3" t="str">
        <f t="array" ref="AA3">INDEX(U:U,MATCH(LARGE(Y:Y,2),Y:Y,0))</f>
        <v>Here be Mid Tiers 6</v>
      </c>
      <c r="AB3" s="447" t="str">
        <f t="array" ref="AB3">index(Melee!B:B,Match(AA3,Melee!D:D,0))</f>
        <v>Jackson, MI</v>
      </c>
      <c r="AC3" s="447" t="str">
        <f t="array" ref="AC3">index(Melee!C:C,Match(AA3,Melee!D:D,0))</f>
        <v>Regional</v>
      </c>
    </row>
    <row r="4">
      <c r="A4" s="454"/>
      <c r="B4" s="459" t="s">
        <v>84</v>
      </c>
      <c r="C4" s="456">
        <f>COUNTIFS(Melee!$A:$A,"Local")</f>
        <v>47</v>
      </c>
      <c r="D4" s="447">
        <f>(countifs(Melee!$M:$M,"W",Melee!C:C,B4) + countifs(Melee!$M:$M,"L",Melee!C:C,B4))</f>
        <v>325</v>
      </c>
      <c r="E4" s="457">
        <f t="shared" si="5"/>
        <v>6.914893617</v>
      </c>
      <c r="F4" s="174"/>
      <c r="G4" s="174"/>
      <c r="H4" s="455" t="s">
        <v>246</v>
      </c>
      <c r="I4" s="458">
        <f>(COUNTIFS(Melee!$A:$A,"Sterling Heights*") + COUNTIFS(Melee!$A:$A,"Macomb*") + COUNTIFS(Melee!$A:$A,"Clinton Township*"))</f>
        <v>26</v>
      </c>
      <c r="J4" s="174"/>
      <c r="K4" s="24"/>
      <c r="L4" s="455" t="s">
        <v>413</v>
      </c>
      <c r="M4" s="458">
        <f>COUNTIFS(Melee!$A:$A,"Friday Night Smash Delight*") + COUNTIFS(Melee!$A:$A,"Melee Night Smash Delight*")</f>
        <v>35</v>
      </c>
      <c r="N4" s="25" t="s">
        <v>1380</v>
      </c>
      <c r="O4" t="str">
        <f>IFERROR(__xludf.DUMMYFUNCTION("""COMPUTED_VALUE"""),"Brighton, MI")</f>
        <v>Brighton, MI</v>
      </c>
      <c r="P4">
        <f>COUNTIFS(Melee!$A:$A,O4)</f>
        <v>6</v>
      </c>
      <c r="Q4" s="447">
        <f>countifs(Melee!$M:$M,"W",Melee!B:B,O4)</f>
        <v>30</v>
      </c>
      <c r="R4" s="447">
        <f>countifs(Melee!$M:$M,"L",Melee!B:B,O4)</f>
        <v>18</v>
      </c>
      <c r="S4" s="447">
        <f t="shared" si="3"/>
        <v>48</v>
      </c>
      <c r="T4" s="453">
        <f t="shared" si="4"/>
        <v>8</v>
      </c>
      <c r="U4" t="str">
        <f>IFERROR(__xludf.DUMMYFUNCTION("""COMPUTED_VALUE"""),"AEW#4")</f>
        <v>AEW#4</v>
      </c>
      <c r="V4" s="447">
        <f>countifs(Melee!$M:$M,"W",Melee!D:D,U4)</f>
        <v>3</v>
      </c>
      <c r="W4" s="446">
        <f>countifs(Melee!M:M,"L",Melee!D:D,U4)</f>
        <v>4</v>
      </c>
      <c r="X4">
        <f t="shared" si="1"/>
        <v>7</v>
      </c>
      <c r="Y4">
        <f t="shared" si="2"/>
        <v>7.560516397</v>
      </c>
      <c r="Z4">
        <f>large(X:X,3)</f>
        <v>14</v>
      </c>
      <c r="AA4" t="str">
        <f t="array" ref="AA4">INDEX(U:U,MATCH(LARGE(Y:Y,3),Y:Y,0))</f>
        <v>Shogunate</v>
      </c>
      <c r="AB4" s="447" t="str">
        <f t="array" ref="AB4">index(Melee!B:B,Match(AA4,Melee!D:D,0))</f>
        <v>Ann Arbor, MI</v>
      </c>
      <c r="AC4" s="447" t="str">
        <f t="array" ref="AC4">index(Melee!C:C,Match(AA4,Melee!D:D,0))</f>
        <v>Regional</v>
      </c>
    </row>
    <row r="5">
      <c r="A5" s="454"/>
      <c r="B5" s="455" t="s">
        <v>427</v>
      </c>
      <c r="C5" s="456">
        <f>COUNTIFS(Melee!$A:$A,"Bar Tourney")</f>
        <v>9</v>
      </c>
      <c r="D5" s="447">
        <f>(countifs(Melee!$M:$M,"W",Melee!C:C,B5) + countifs(Melee!$M:$M,"L",Melee!C:C,B5))</f>
        <v>45</v>
      </c>
      <c r="E5" s="457">
        <f t="shared" si="5"/>
        <v>5</v>
      </c>
      <c r="F5" s="174"/>
      <c r="G5" s="174"/>
      <c r="H5" s="455" t="s">
        <v>1381</v>
      </c>
      <c r="I5" s="458">
        <f>COUNTIFS(Melee!$A:$A,"Southfield*")</f>
        <v>28</v>
      </c>
      <c r="J5" s="174"/>
      <c r="K5" s="24"/>
      <c r="L5" s="455" t="s">
        <v>1382</v>
      </c>
      <c r="M5" s="458">
        <f>COUNTIFS(Melee!$A:$A,"CMPL*")</f>
        <v>12</v>
      </c>
      <c r="N5" s="25" t="s">
        <v>1383</v>
      </c>
      <c r="O5" t="str">
        <f>IFERROR(__xludf.DUMMYFUNCTION("""COMPUTED_VALUE"""),"Clinton Township, MI")</f>
        <v>Clinton Township, MI</v>
      </c>
      <c r="P5">
        <f>COUNTIFS(Melee!$A:$A,O5)</f>
        <v>3</v>
      </c>
      <c r="Q5" s="447">
        <f>countifs(Melee!$M:$M,"W",Melee!B:B,O5)</f>
        <v>11</v>
      </c>
      <c r="R5" s="447">
        <f>countifs(Melee!$M:$M,"L",Melee!B:B,O5)</f>
        <v>6</v>
      </c>
      <c r="S5" s="447">
        <f t="shared" si="3"/>
        <v>17</v>
      </c>
      <c r="T5" s="453">
        <f t="shared" si="4"/>
        <v>5.666666667</v>
      </c>
      <c r="U5" t="str">
        <f>IFERROR(__xludf.DUMMYFUNCTION("""COMPUTED_VALUE"""),"AEW#5")</f>
        <v>AEW#5</v>
      </c>
      <c r="V5" s="447">
        <f>countifs(Melee!$M:$M,"W",Melee!D:D,U5)</f>
        <v>8</v>
      </c>
      <c r="W5" s="446">
        <f>countifs(Melee!M:M,"L",Melee!D:D,U5)</f>
        <v>3</v>
      </c>
      <c r="X5">
        <f t="shared" si="1"/>
        <v>11</v>
      </c>
      <c r="Y5">
        <f t="shared" si="2"/>
        <v>11.50235095</v>
      </c>
      <c r="Z5">
        <f>large(X:X,4)</f>
        <v>14</v>
      </c>
      <c r="AA5" t="str">
        <f t="array" ref="AA5">INDEX(U:U,MATCH(LARGE(Y:Y,4),Y:Y,0))</f>
        <v>The Mitten Midway DX</v>
      </c>
      <c r="AB5" s="447" t="str">
        <f t="array" ref="AB5">index(Melee!B:B,Match(AA5,Melee!D:D,0))</f>
        <v>Brighton, MI</v>
      </c>
      <c r="AC5" s="447" t="str">
        <f t="array" ref="AC5">index(Melee!C:C,Match(AA5,Melee!D:D,0))</f>
        <v>Local</v>
      </c>
    </row>
    <row r="6">
      <c r="A6" s="454"/>
      <c r="B6" s="459" t="s">
        <v>19</v>
      </c>
      <c r="C6" s="456">
        <f>COUNTIFS(Melee!$A:$A,"Regional")</f>
        <v>26</v>
      </c>
      <c r="D6" s="447">
        <f>(countifs(Melee!$M:$M,"W",Melee!C:C,B6) + countifs(Melee!$M:$M,"L",Melee!C:C,B6))</f>
        <v>188</v>
      </c>
      <c r="E6" s="457">
        <f t="shared" si="5"/>
        <v>7.230769231</v>
      </c>
      <c r="F6" s="174"/>
      <c r="G6" s="174"/>
      <c r="H6" s="455" t="s">
        <v>1384</v>
      </c>
      <c r="I6" s="458">
        <f>COUNTIFS(Melee!$A:$A,"Detroit*")</f>
        <v>24</v>
      </c>
      <c r="J6" s="174"/>
      <c r="K6" s="24"/>
      <c r="L6" s="455" t="s">
        <v>1385</v>
      </c>
      <c r="M6" s="458">
        <f>COUNTIFS(Melee!$A:$A,"WWE*")</f>
        <v>11</v>
      </c>
      <c r="N6" t="s">
        <v>1170</v>
      </c>
      <c r="O6" t="str">
        <f>IFERROR(__xludf.DUMMYFUNCTION("""COMPUTED_VALUE"""),"Daytona, FL")</f>
        <v>Daytona, FL</v>
      </c>
      <c r="P6">
        <f>COUNTIFS(Melee!$A:$A,O6)</f>
        <v>1</v>
      </c>
      <c r="Q6" s="447">
        <f>countifs(Melee!$M:$M,"W",Melee!B:B,O6)</f>
        <v>2</v>
      </c>
      <c r="R6" s="447">
        <f>countifs(Melee!$M:$M,"L",Melee!B:B,O6)</f>
        <v>2</v>
      </c>
      <c r="S6" s="447">
        <f t="shared" si="3"/>
        <v>4</v>
      </c>
      <c r="T6" s="453">
        <f t="shared" si="4"/>
        <v>4</v>
      </c>
      <c r="U6" t="str">
        <f>IFERROR(__xludf.DUMMYFUNCTION("""COMPUTED_VALUE"""),"AExAG Charity LAN")</f>
        <v>AExAG Charity LAN</v>
      </c>
      <c r="V6" s="447">
        <f>countifs(Melee!$M:$M,"W",Melee!D:D,U6)</f>
        <v>1</v>
      </c>
      <c r="W6" s="446">
        <f>countifs(Melee!M:M,"L",Melee!D:D,U6)</f>
        <v>2</v>
      </c>
      <c r="X6">
        <f t="shared" si="1"/>
        <v>3</v>
      </c>
      <c r="Y6">
        <f t="shared" si="2"/>
        <v>3.803087469</v>
      </c>
      <c r="Z6">
        <f>large(X:X,5)</f>
        <v>13</v>
      </c>
      <c r="AA6" t="str">
        <f t="array" ref="AA6">INDEX(U:U,MATCH(LARGE(Y:Y,5),Y:Y,0))</f>
        <v>UMeMe 28</v>
      </c>
      <c r="AB6" s="447" t="str">
        <f t="array" ref="AB6">index(Melee!B:B,Match(AA6,Melee!D:D,0))</f>
        <v>Ann Arbor, MI</v>
      </c>
      <c r="AC6" s="460" t="str">
        <f t="array" ref="AC6">index(Melee!C:C,Match(AA6,Melee!D:D,0))</f>
        <v>Weekly</v>
      </c>
    </row>
    <row r="7">
      <c r="A7" s="454"/>
      <c r="B7" s="459" t="s">
        <v>116</v>
      </c>
      <c r="C7" s="456">
        <f>COUNTIFS(Melee!$A:$A,"Arcadian")</f>
        <v>7</v>
      </c>
      <c r="D7" s="447">
        <f>(countifs(Melee!$M:$M,"W",Melee!C:C,B7) + countifs(Melee!$M:$M,"L",Melee!C:C,B7))</f>
        <v>62</v>
      </c>
      <c r="E7" s="457">
        <f t="shared" si="5"/>
        <v>8.857142857</v>
      </c>
      <c r="F7" s="174"/>
      <c r="G7" s="174"/>
      <c r="H7" s="455" t="s">
        <v>1386</v>
      </c>
      <c r="I7" s="458">
        <f>COUNTIFS(Melee!$A:$A,"Jackson,*")</f>
        <v>13</v>
      </c>
      <c r="J7" s="174"/>
      <c r="K7" s="24"/>
      <c r="L7" s="455" t="s">
        <v>1387</v>
      </c>
      <c r="M7" s="458">
        <f>COUNTIFS(Melee!$A:$A,"Whack*") + COUNTIFS(Melee!$A:$A,"Megga *")</f>
        <v>4</v>
      </c>
      <c r="N7" s="25" t="s">
        <v>1388</v>
      </c>
      <c r="O7" t="str">
        <f>IFERROR(__xludf.DUMMYFUNCTION("""COMPUTED_VALUE"""),"Dearborn, MI")</f>
        <v>Dearborn, MI</v>
      </c>
      <c r="P7">
        <f>COUNTIFS(Melee!$A:$A,O7)</f>
        <v>6</v>
      </c>
      <c r="Q7" s="447">
        <f>countifs(Melee!$M:$M,"W",Melee!B:B,O7)</f>
        <v>13</v>
      </c>
      <c r="R7" s="447">
        <f>countifs(Melee!$M:$M,"L",Melee!B:B,O7)</f>
        <v>13</v>
      </c>
      <c r="S7" s="447">
        <f t="shared" si="3"/>
        <v>26</v>
      </c>
      <c r="T7" s="453">
        <f t="shared" si="4"/>
        <v>4.333333333</v>
      </c>
      <c r="U7" t="str">
        <f>IFERROR(__xludf.DUMMYFUNCTION("""COMPUTED_VALUE"""),"All My Edgeguards Are Reads")</f>
        <v>All My Edgeguards Are Reads</v>
      </c>
      <c r="V7" s="447">
        <f>countifs(Melee!$M:$M,"W",Melee!D:D,U7)</f>
        <v>5</v>
      </c>
      <c r="W7" s="446">
        <f>countifs(Melee!M:M,"L",Melee!D:D,U7)</f>
        <v>4</v>
      </c>
      <c r="X7">
        <f t="shared" si="1"/>
        <v>9</v>
      </c>
      <c r="Y7">
        <f t="shared" si="2"/>
        <v>9.950727254</v>
      </c>
    </row>
    <row r="8">
      <c r="A8" s="454"/>
      <c r="B8" s="459" t="s">
        <v>1171</v>
      </c>
      <c r="C8" s="456">
        <f>COUNTIFS(Melee!$A:$A,"Major")</f>
        <v>1</v>
      </c>
      <c r="D8" s="447">
        <f>(countifs(Melee!$M:$M,"W",Melee!C:C,B8) + countifs(Melee!$M:$M,"L",Melee!C:C,B8))</f>
        <v>4</v>
      </c>
      <c r="E8" s="457">
        <f t="shared" si="5"/>
        <v>4</v>
      </c>
      <c r="F8" s="174"/>
      <c r="G8" s="174"/>
      <c r="H8" s="455" t="s">
        <v>1389</v>
      </c>
      <c r="I8" s="458">
        <f>COUNTIFS(Melee!$A:$A,"Ferndale*")</f>
        <v>7</v>
      </c>
      <c r="J8" s="174"/>
      <c r="K8" s="24"/>
      <c r="L8" s="455" t="s">
        <v>1390</v>
      </c>
      <c r="M8" s="458">
        <f>COUNTIFS(Melee!$A:$A,"Endeavor *")</f>
        <v>6</v>
      </c>
      <c r="N8" t="s">
        <v>34</v>
      </c>
      <c r="O8" t="str">
        <f>IFERROR(__xludf.DUMMYFUNCTION("""COMPUTED_VALUE"""),"Detroit, MI")</f>
        <v>Detroit, MI</v>
      </c>
      <c r="P8">
        <f>COUNTIFS(Melee!$A:$A,O8)</f>
        <v>22</v>
      </c>
      <c r="Q8" s="447">
        <f>countifs(Melee!$M:$M,"W",Melee!B:B,O8)</f>
        <v>71</v>
      </c>
      <c r="R8" s="447">
        <f>countifs(Melee!$M:$M,"L",Melee!B:B,O8)</f>
        <v>48</v>
      </c>
      <c r="S8" s="447">
        <f t="shared" si="3"/>
        <v>119</v>
      </c>
      <c r="T8" s="453">
        <f t="shared" si="4"/>
        <v>5.409090909</v>
      </c>
      <c r="U8" t="str">
        <f>IFERROR(__xludf.DUMMYFUNCTION("""COMPUTED_VALUE"""),"Ascension: A New Era")</f>
        <v>Ascension: A New Era</v>
      </c>
      <c r="V8" s="447">
        <f>countifs(Melee!$M:$M,"W",Melee!D:D,U8)</f>
        <v>8</v>
      </c>
      <c r="W8" s="446">
        <f>countifs(Melee!M:M,"L",Melee!D:D,U8)</f>
        <v>4</v>
      </c>
      <c r="X8">
        <f t="shared" si="1"/>
        <v>12</v>
      </c>
      <c r="Y8">
        <f t="shared" si="2"/>
        <v>12.8544401</v>
      </c>
    </row>
    <row r="9">
      <c r="A9" s="454"/>
      <c r="B9" s="461" t="s">
        <v>308</v>
      </c>
      <c r="C9" s="462">
        <f>COUNTIFS(Melee!$A:$A,"Super Major")</f>
        <v>4</v>
      </c>
      <c r="D9" s="447">
        <f>(countifs(Melee!$M:$M,"W",Melee!C:C,B9) + countifs(Melee!$M:$M,"L",Melee!C:C,B9))</f>
        <v>19</v>
      </c>
      <c r="E9" s="457">
        <f t="shared" si="5"/>
        <v>4.75</v>
      </c>
      <c r="F9" s="174"/>
      <c r="G9" s="174"/>
      <c r="H9" s="455" t="s">
        <v>1391</v>
      </c>
      <c r="I9" s="458">
        <f>COUNTIFS(Melee!$A:$A,"Ypsilanti*")</f>
        <v>14</v>
      </c>
      <c r="J9" s="174"/>
      <c r="K9" s="24"/>
      <c r="L9" s="455" t="s">
        <v>805</v>
      </c>
      <c r="M9" s="458">
        <f>COUNTIFS(Melee!$A:$A,"*Iliad *")</f>
        <v>3</v>
      </c>
      <c r="N9" s="25" t="s">
        <v>1379</v>
      </c>
      <c r="O9" t="str">
        <f>IFERROR(__xludf.DUMMYFUNCTION("""COMPUTED_VALUE"""),"Farmington Hills, MI")</f>
        <v>Farmington Hills, MI</v>
      </c>
      <c r="P9">
        <f>COUNTIFS(Melee!$A:$A,O9)</f>
        <v>2</v>
      </c>
      <c r="Q9" s="447">
        <f>countifs(Melee!$M:$M,"W",Melee!B:B,O9)</f>
        <v>7</v>
      </c>
      <c r="R9" s="447">
        <f>countifs(Melee!$M:$M,"L",Melee!B:B,O9)</f>
        <v>4</v>
      </c>
      <c r="S9" s="447">
        <f t="shared" si="3"/>
        <v>11</v>
      </c>
      <c r="T9" s="453">
        <f t="shared" si="4"/>
        <v>5.5</v>
      </c>
      <c r="U9" t="str">
        <f>IFERROR(__xludf.DUMMYFUNCTION("""COMPUTED_VALUE"""),"Aurora Blitz 2")</f>
        <v>Aurora Blitz 2</v>
      </c>
      <c r="V9" s="447">
        <f>countifs(Melee!$M:$M,"W",Melee!D:D,U9)</f>
        <v>2</v>
      </c>
      <c r="W9" s="446">
        <f>countifs(Melee!M:M,"L",Melee!D:D,U9)</f>
        <v>2</v>
      </c>
      <c r="X9">
        <f t="shared" si="1"/>
        <v>4</v>
      </c>
      <c r="Y9">
        <f t="shared" si="2"/>
        <v>4.411548496</v>
      </c>
    </row>
    <row r="10">
      <c r="A10" s="454"/>
      <c r="B10" s="463" t="s">
        <v>1376</v>
      </c>
      <c r="C10" s="464">
        <f t="shared" ref="C10:D10" si="6">sum(C3:C9)</f>
        <v>265</v>
      </c>
      <c r="D10" s="454">
        <f t="shared" si="6"/>
        <v>1473</v>
      </c>
      <c r="E10" s="174"/>
      <c r="F10" s="174"/>
      <c r="G10" s="174"/>
      <c r="H10" s="455" t="s">
        <v>1392</v>
      </c>
      <c r="I10" s="458">
        <f>COUNTIFS(Melee!$A:$A,"Troy,*")</f>
        <v>5</v>
      </c>
      <c r="J10" s="174"/>
      <c r="K10" s="24"/>
      <c r="L10" s="455" t="s">
        <v>1393</v>
      </c>
      <c r="M10" s="458">
        <f>COUNTIFS(Melee!$A:$A,"Smash or Die *")</f>
        <v>12</v>
      </c>
      <c r="N10" s="25" t="s">
        <v>1379</v>
      </c>
      <c r="O10" t="str">
        <f>IFERROR(__xludf.DUMMYFUNCTION("""COMPUTED_VALUE"""),"Farmington, MI")</f>
        <v>Farmington, MI</v>
      </c>
      <c r="P10">
        <f>COUNTIFS(Melee!$A:$A,O10)</f>
        <v>1</v>
      </c>
      <c r="Q10" s="447">
        <f>countifs(Melee!$M:$M,"W",Melee!B:B,O10)</f>
        <v>2</v>
      </c>
      <c r="R10" s="447">
        <f>countifs(Melee!$M:$M,"L",Melee!B:B,O10)</f>
        <v>2</v>
      </c>
      <c r="S10" s="447">
        <f t="shared" si="3"/>
        <v>4</v>
      </c>
      <c r="T10" s="453">
        <f t="shared" si="4"/>
        <v>4</v>
      </c>
      <c r="U10" t="str">
        <f>IFERROR(__xludf.DUMMYFUNCTION("""COMPUTED_VALUE"""),"Birds of Prey")</f>
        <v>Birds of Prey</v>
      </c>
      <c r="V10" s="447">
        <f>countifs(Melee!$M:$M,"W",Melee!D:D,U10)</f>
        <v>3</v>
      </c>
      <c r="W10" s="446">
        <f>countifs(Melee!M:M,"L",Melee!D:D,U10)</f>
        <v>4</v>
      </c>
      <c r="X10">
        <f t="shared" si="1"/>
        <v>7</v>
      </c>
      <c r="Y10">
        <f t="shared" si="2"/>
        <v>7.649474397</v>
      </c>
    </row>
    <row r="11">
      <c r="A11" s="454"/>
      <c r="D11" s="454"/>
      <c r="E11" s="174"/>
      <c r="F11" s="174"/>
      <c r="G11" s="174"/>
      <c r="H11" s="455" t="s">
        <v>1394</v>
      </c>
      <c r="I11" s="458">
        <f>COUNTIFS(Melee!$A:$A,"*Lansing*")</f>
        <v>6</v>
      </c>
      <c r="J11" s="174"/>
      <c r="K11" s="24"/>
      <c r="L11" s="455" t="s">
        <v>204</v>
      </c>
      <c r="M11" s="458">
        <f>COUNTIFS(Melee!$A:$A,"Gamer's Gauntlet *")</f>
        <v>1</v>
      </c>
      <c r="N11" s="25" t="s">
        <v>1395</v>
      </c>
      <c r="O11" t="str">
        <f>IFERROR(__xludf.DUMMYFUNCTION("""COMPUTED_VALUE"""),"Fenton, MI")</f>
        <v>Fenton, MI</v>
      </c>
      <c r="P11">
        <f>COUNTIFS(Melee!$A:$A,O11)</f>
        <v>1</v>
      </c>
      <c r="Q11" s="447">
        <f>countifs(Melee!$M:$M,"W",Melee!B:B,O11)</f>
        <v>4</v>
      </c>
      <c r="R11" s="447">
        <f>countifs(Melee!$M:$M,"L",Melee!B:B,O11)</f>
        <v>2</v>
      </c>
      <c r="S11" s="447">
        <f t="shared" si="3"/>
        <v>6</v>
      </c>
      <c r="T11" s="453">
        <f t="shared" si="4"/>
        <v>6</v>
      </c>
      <c r="U11" t="str">
        <f>IFERROR(__xludf.DUMMYFUNCTION("""COMPUTED_VALUE"""),"Birds of Prey 2")</f>
        <v>Birds of Prey 2</v>
      </c>
      <c r="V11" s="447">
        <f>countifs(Melee!$M:$M,"W",Melee!D:D,U11)</f>
        <v>5</v>
      </c>
      <c r="W11" s="446">
        <f>countifs(Melee!M:M,"L",Melee!D:D,U11)</f>
        <v>2</v>
      </c>
      <c r="X11">
        <f t="shared" si="1"/>
        <v>7</v>
      </c>
      <c r="Y11">
        <f t="shared" si="2"/>
        <v>7.687794516</v>
      </c>
    </row>
    <row r="12">
      <c r="A12" s="454"/>
      <c r="D12" s="174"/>
      <c r="E12" s="174"/>
      <c r="F12" s="174"/>
      <c r="G12" s="174"/>
      <c r="H12" s="455" t="s">
        <v>1396</v>
      </c>
      <c r="I12" s="458">
        <f>C10 - sum(I3:I11)</f>
        <v>31</v>
      </c>
      <c r="J12" s="174"/>
      <c r="K12" s="24"/>
      <c r="L12" s="465" t="s">
        <v>1376</v>
      </c>
      <c r="M12" s="466">
        <f>sum(M3:M11)</f>
        <v>150</v>
      </c>
      <c r="N12" s="25" t="s">
        <v>1379</v>
      </c>
      <c r="O12" t="str">
        <f>IFERROR(__xludf.DUMMYFUNCTION("""COMPUTED_VALUE"""),"Ferndale, MI")</f>
        <v>Ferndale, MI</v>
      </c>
      <c r="P12">
        <f>COUNTIFS(Melee!$A:$A,O12)</f>
        <v>7</v>
      </c>
      <c r="Q12" s="447">
        <f>countifs(Melee!$M:$M,"W",Melee!B:B,O12)</f>
        <v>26</v>
      </c>
      <c r="R12" s="447">
        <f>countifs(Melee!$M:$M,"L",Melee!B:B,O12)</f>
        <v>15</v>
      </c>
      <c r="S12" s="447">
        <f t="shared" si="3"/>
        <v>41</v>
      </c>
      <c r="T12" s="453">
        <f t="shared" si="4"/>
        <v>5.857142857</v>
      </c>
      <c r="U12" t="str">
        <f>IFERROR(__xludf.DUMMYFUNCTION("""COMPUTED_VALUE"""),"BM↓B #1")</f>
        <v>BM↓B #1</v>
      </c>
      <c r="V12" s="447">
        <f>countifs(Melee!$M:$M,"W",Melee!D:D,U12)</f>
        <v>3</v>
      </c>
      <c r="W12" s="446">
        <f>countifs(Melee!M:M,"L",Melee!D:D,U12)</f>
        <v>4</v>
      </c>
      <c r="X12">
        <f t="shared" si="1"/>
        <v>7</v>
      </c>
      <c r="Y12">
        <f t="shared" si="2"/>
        <v>7.205153399</v>
      </c>
    </row>
    <row r="13">
      <c r="A13" s="454"/>
      <c r="D13" s="174"/>
      <c r="E13" s="174"/>
      <c r="F13" s="174"/>
      <c r="G13" s="174"/>
      <c r="H13" s="465" t="s">
        <v>1376</v>
      </c>
      <c r="I13" s="467">
        <f>sum(I3:I12)</f>
        <v>265</v>
      </c>
      <c r="N13" s="25" t="s">
        <v>1395</v>
      </c>
      <c r="O13" t="str">
        <f>IFERROR(__xludf.DUMMYFUNCTION("""COMPUTED_VALUE"""),"Flint, MI")</f>
        <v>Flint, MI</v>
      </c>
      <c r="P13">
        <f>COUNTIFS(Melee!$A:$A,O13)</f>
        <v>1</v>
      </c>
      <c r="Q13" s="447">
        <f>countifs(Melee!$M:$M,"W",Melee!B:B,O13)</f>
        <v>6</v>
      </c>
      <c r="R13" s="447">
        <f>countifs(Melee!$M:$M,"L",Melee!B:B,O13)</f>
        <v>2</v>
      </c>
      <c r="S13" s="447">
        <f t="shared" si="3"/>
        <v>8</v>
      </c>
      <c r="T13" s="453">
        <f t="shared" si="4"/>
        <v>8</v>
      </c>
      <c r="U13" t="str">
        <f>IFERROR(__xludf.DUMMYFUNCTION("""COMPUTED_VALUE"""),"BMDB#4")</f>
        <v>BMDB#4</v>
      </c>
      <c r="V13" s="447">
        <f>countifs(Melee!$M:$M,"W",Melee!D:D,U13)</f>
        <v>7</v>
      </c>
      <c r="W13" s="446">
        <f>countifs(Melee!M:M,"L",Melee!D:D,U13)</f>
        <v>2</v>
      </c>
      <c r="X13">
        <f t="shared" si="1"/>
        <v>9</v>
      </c>
      <c r="Y13">
        <f t="shared" si="2"/>
        <v>9.23180802</v>
      </c>
    </row>
    <row r="14">
      <c r="A14" s="454"/>
      <c r="B14" s="444" t="s">
        <v>1366</v>
      </c>
      <c r="C14" s="166"/>
      <c r="D14" s="174"/>
      <c r="E14" s="174"/>
      <c r="F14" s="174"/>
      <c r="G14" s="174"/>
      <c r="N14" s="25" t="s">
        <v>1397</v>
      </c>
      <c r="O14" t="str">
        <f>IFERROR(__xludf.DUMMYFUNCTION("""COMPUTED_VALUE"""),"Grand Rapids, MI")</f>
        <v>Grand Rapids, MI</v>
      </c>
      <c r="P14">
        <f>COUNTIFS(Melee!$A:$A,O14)</f>
        <v>1</v>
      </c>
      <c r="Q14" s="447">
        <f>countifs(Melee!$M:$M,"W",Melee!B:B,O14)</f>
        <v>8</v>
      </c>
      <c r="R14" s="447">
        <f>countifs(Melee!$M:$M,"L",Melee!B:B,O14)</f>
        <v>2</v>
      </c>
      <c r="S14" s="447">
        <f t="shared" si="3"/>
        <v>10</v>
      </c>
      <c r="T14" s="453">
        <f t="shared" si="4"/>
        <v>10</v>
      </c>
      <c r="U14" t="str">
        <f>IFERROR(__xludf.DUMMYFUNCTION("""COMPUTED_VALUE"""),"BMDB#5?")</f>
        <v>BMDB#5?</v>
      </c>
      <c r="V14" s="447">
        <f>countifs(Melee!$M:$M,"W",Melee!D:D,U14)</f>
        <v>5</v>
      </c>
      <c r="W14" s="446">
        <f>countifs(Melee!M:M,"L",Melee!D:D,U14)</f>
        <v>2</v>
      </c>
      <c r="X14">
        <f t="shared" si="1"/>
        <v>7</v>
      </c>
      <c r="Y14">
        <f t="shared" si="2"/>
        <v>7.939818142</v>
      </c>
    </row>
    <row r="15">
      <c r="A15" s="174"/>
      <c r="B15" s="449" t="s">
        <v>1377</v>
      </c>
      <c r="C15" s="450" t="s">
        <v>1376</v>
      </c>
      <c r="D15" s="450" t="s">
        <v>1354</v>
      </c>
      <c r="E15" s="449"/>
      <c r="F15" s="449"/>
      <c r="G15" s="449"/>
      <c r="N15" s="25" t="s">
        <v>1380</v>
      </c>
      <c r="O15" t="str">
        <f>IFERROR(__xludf.DUMMYFUNCTION("""COMPUTED_VALUE"""),"Howell, MI")</f>
        <v>Howell, MI</v>
      </c>
      <c r="P15">
        <f>COUNTIFS(Melee!$A:$A,O15)</f>
        <v>1</v>
      </c>
      <c r="Q15" s="447">
        <f>countifs(Melee!$M:$M,"W",Melee!B:B,O15)</f>
        <v>2</v>
      </c>
      <c r="R15" s="447">
        <f>countifs(Melee!$M:$M,"L",Melee!B:B,O15)</f>
        <v>4</v>
      </c>
      <c r="S15" s="447">
        <f t="shared" si="3"/>
        <v>6</v>
      </c>
      <c r="T15" s="453">
        <f t="shared" si="4"/>
        <v>6</v>
      </c>
      <c r="U15" t="str">
        <f>IFERROR(__xludf.DUMMYFUNCTION("""COMPUTED_VALUE"""),"BMDB#6?")</f>
        <v>BMDB#6?</v>
      </c>
      <c r="V15" s="447">
        <f>countifs(Melee!$M:$M,"W",Melee!D:D,U15)</f>
        <v>2</v>
      </c>
      <c r="W15" s="446">
        <f>countifs(Melee!M:M,"L",Melee!D:D,U15)</f>
        <v>2</v>
      </c>
      <c r="X15">
        <f t="shared" si="1"/>
        <v>4</v>
      </c>
      <c r="Y15">
        <f t="shared" si="2"/>
        <v>4.750436711</v>
      </c>
    </row>
    <row r="16">
      <c r="A16" s="174"/>
      <c r="B16" s="25" t="s">
        <v>476</v>
      </c>
      <c r="C16">
        <f>COUNTIFS(Melee!$A:$A,"Ann Arbor, MI")</f>
        <v>111</v>
      </c>
      <c r="D16" s="174">
        <f>S2</f>
        <v>605</v>
      </c>
      <c r="E16" s="457">
        <f t="shared" ref="E16:E28" si="7">D16/C16</f>
        <v>5.45045045</v>
      </c>
      <c r="F16" s="468">
        <f t="shared" ref="F16:F28" si="8">rand()+C16</f>
        <v>111.3792738</v>
      </c>
      <c r="G16" s="25">
        <v>1.0</v>
      </c>
      <c r="H16" s="453" t="str">
        <f t="shared" ref="H16:H29" si="9">INDEX($B$16:$B$28,MATCH(LARGE($F$16:$F$28,G16),$F$16:$F$28,0))</f>
        <v>Ann Arbor</v>
      </c>
      <c r="I16">
        <f t="shared" ref="I16:I29" si="10">large($C$16:$C$28,G16)</f>
        <v>111</v>
      </c>
      <c r="J16" s="453">
        <f t="shared" ref="J16:J29" si="11">INDEX($E$16:$E$28,MATCH(LARGE($F$16:$F$28,G16),$F$16:$F$28,0))</f>
        <v>5.45045045</v>
      </c>
      <c r="N16" t="s">
        <v>527</v>
      </c>
      <c r="O16" t="str">
        <f>IFERROR(__xludf.DUMMYFUNCTION("""COMPUTED_VALUE"""),"Jackson, MI")</f>
        <v>Jackson, MI</v>
      </c>
      <c r="P16">
        <f>COUNTIFS(Melee!$A:$A,O16)</f>
        <v>13</v>
      </c>
      <c r="Q16" s="447">
        <f>countifs(Melee!$M:$M,"W",Melee!B:B,O16)</f>
        <v>68</v>
      </c>
      <c r="R16" s="447">
        <f>countifs(Melee!$M:$M,"L",Melee!B:B,O16)</f>
        <v>45</v>
      </c>
      <c r="S16" s="447">
        <f t="shared" si="3"/>
        <v>113</v>
      </c>
      <c r="T16" s="453">
        <f t="shared" si="4"/>
        <v>8.692307692</v>
      </c>
      <c r="U16" t="str">
        <f>IFERROR(__xludf.DUMMYFUNCTION("""COMPUTED_VALUE"""),"BMDB#7?")</f>
        <v>BMDB#7?</v>
      </c>
      <c r="V16" s="447">
        <f>countifs(Melee!$M:$M,"W",Melee!D:D,U16)</f>
        <v>5</v>
      </c>
      <c r="W16" s="446">
        <f>countifs(Melee!M:M,"L",Melee!D:D,U16)</f>
        <v>2</v>
      </c>
      <c r="X16">
        <f t="shared" si="1"/>
        <v>7</v>
      </c>
      <c r="Y16">
        <f t="shared" si="2"/>
        <v>7.616708217</v>
      </c>
    </row>
    <row r="17">
      <c r="A17" s="174"/>
      <c r="B17" s="25" t="s">
        <v>1384</v>
      </c>
      <c r="C17">
        <f>COUNTIFS(Melee!$A:$A,"Detroit, MI")</f>
        <v>22</v>
      </c>
      <c r="D17" s="447">
        <f>S8</f>
        <v>119</v>
      </c>
      <c r="E17" s="457">
        <f t="shared" si="7"/>
        <v>5.409090909</v>
      </c>
      <c r="F17" s="468">
        <f t="shared" si="8"/>
        <v>22.72481464</v>
      </c>
      <c r="G17" s="25">
        <v>2.0</v>
      </c>
      <c r="H17" s="453" t="str">
        <f t="shared" si="9"/>
        <v>Oakland</v>
      </c>
      <c r="I17">
        <f t="shared" si="10"/>
        <v>50</v>
      </c>
      <c r="J17" s="453">
        <f t="shared" si="11"/>
        <v>5.1</v>
      </c>
      <c r="N17" t="s">
        <v>272</v>
      </c>
      <c r="O17" t="str">
        <f>IFERROR(__xludf.DUMMYFUNCTION("""COMPUTED_VALUE"""),"Lansing, MI")</f>
        <v>Lansing, MI</v>
      </c>
      <c r="P17">
        <f>COUNTIFS(Melee!$A:$A,O17)</f>
        <v>6</v>
      </c>
      <c r="Q17" s="447">
        <f>countifs(Melee!$M:$M,"W",Melee!B:B,O17)</f>
        <v>29</v>
      </c>
      <c r="R17" s="447">
        <f>countifs(Melee!$M:$M,"L",Melee!B:B,O17)</f>
        <v>20</v>
      </c>
      <c r="S17" s="447">
        <f t="shared" si="3"/>
        <v>49</v>
      </c>
      <c r="T17" s="453">
        <f t="shared" si="4"/>
        <v>8.166666667</v>
      </c>
      <c r="U17" t="str">
        <f>IFERROR(__xludf.DUMMYFUNCTION("""COMPUTED_VALUE"""),"Body City 2017")</f>
        <v>Body City 2017</v>
      </c>
      <c r="V17" s="447">
        <f>countifs(Melee!$M:$M,"W",Melee!D:D,U17)</f>
        <v>9</v>
      </c>
      <c r="W17" s="446">
        <f>countifs(Melee!M:M,"L",Melee!D:D,U17)</f>
        <v>3</v>
      </c>
      <c r="X17">
        <f t="shared" si="1"/>
        <v>12</v>
      </c>
      <c r="Y17">
        <f t="shared" si="2"/>
        <v>12.91249577</v>
      </c>
    </row>
    <row r="18">
      <c r="A18" s="174"/>
      <c r="B18" s="25" t="s">
        <v>1398</v>
      </c>
      <c r="C18" s="447">
        <f>(COUNTIFS(Melee!$A:$A,"Fenton, MI") + COUNTIFS(Melee!$A:$A,"Flint, MI"))</f>
        <v>2</v>
      </c>
      <c r="D18" s="174">
        <f>sum(S11,S13)</f>
        <v>14</v>
      </c>
      <c r="E18" s="457">
        <f t="shared" si="7"/>
        <v>7</v>
      </c>
      <c r="F18" s="468">
        <f t="shared" si="8"/>
        <v>2.608120496</v>
      </c>
      <c r="G18" s="25">
        <v>3.0</v>
      </c>
      <c r="H18" s="453" t="str">
        <f t="shared" si="9"/>
        <v>Macomb</v>
      </c>
      <c r="I18">
        <f t="shared" si="10"/>
        <v>28</v>
      </c>
      <c r="J18" s="453">
        <f t="shared" si="11"/>
        <v>4.821428571</v>
      </c>
      <c r="N18" s="25" t="s">
        <v>1383</v>
      </c>
      <c r="O18" t="str">
        <f>IFERROR(__xludf.DUMMYFUNCTION("""COMPUTED_VALUE"""),"Macomb, MI")</f>
        <v>Macomb, MI</v>
      </c>
      <c r="P18">
        <f>COUNTIFS(Melee!$A:$A,O18)</f>
        <v>4</v>
      </c>
      <c r="Q18" s="447">
        <f>countifs(Melee!$M:$M,"W",Melee!B:B,O18)</f>
        <v>12</v>
      </c>
      <c r="R18" s="447">
        <f>countifs(Melee!$M:$M,"L",Melee!B:B,O18)</f>
        <v>8</v>
      </c>
      <c r="S18" s="447">
        <f t="shared" si="3"/>
        <v>20</v>
      </c>
      <c r="T18" s="453">
        <f t="shared" si="4"/>
        <v>5</v>
      </c>
      <c r="U18" t="str">
        <f>IFERROR(__xludf.DUMMYFUNCTION("""COMPUTED_VALUE"""),"Body City 3")</f>
        <v>Body City 3</v>
      </c>
      <c r="V18" s="447">
        <f>countifs(Melee!$M:$M,"W",Melee!D:D,U18)</f>
        <v>2</v>
      </c>
      <c r="W18" s="446">
        <f>countifs(Melee!M:M,"L",Melee!D:D,U18)</f>
        <v>3</v>
      </c>
      <c r="X18">
        <f t="shared" si="1"/>
        <v>5</v>
      </c>
      <c r="Y18">
        <f t="shared" si="2"/>
        <v>5.315543183</v>
      </c>
    </row>
    <row r="19">
      <c r="A19" s="174"/>
      <c r="B19" s="25" t="s">
        <v>1399</v>
      </c>
      <c r="C19" s="447">
        <f>COUNTIFS(Melee!$A:$A,"Grand Rapids, MI")</f>
        <v>1</v>
      </c>
      <c r="D19" s="174">
        <f>S14</f>
        <v>10</v>
      </c>
      <c r="E19" s="457">
        <f t="shared" si="7"/>
        <v>10</v>
      </c>
      <c r="F19" s="468">
        <f t="shared" si="8"/>
        <v>1.91501974</v>
      </c>
      <c r="G19" s="25">
        <v>4.0</v>
      </c>
      <c r="H19" s="453" t="str">
        <f t="shared" si="9"/>
        <v>Detroit</v>
      </c>
      <c r="I19">
        <f t="shared" si="10"/>
        <v>22</v>
      </c>
      <c r="J19" s="453">
        <f t="shared" si="11"/>
        <v>5.409090909</v>
      </c>
      <c r="N19" s="25" t="s">
        <v>1379</v>
      </c>
      <c r="O19" t="str">
        <f>IFERROR(__xludf.DUMMYFUNCTION("""COMPUTED_VALUE"""),"Madison Heights, MI")</f>
        <v>Madison Heights, MI</v>
      </c>
      <c r="P19">
        <f>COUNTIFS(Melee!$A:$A,O19)</f>
        <v>1</v>
      </c>
      <c r="Q19" s="447">
        <f>countifs(Melee!$M:$M,"W",Melee!B:B,O19)</f>
        <v>2</v>
      </c>
      <c r="R19" s="447">
        <f>countifs(Melee!$M:$M,"L",Melee!B:B,O19)</f>
        <v>2</v>
      </c>
      <c r="S19" s="447">
        <f t="shared" si="3"/>
        <v>4</v>
      </c>
      <c r="T19" s="453">
        <f t="shared" si="4"/>
        <v>4</v>
      </c>
      <c r="U19" t="str">
        <f>IFERROR(__xludf.DUMMYFUNCTION("""COMPUTED_VALUE"""),"Broken Joystick")</f>
        <v>Broken Joystick</v>
      </c>
      <c r="V19" s="447">
        <f>countifs(Melee!$M:$M,"W",Melee!D:D,U19)</f>
        <v>7</v>
      </c>
      <c r="W19" s="446">
        <f>countifs(Melee!M:M,"L",Melee!D:D,U19)</f>
        <v>2</v>
      </c>
      <c r="X19">
        <f t="shared" si="1"/>
        <v>9</v>
      </c>
      <c r="Y19">
        <f t="shared" si="2"/>
        <v>9.931082598</v>
      </c>
    </row>
    <row r="20">
      <c r="A20" s="174"/>
      <c r="B20" s="25" t="s">
        <v>1386</v>
      </c>
      <c r="C20">
        <f>COUNTIFS(Melee!$A:$A,"Jackson, MI")</f>
        <v>13</v>
      </c>
      <c r="D20" s="174">
        <f t="shared" ref="D20:D21" si="12">S16</f>
        <v>113</v>
      </c>
      <c r="E20" s="457">
        <f t="shared" si="7"/>
        <v>8.692307692</v>
      </c>
      <c r="F20" s="468">
        <f t="shared" si="8"/>
        <v>13.5155463</v>
      </c>
      <c r="G20" s="25">
        <v>5.0</v>
      </c>
      <c r="H20" s="453" t="str">
        <f t="shared" si="9"/>
        <v>Ypsilanti</v>
      </c>
      <c r="I20">
        <f t="shared" si="10"/>
        <v>14</v>
      </c>
      <c r="J20" s="453">
        <f t="shared" si="11"/>
        <v>5.142857143</v>
      </c>
      <c r="N20" s="25" t="s">
        <v>1379</v>
      </c>
      <c r="O20" t="str">
        <f>IFERROR(__xludf.DUMMYFUNCTION("""COMPUTED_VALUE"""),"Southfield, MI")</f>
        <v>Southfield, MI</v>
      </c>
      <c r="P20">
        <f>COUNTIFS(Melee!$A:$A,O20)</f>
        <v>28</v>
      </c>
      <c r="Q20" s="447">
        <f>countifs(Melee!$M:$M,"W",Melee!B:B,O20)</f>
        <v>64</v>
      </c>
      <c r="R20" s="447">
        <f>countifs(Melee!$M:$M,"L",Melee!B:B,O20)</f>
        <v>56</v>
      </c>
      <c r="S20" s="447">
        <f t="shared" si="3"/>
        <v>120</v>
      </c>
      <c r="T20" s="453">
        <f t="shared" si="4"/>
        <v>4.285714286</v>
      </c>
      <c r="U20" t="str">
        <f>IFERROR(__xludf.DUMMYFUNCTION("""COMPUTED_VALUE"""),"Butterdonkey's Brilliant Bash")</f>
        <v>Butterdonkey's Brilliant Bash</v>
      </c>
      <c r="V20" s="447">
        <f>countifs(Melee!$M:$M,"W",Melee!D:D,U20)</f>
        <v>4</v>
      </c>
      <c r="W20" s="446">
        <f>countifs(Melee!M:M,"L",Melee!D:D,U20)</f>
        <v>2</v>
      </c>
      <c r="X20">
        <f t="shared" si="1"/>
        <v>6</v>
      </c>
      <c r="Y20">
        <f t="shared" si="2"/>
        <v>6.729272095</v>
      </c>
    </row>
    <row r="21">
      <c r="A21" s="174"/>
      <c r="B21" s="25" t="s">
        <v>1394</v>
      </c>
      <c r="C21">
        <f>COUNTIFS(Melee!$A:$A,"Lansing, MI")</f>
        <v>6</v>
      </c>
      <c r="D21" s="174">
        <f t="shared" si="12"/>
        <v>49</v>
      </c>
      <c r="E21" s="457">
        <f t="shared" si="7"/>
        <v>8.166666667</v>
      </c>
      <c r="F21" s="468">
        <f t="shared" si="8"/>
        <v>6.72459626</v>
      </c>
      <c r="G21" s="25">
        <v>6.0</v>
      </c>
      <c r="H21" s="453" t="str">
        <f t="shared" si="9"/>
        <v>Jackson</v>
      </c>
      <c r="I21">
        <f t="shared" si="10"/>
        <v>13</v>
      </c>
      <c r="J21" s="453">
        <f t="shared" si="11"/>
        <v>8.692307692</v>
      </c>
      <c r="N21" t="s">
        <v>818</v>
      </c>
      <c r="O21" t="str">
        <f>IFERROR(__xludf.DUMMYFUNCTION("""COMPUTED_VALUE"""),"St. Charles, IL")</f>
        <v>St. Charles, IL</v>
      </c>
      <c r="P21">
        <f>COUNTIFS(Melee!$A:$A,O21)</f>
        <v>1</v>
      </c>
      <c r="Q21" s="447">
        <f>countifs(Melee!$M:$M,"W",Melee!B:B,O21)</f>
        <v>2</v>
      </c>
      <c r="R21" s="447">
        <f>countifs(Melee!$M:$M,"L",Melee!B:B,O21)</f>
        <v>2</v>
      </c>
      <c r="S21" s="447">
        <f t="shared" si="3"/>
        <v>4</v>
      </c>
      <c r="T21" s="453">
        <f t="shared" si="4"/>
        <v>4</v>
      </c>
      <c r="U21" t="str">
        <f>IFERROR(__xludf.DUMMYFUNCTION("""COMPUTED_VALUE"""),"Button Masher")</f>
        <v>Button Masher</v>
      </c>
      <c r="V21" s="447">
        <f>countifs(Melee!$M:$M,"W",Melee!D:D,U21)</f>
        <v>3</v>
      </c>
      <c r="W21" s="446">
        <f>countifs(Melee!M:M,"L",Melee!D:D,U21)</f>
        <v>2</v>
      </c>
      <c r="X21">
        <f t="shared" si="1"/>
        <v>5</v>
      </c>
      <c r="Y21">
        <f t="shared" si="2"/>
        <v>5.313390702</v>
      </c>
    </row>
    <row r="22">
      <c r="A22" s="174"/>
      <c r="B22" s="25" t="s">
        <v>1400</v>
      </c>
      <c r="C22">
        <f>(COUNTIFS(Melee!$A:$A,"Brighton, MI") + COUNTIFS(Melee!$A:$A,"Howell, MI"))</f>
        <v>7</v>
      </c>
      <c r="D22" s="174">
        <f>sum(S4,S15,)</f>
        <v>54</v>
      </c>
      <c r="E22" s="457">
        <f t="shared" si="7"/>
        <v>7.714285714</v>
      </c>
      <c r="F22" s="468">
        <f t="shared" si="8"/>
        <v>7.360208608</v>
      </c>
      <c r="G22" s="25">
        <v>7.0</v>
      </c>
      <c r="H22" s="453" t="str">
        <f t="shared" si="9"/>
        <v>Wayne (Non Detroit)</v>
      </c>
      <c r="I22">
        <f t="shared" si="10"/>
        <v>8</v>
      </c>
      <c r="J22" s="453">
        <f t="shared" si="11"/>
        <v>4.375</v>
      </c>
      <c r="N22" s="25" t="s">
        <v>1383</v>
      </c>
      <c r="O22" t="str">
        <f>IFERROR(__xludf.DUMMYFUNCTION("""COMPUTED_VALUE"""),"Sterling Heights, MI")</f>
        <v>Sterling Heights, MI</v>
      </c>
      <c r="P22">
        <f>COUNTIFS(Melee!$A:$A,O22)</f>
        <v>19</v>
      </c>
      <c r="Q22" s="447">
        <f>countifs(Melee!$M:$M,"W",Melee!B:B,O22)</f>
        <v>40</v>
      </c>
      <c r="R22" s="447">
        <f>countifs(Melee!$M:$M,"L",Melee!B:B,O22)</f>
        <v>47</v>
      </c>
      <c r="S22" s="447">
        <f t="shared" si="3"/>
        <v>87</v>
      </c>
      <c r="T22" s="453">
        <f t="shared" si="4"/>
        <v>4.578947368</v>
      </c>
      <c r="U22" t="str">
        <f>IFERROR(__xludf.DUMMYFUNCTION("""COMPUTED_VALUE"""),"Catch These Hands #1")</f>
        <v>Catch These Hands #1</v>
      </c>
      <c r="V22" s="447">
        <f>countifs(Melee!$M:$M,"W",Melee!D:D,U22)</f>
        <v>2</v>
      </c>
      <c r="W22" s="446">
        <f>countifs(Melee!M:M,"L",Melee!D:D,U22)</f>
        <v>3</v>
      </c>
      <c r="X22">
        <f t="shared" si="1"/>
        <v>5</v>
      </c>
      <c r="Y22">
        <f t="shared" si="2"/>
        <v>5.189304382</v>
      </c>
    </row>
    <row r="23">
      <c r="A23" s="174"/>
      <c r="B23" s="25" t="s">
        <v>246</v>
      </c>
      <c r="C23">
        <f>(COUNTIFS(Melee!$A:$A,"Clinton Township, MI") + COUNTIFS(Melee!$A:$A,"Macomb, MI") + COUNTIFS(Melee!$A:$A,"Sterling Heights, MI") + COUNTIFS(Melee!$A:$A,"Warren, MI"))</f>
        <v>28</v>
      </c>
      <c r="D23" s="174">
        <f>sum(S5,S18,S22,S25)</f>
        <v>135</v>
      </c>
      <c r="E23" s="457">
        <f t="shared" si="7"/>
        <v>4.821428571</v>
      </c>
      <c r="F23" s="468">
        <f t="shared" si="8"/>
        <v>28.76043369</v>
      </c>
      <c r="G23" s="25">
        <v>8.0</v>
      </c>
      <c r="H23" s="453" t="str">
        <f t="shared" si="9"/>
        <v>Livingston</v>
      </c>
      <c r="I23">
        <f t="shared" si="10"/>
        <v>7</v>
      </c>
      <c r="J23" s="453">
        <f t="shared" si="11"/>
        <v>7.714285714</v>
      </c>
      <c r="N23" t="s">
        <v>1184</v>
      </c>
      <c r="O23" t="str">
        <f>IFERROR(__xludf.DUMMYFUNCTION("""COMPUTED_VALUE"""),"Traverse City, MI")</f>
        <v>Traverse City, MI</v>
      </c>
      <c r="P23">
        <f>COUNTIFS(Melee!$A:$A,O23)</f>
        <v>1</v>
      </c>
      <c r="Q23" s="447">
        <f>countifs(Melee!$M:$M,"W",Melee!B:B,O23)</f>
        <v>2</v>
      </c>
      <c r="R23" s="447">
        <f>countifs(Melee!$M:$M,"L",Melee!B:B,O23)</f>
        <v>2</v>
      </c>
      <c r="S23" s="447">
        <f t="shared" si="3"/>
        <v>4</v>
      </c>
      <c r="T23" s="453">
        <f t="shared" si="4"/>
        <v>4</v>
      </c>
      <c r="U23" t="str">
        <f>IFERROR(__xludf.DUMMYFUNCTION("""COMPUTED_VALUE"""),"CEO 2019")</f>
        <v>CEO 2019</v>
      </c>
      <c r="V23" s="447">
        <f>countifs(Melee!$M:$M,"W",Melee!D:D,U23)</f>
        <v>2</v>
      </c>
      <c r="W23" s="446">
        <f>countifs(Melee!M:M,"L",Melee!D:D,U23)</f>
        <v>2</v>
      </c>
      <c r="X23">
        <f t="shared" si="1"/>
        <v>4</v>
      </c>
      <c r="Y23">
        <f t="shared" si="2"/>
        <v>4.106958297</v>
      </c>
    </row>
    <row r="24">
      <c r="A24" s="174"/>
      <c r="B24" s="25" t="s">
        <v>1401</v>
      </c>
      <c r="C24" s="447">
        <f>(COUNTIFS(Melee!$A:$A,"Auburn Hills, MI") + COUNTIFS(Melee!$A:$A,"Farmington Hills, MI") + COUNTIFS(Melee!$A:$A,"Farmington, MI") + COUNTIFS(Melee!$A:$A,"Ferndale, MI") + COUNTIFS(Melee!$A:$A,"Madison Heights, MI") + COUNTIFS(Melee!$A:$A,"Southfield, MI") + COUNTIFS(Melee!$A:$A,"Troy, MI") + COUNTIFS(Melee!$A:$A,"White Lake, MI"))</f>
        <v>50</v>
      </c>
      <c r="D24" s="174">
        <f>sum(S3,S9,S10,S12,S19,S20,S24,S27)</f>
        <v>255</v>
      </c>
      <c r="E24" s="457">
        <f t="shared" si="7"/>
        <v>5.1</v>
      </c>
      <c r="F24" s="468">
        <f t="shared" si="8"/>
        <v>50.69172571</v>
      </c>
      <c r="G24" s="25">
        <v>9.0</v>
      </c>
      <c r="H24" s="453" t="str">
        <f t="shared" si="9"/>
        <v>Lansing</v>
      </c>
      <c r="I24">
        <f t="shared" si="10"/>
        <v>6</v>
      </c>
      <c r="J24" s="453">
        <f t="shared" si="11"/>
        <v>8.166666667</v>
      </c>
      <c r="N24" s="25" t="s">
        <v>1379</v>
      </c>
      <c r="O24" t="str">
        <f>IFERROR(__xludf.DUMMYFUNCTION("""COMPUTED_VALUE"""),"Troy, MI")</f>
        <v>Troy, MI</v>
      </c>
      <c r="P24">
        <f>COUNTIFS(Melee!$A:$A,O24)</f>
        <v>5</v>
      </c>
      <c r="Q24" s="447">
        <f>countifs(Melee!$M:$M,"W",Melee!B:B,O24)</f>
        <v>15</v>
      </c>
      <c r="R24" s="447">
        <f>countifs(Melee!$M:$M,"L",Melee!B:B,O24)</f>
        <v>10</v>
      </c>
      <c r="S24" s="447">
        <f t="shared" si="3"/>
        <v>25</v>
      </c>
      <c r="T24" s="453">
        <f t="shared" si="4"/>
        <v>5</v>
      </c>
      <c r="U24" t="str">
        <f>IFERROR(__xludf.DUMMYFUNCTION("""COMPUTED_VALUE"""),"CMPL 3/24/16")</f>
        <v>CMPL 3/24/16</v>
      </c>
      <c r="V24" s="447">
        <f>countifs(Melee!$M:$M,"W",Melee!D:D,U24)</f>
        <v>1</v>
      </c>
      <c r="W24" s="446">
        <f>countifs(Melee!M:M,"L",Melee!D:D,U24)</f>
        <v>2</v>
      </c>
      <c r="X24">
        <f t="shared" si="1"/>
        <v>3</v>
      </c>
      <c r="Y24">
        <f t="shared" si="2"/>
        <v>3.533293328</v>
      </c>
    </row>
    <row r="25">
      <c r="A25" s="174"/>
      <c r="B25" s="25" t="s">
        <v>1402</v>
      </c>
      <c r="C25">
        <f>COUNTIFS(Melee!$A:$A,"Traverse City, MI")</f>
        <v>1</v>
      </c>
      <c r="D25" s="174">
        <f>S23</f>
        <v>4</v>
      </c>
      <c r="E25" s="457">
        <f t="shared" si="7"/>
        <v>4</v>
      </c>
      <c r="F25" s="468">
        <f t="shared" si="8"/>
        <v>1.732904752</v>
      </c>
      <c r="G25" s="25">
        <v>10.0</v>
      </c>
      <c r="H25" s="453" t="str">
        <f t="shared" si="9"/>
        <v>Genesee</v>
      </c>
      <c r="I25">
        <f t="shared" si="10"/>
        <v>2</v>
      </c>
      <c r="J25" s="453">
        <f t="shared" si="11"/>
        <v>7</v>
      </c>
      <c r="N25" s="25" t="s">
        <v>1383</v>
      </c>
      <c r="O25" t="str">
        <f>IFERROR(__xludf.DUMMYFUNCTION("""COMPUTED_VALUE"""),"Warren, MI")</f>
        <v>Warren, MI</v>
      </c>
      <c r="P25">
        <f>COUNTIFS(Melee!$A:$A,O25)</f>
        <v>2</v>
      </c>
      <c r="Q25" s="447">
        <f>countifs(Melee!$M:$M,"W",Melee!B:B,O25)</f>
        <v>5</v>
      </c>
      <c r="R25" s="447">
        <f>countifs(Melee!$M:$M,"L",Melee!B:B,O25)</f>
        <v>6</v>
      </c>
      <c r="S25" s="447">
        <f t="shared" si="3"/>
        <v>11</v>
      </c>
      <c r="T25" s="453">
        <f t="shared" si="4"/>
        <v>5.5</v>
      </c>
      <c r="U25" t="str">
        <f>IFERROR(__xludf.DUMMYFUNCTION("""COMPUTED_VALUE"""),"CMPL 3/3/16")</f>
        <v>CMPL 3/3/16</v>
      </c>
      <c r="V25" s="447">
        <f>countifs(Melee!$M:$M,"W",Melee!D:D,U25)</f>
        <v>1</v>
      </c>
      <c r="W25" s="446">
        <f>countifs(Melee!M:M,"L",Melee!D:D,U25)</f>
        <v>2</v>
      </c>
      <c r="X25">
        <f t="shared" si="1"/>
        <v>3</v>
      </c>
      <c r="Y25">
        <f t="shared" si="2"/>
        <v>3.141915071</v>
      </c>
    </row>
    <row r="26">
      <c r="A26" s="174"/>
      <c r="B26" s="25" t="s">
        <v>1403</v>
      </c>
      <c r="C26" s="447">
        <f>(COUNTIFS(Melee!$A:$A,"Dearborn, MI") + COUNTIFS(Melee!$A:$A,"Westland, MI"))</f>
        <v>8</v>
      </c>
      <c r="D26" s="174">
        <f>sum(S7,S26)</f>
        <v>35</v>
      </c>
      <c r="E26" s="457">
        <f t="shared" si="7"/>
        <v>4.375</v>
      </c>
      <c r="F26" s="468">
        <f t="shared" si="8"/>
        <v>8.018591692</v>
      </c>
      <c r="G26" s="25">
        <v>11.0</v>
      </c>
      <c r="H26" s="453" t="str">
        <f t="shared" si="9"/>
        <v>Other</v>
      </c>
      <c r="I26">
        <f t="shared" si="10"/>
        <v>2</v>
      </c>
      <c r="J26" s="453">
        <f t="shared" si="11"/>
        <v>4</v>
      </c>
      <c r="N26" s="25" t="s">
        <v>1388</v>
      </c>
      <c r="O26" t="str">
        <f>IFERROR(__xludf.DUMMYFUNCTION("""COMPUTED_VALUE"""),"Westland, MI")</f>
        <v>Westland, MI</v>
      </c>
      <c r="P26">
        <f>COUNTIFS(Melee!$A:$A,O26)</f>
        <v>2</v>
      </c>
      <c r="Q26" s="447">
        <f>countifs(Melee!$M:$M,"W",Melee!B:B,O26)</f>
        <v>7</v>
      </c>
      <c r="R26" s="447">
        <f>countifs(Melee!$M:$M,"L",Melee!B:B,O26)</f>
        <v>2</v>
      </c>
      <c r="S26" s="447">
        <f t="shared" si="3"/>
        <v>9</v>
      </c>
      <c r="T26" s="453">
        <f t="shared" si="4"/>
        <v>4.5</v>
      </c>
      <c r="U26" t="str">
        <f>IFERROR(__xludf.DUMMYFUNCTION("""COMPUTED_VALUE"""),"CMPL 3/31/16")</f>
        <v>CMPL 3/31/16</v>
      </c>
      <c r="V26" s="447">
        <f>countifs(Melee!$M:$M,"W",Melee!D:D,U26)</f>
        <v>3</v>
      </c>
      <c r="W26" s="446">
        <f>countifs(Melee!M:M,"L",Melee!D:D,U26)</f>
        <v>2</v>
      </c>
      <c r="X26">
        <f t="shared" si="1"/>
        <v>5</v>
      </c>
      <c r="Y26">
        <f t="shared" si="2"/>
        <v>5.652080799</v>
      </c>
    </row>
    <row r="27">
      <c r="A27" s="174"/>
      <c r="B27" s="25" t="s">
        <v>1391</v>
      </c>
      <c r="C27" s="447">
        <f>COUNTIFS(Melee!$A:$A,"Ypsilanti, MI")</f>
        <v>14</v>
      </c>
      <c r="D27" s="174">
        <f>S28</f>
        <v>72</v>
      </c>
      <c r="E27" s="457">
        <f t="shared" si="7"/>
        <v>5.142857143</v>
      </c>
      <c r="F27" s="468">
        <f t="shared" si="8"/>
        <v>14.18940253</v>
      </c>
      <c r="G27" s="25">
        <v>12.0</v>
      </c>
      <c r="H27" s="453" t="str">
        <f t="shared" si="9"/>
        <v>Grand Rapids</v>
      </c>
      <c r="I27">
        <f t="shared" si="10"/>
        <v>1</v>
      </c>
      <c r="J27" s="453">
        <f t="shared" si="11"/>
        <v>10</v>
      </c>
      <c r="N27" s="25" t="s">
        <v>1379</v>
      </c>
      <c r="O27" t="str">
        <f>IFERROR(__xludf.DUMMYFUNCTION("""COMPUTED_VALUE"""),"White Lake, MI")</f>
        <v>White Lake, MI</v>
      </c>
      <c r="P27">
        <f>COUNTIFS(Melee!$A:$A,O27)</f>
        <v>1</v>
      </c>
      <c r="Q27" s="447">
        <f>countifs(Melee!$M:$M,"W",Melee!B:B,O27)</f>
        <v>7</v>
      </c>
      <c r="R27" s="447">
        <f>countifs(Melee!$M:$M,"L",Melee!B:B,O27)</f>
        <v>2</v>
      </c>
      <c r="S27" s="447">
        <f t="shared" si="3"/>
        <v>9</v>
      </c>
      <c r="T27" s="453">
        <f t="shared" si="4"/>
        <v>9</v>
      </c>
      <c r="U27" t="str">
        <f>IFERROR(__xludf.DUMMYFUNCTION("""COMPUTED_VALUE"""),"CMPL 4/21/16")</f>
        <v>CMPL 4/21/16</v>
      </c>
      <c r="V27" s="447">
        <f>countifs(Melee!$M:$M,"W",Melee!D:D,U27)</f>
        <v>2</v>
      </c>
      <c r="W27" s="446">
        <f>countifs(Melee!M:M,"L",Melee!D:D,U27)</f>
        <v>2</v>
      </c>
      <c r="X27">
        <f t="shared" si="1"/>
        <v>4</v>
      </c>
      <c r="Y27">
        <f t="shared" si="2"/>
        <v>4.332546065</v>
      </c>
    </row>
    <row r="28">
      <c r="A28" s="174"/>
      <c r="B28" s="25" t="s">
        <v>1396</v>
      </c>
      <c r="C28">
        <f>C10 - (sum(C16:C27))</f>
        <v>2</v>
      </c>
      <c r="D28" s="174">
        <f>S29-sum(D16:D27)</f>
        <v>8</v>
      </c>
      <c r="E28" s="457">
        <f t="shared" si="7"/>
        <v>4</v>
      </c>
      <c r="F28" s="468">
        <f t="shared" si="8"/>
        <v>2.409378932</v>
      </c>
      <c r="G28" s="25">
        <v>13.0</v>
      </c>
      <c r="H28" s="453" t="str">
        <f t="shared" si="9"/>
        <v>Traverse City</v>
      </c>
      <c r="I28">
        <f t="shared" si="10"/>
        <v>1</v>
      </c>
      <c r="J28" s="453">
        <f t="shared" si="11"/>
        <v>4</v>
      </c>
      <c r="N28" t="s">
        <v>433</v>
      </c>
      <c r="O28" t="str">
        <f>IFERROR(__xludf.DUMMYFUNCTION("""COMPUTED_VALUE"""),"Ypsilanti, MI")</f>
        <v>Ypsilanti, MI</v>
      </c>
      <c r="P28">
        <f>COUNTIFS(Melee!$A:$A,O28)</f>
        <v>14</v>
      </c>
      <c r="Q28" s="447">
        <f>countifs(Melee!$M:$M,"W",Melee!B:B,O28)</f>
        <v>44</v>
      </c>
      <c r="R28" s="447">
        <f>countifs(Melee!$M:$M,"L",Melee!B:B,O28)</f>
        <v>28</v>
      </c>
      <c r="S28" s="447">
        <f t="shared" si="3"/>
        <v>72</v>
      </c>
      <c r="T28" s="453">
        <f t="shared" si="4"/>
        <v>5.142857143</v>
      </c>
      <c r="U28" t="str">
        <f>IFERROR(__xludf.DUMMYFUNCTION("""COMPUTED_VALUE"""),"CMPL 5/12/16")</f>
        <v>CMPL 5/12/16</v>
      </c>
      <c r="V28" s="447">
        <f>countifs(Melee!$M:$M,"W",Melee!D:D,U28)</f>
        <v>0</v>
      </c>
      <c r="W28" s="446">
        <f>countifs(Melee!M:M,"L",Melee!D:D,U28)</f>
        <v>2</v>
      </c>
      <c r="X28">
        <f t="shared" si="1"/>
        <v>2</v>
      </c>
      <c r="Y28">
        <f t="shared" si="2"/>
        <v>2.95958235</v>
      </c>
    </row>
    <row r="29">
      <c r="A29" s="174"/>
      <c r="B29" s="465" t="s">
        <v>1376</v>
      </c>
      <c r="C29" s="467">
        <f t="shared" ref="C29:D29" si="13">sum(C16:C28)</f>
        <v>265</v>
      </c>
      <c r="D29" s="174">
        <f t="shared" si="13"/>
        <v>1473</v>
      </c>
      <c r="E29" s="174"/>
      <c r="F29" s="174"/>
      <c r="G29" s="25">
        <v>14.0</v>
      </c>
      <c r="H29" s="453" t="str">
        <f t="shared" si="9"/>
        <v>#NUM!</v>
      </c>
      <c r="I29" t="str">
        <f t="shared" si="10"/>
        <v>#NUM!</v>
      </c>
      <c r="J29" s="453" t="str">
        <f t="shared" si="11"/>
        <v>#NUM!</v>
      </c>
      <c r="S29">
        <f>sum(S2:S28)</f>
        <v>1473</v>
      </c>
      <c r="U29" t="str">
        <f>IFERROR(__xludf.DUMMYFUNCTION("""COMPUTED_VALUE"""),"CMPL 6/16/16")</f>
        <v>CMPL 6/16/16</v>
      </c>
      <c r="V29" s="447">
        <f>countifs(Melee!$M:$M,"W",Melee!D:D,U29)</f>
        <v>1</v>
      </c>
      <c r="W29" s="446">
        <f>countifs(Melee!M:M,"L",Melee!D:D,U29)</f>
        <v>2</v>
      </c>
      <c r="X29">
        <f t="shared" si="1"/>
        <v>3</v>
      </c>
      <c r="Y29">
        <f t="shared" si="2"/>
        <v>3.207786928</v>
      </c>
    </row>
    <row r="30">
      <c r="A30" s="174"/>
      <c r="D30" s="174"/>
      <c r="E30" s="174"/>
      <c r="F30" s="174"/>
      <c r="G30" s="174"/>
      <c r="U30" t="str">
        <f>IFERROR(__xludf.DUMMYFUNCTION("""COMPUTED_VALUE"""),"CMPL 6/24/16")</f>
        <v>CMPL 6/24/16</v>
      </c>
      <c r="V30" s="447">
        <f>countifs(Melee!$M:$M,"W",Melee!D:D,U30)</f>
        <v>1</v>
      </c>
      <c r="W30" s="446">
        <f>countifs(Melee!M:M,"L",Melee!D:D,U30)</f>
        <v>2</v>
      </c>
      <c r="X30">
        <f t="shared" si="1"/>
        <v>3</v>
      </c>
      <c r="Y30">
        <f t="shared" si="2"/>
        <v>3.309667881</v>
      </c>
    </row>
    <row r="31">
      <c r="A31" s="174"/>
      <c r="D31" s="174"/>
      <c r="E31" s="174"/>
      <c r="F31" s="174"/>
      <c r="G31" s="174"/>
      <c r="U31" t="str">
        <f>IFERROR(__xludf.DUMMYFUNCTION("""COMPUTED_VALUE"""),"CMPL 6/30/16")</f>
        <v>CMPL 6/30/16</v>
      </c>
      <c r="V31" s="447">
        <f>countifs(Melee!$M:$M,"W",Melee!D:D,U31)</f>
        <v>2</v>
      </c>
      <c r="W31" s="446">
        <f>countifs(Melee!M:M,"L",Melee!D:D,U31)</f>
        <v>2</v>
      </c>
      <c r="X31">
        <f t="shared" si="1"/>
        <v>4</v>
      </c>
      <c r="Y31">
        <f t="shared" si="2"/>
        <v>4.779143386</v>
      </c>
    </row>
    <row r="32">
      <c r="A32" s="174"/>
      <c r="D32" s="174"/>
      <c r="E32" s="174"/>
      <c r="F32" s="174"/>
      <c r="G32" s="174"/>
      <c r="U32" t="str">
        <f>IFERROR(__xludf.DUMMYFUNCTION("""COMPUTED_VALUE"""),"CMPL 7/28/16")</f>
        <v>CMPL 7/28/16</v>
      </c>
      <c r="V32" s="447">
        <f>countifs(Melee!$M:$M,"W",Melee!D:D,U32)</f>
        <v>3</v>
      </c>
      <c r="W32" s="446">
        <f>countifs(Melee!M:M,"L",Melee!D:D,U32)</f>
        <v>2</v>
      </c>
      <c r="X32">
        <f t="shared" si="1"/>
        <v>5</v>
      </c>
      <c r="Y32">
        <f t="shared" si="2"/>
        <v>5.991580494</v>
      </c>
    </row>
    <row r="33">
      <c r="A33" s="174"/>
      <c r="D33" s="174"/>
      <c r="E33" s="174"/>
      <c r="F33" s="174"/>
      <c r="G33" s="174"/>
      <c r="U33" t="str">
        <f>IFERROR(__xludf.DUMMYFUNCTION("""COMPUTED_VALUE"""),"CMPL 8/11/16")</f>
        <v>CMPL 8/11/16</v>
      </c>
      <c r="V33" s="447">
        <f>countifs(Melee!$M:$M,"W",Melee!D:D,U33)</f>
        <v>5</v>
      </c>
      <c r="W33" s="446">
        <f>countifs(Melee!M:M,"L",Melee!D:D,U33)</f>
        <v>2</v>
      </c>
      <c r="X33">
        <f t="shared" si="1"/>
        <v>7</v>
      </c>
      <c r="Y33">
        <f t="shared" si="2"/>
        <v>7.306648466</v>
      </c>
    </row>
    <row r="34">
      <c r="A34" s="174"/>
      <c r="D34" s="174"/>
      <c r="E34" s="174"/>
      <c r="F34" s="174"/>
      <c r="G34" s="174"/>
      <c r="U34" t="str">
        <f>IFERROR(__xludf.DUMMYFUNCTION("""COMPUTED_VALUE"""),"CMPL 8/18/16")</f>
        <v>CMPL 8/18/16</v>
      </c>
      <c r="V34" s="447">
        <f>countifs(Melee!$M:$M,"W",Melee!D:D,U34)</f>
        <v>1</v>
      </c>
      <c r="W34" s="446">
        <f>countifs(Melee!M:M,"L",Melee!D:D,U34)</f>
        <v>2</v>
      </c>
      <c r="X34">
        <f t="shared" si="1"/>
        <v>3</v>
      </c>
      <c r="Y34">
        <f t="shared" si="2"/>
        <v>3.339858815</v>
      </c>
    </row>
    <row r="35">
      <c r="A35" s="174"/>
      <c r="D35" s="174"/>
      <c r="E35" s="174"/>
      <c r="F35" s="174"/>
      <c r="G35" s="174"/>
      <c r="U35" t="str">
        <f>IFERROR(__xludf.DUMMYFUNCTION("""COMPUTED_VALUE"""),"CMPL 8/4/16")</f>
        <v>CMPL 8/4/16</v>
      </c>
      <c r="V35" s="447">
        <f>countifs(Melee!$M:$M,"W",Melee!D:D,U35)</f>
        <v>3</v>
      </c>
      <c r="W35" s="446">
        <f>countifs(Melee!M:M,"L",Melee!D:D,U35)</f>
        <v>2</v>
      </c>
      <c r="X35">
        <f t="shared" si="1"/>
        <v>5</v>
      </c>
      <c r="Y35">
        <f t="shared" si="2"/>
        <v>5.810126818</v>
      </c>
    </row>
    <row r="36">
      <c r="A36" s="174"/>
      <c r="D36" s="174"/>
      <c r="E36" s="174"/>
      <c r="F36" s="174"/>
      <c r="G36" s="174"/>
      <c r="U36" t="str">
        <f>IFERROR(__xludf.DUMMYFUNCTION("""COMPUTED_VALUE"""),"Corner Pressure")</f>
        <v>Corner Pressure</v>
      </c>
      <c r="V36" s="447">
        <f>countifs(Melee!$M:$M,"W",Melee!D:D,U36)</f>
        <v>4</v>
      </c>
      <c r="W36" s="446">
        <f>countifs(Melee!M:M,"L",Melee!D:D,U36)</f>
        <v>3</v>
      </c>
      <c r="X36">
        <f t="shared" si="1"/>
        <v>7</v>
      </c>
      <c r="Y36">
        <f t="shared" si="2"/>
        <v>7.43143824</v>
      </c>
    </row>
    <row r="37">
      <c r="A37" s="174"/>
      <c r="D37" s="174"/>
      <c r="E37" s="174"/>
      <c r="F37" s="174"/>
      <c r="G37" s="174"/>
      <c r="U37" t="str">
        <f>IFERROR(__xludf.DUMMYFUNCTION("""COMPUTED_VALUE"""),"Corner Pressure 2")</f>
        <v>Corner Pressure 2</v>
      </c>
      <c r="V37" s="447">
        <f>countifs(Melee!$M:$M,"W",Melee!D:D,U37)</f>
        <v>2</v>
      </c>
      <c r="W37" s="446">
        <f>countifs(Melee!M:M,"L",Melee!D:D,U37)</f>
        <v>5</v>
      </c>
      <c r="X37">
        <f t="shared" si="1"/>
        <v>7</v>
      </c>
      <c r="Y37">
        <f t="shared" si="2"/>
        <v>7.506138499</v>
      </c>
    </row>
    <row r="38">
      <c r="A38" s="174"/>
      <c r="D38" s="174"/>
      <c r="E38" s="174"/>
      <c r="F38" s="174"/>
      <c r="G38" s="174"/>
      <c r="U38" t="str">
        <f>IFERROR(__xludf.DUMMYFUNCTION("""COMPUTED_VALUE"""),"Corner Pressure 5")</f>
        <v>Corner Pressure 5</v>
      </c>
      <c r="V38" s="447">
        <f>countifs(Melee!$M:$M,"W",Melee!D:D,U38)</f>
        <v>3</v>
      </c>
      <c r="W38" s="446">
        <f>countifs(Melee!M:M,"L",Melee!D:D,U38)</f>
        <v>2</v>
      </c>
      <c r="X38">
        <f t="shared" si="1"/>
        <v>5</v>
      </c>
      <c r="Y38">
        <f t="shared" si="2"/>
        <v>5.062581213</v>
      </c>
    </row>
    <row r="39">
      <c r="A39" s="174"/>
      <c r="D39" s="174"/>
      <c r="E39" s="174"/>
      <c r="F39" s="174"/>
      <c r="G39" s="174"/>
      <c r="U39" t="str">
        <f>IFERROR(__xludf.DUMMYFUNCTION("""COMPUTED_VALUE"""),"Corner Pressure III")</f>
        <v>Corner Pressure III</v>
      </c>
      <c r="V39" s="447">
        <f>countifs(Melee!$M:$M,"W",Melee!D:D,U39)</f>
        <v>2</v>
      </c>
      <c r="W39" s="446">
        <f>countifs(Melee!M:M,"L",Melee!D:D,U39)</f>
        <v>4</v>
      </c>
      <c r="X39">
        <f t="shared" si="1"/>
        <v>6</v>
      </c>
      <c r="Y39">
        <f t="shared" si="2"/>
        <v>6.083064965</v>
      </c>
    </row>
    <row r="40">
      <c r="A40" s="174"/>
      <c r="D40" s="174"/>
      <c r="E40" s="174"/>
      <c r="F40" s="174"/>
      <c r="G40" s="174"/>
      <c r="U40" t="str">
        <f>IFERROR(__xludf.DUMMYFUNCTION("""COMPUTED_VALUE"""),"Corner Pressure IV")</f>
        <v>Corner Pressure IV</v>
      </c>
      <c r="V40" s="447">
        <f>countifs(Melee!$M:$M,"W",Melee!D:D,U40)</f>
        <v>1</v>
      </c>
      <c r="W40" s="446">
        <f>countifs(Melee!M:M,"L",Melee!D:D,U40)</f>
        <v>5</v>
      </c>
      <c r="X40">
        <f t="shared" si="1"/>
        <v>6</v>
      </c>
      <c r="Y40">
        <f t="shared" si="2"/>
        <v>6.2181269</v>
      </c>
    </row>
    <row r="41">
      <c r="A41" s="174"/>
      <c r="D41" s="174"/>
      <c r="E41" s="174"/>
      <c r="F41" s="174"/>
      <c r="G41" s="174"/>
      <c r="U41" t="str">
        <f>IFERROR(__xludf.DUMMYFUNCTION("""COMPUTED_VALUE"""),"Corner Pressure VI")</f>
        <v>Corner Pressure VI</v>
      </c>
      <c r="V41" s="447">
        <f>countifs(Melee!$M:$M,"W",Melee!D:D,U41)</f>
        <v>2</v>
      </c>
      <c r="W41" s="446">
        <f>countifs(Melee!M:M,"L",Melee!D:D,U41)</f>
        <v>4</v>
      </c>
      <c r="X41">
        <f t="shared" si="1"/>
        <v>6</v>
      </c>
      <c r="Y41">
        <f t="shared" si="2"/>
        <v>6.601040447</v>
      </c>
    </row>
    <row r="42">
      <c r="A42" s="174"/>
      <c r="D42" s="174"/>
      <c r="E42" s="174"/>
      <c r="F42" s="174"/>
      <c r="G42" s="174"/>
      <c r="U42" t="str">
        <f>IFERROR(__xludf.DUMMYFUNCTION("""COMPUTED_VALUE"""),"Corner Pressure VII")</f>
        <v>Corner Pressure VII</v>
      </c>
      <c r="V42" s="447">
        <f>countifs(Melee!$M:$M,"W",Melee!D:D,U42)</f>
        <v>3</v>
      </c>
      <c r="W42" s="446">
        <f>countifs(Melee!M:M,"L",Melee!D:D,U42)</f>
        <v>2</v>
      </c>
      <c r="X42">
        <f t="shared" si="1"/>
        <v>5</v>
      </c>
      <c r="Y42">
        <f t="shared" si="2"/>
        <v>5.097483053</v>
      </c>
    </row>
    <row r="43">
      <c r="A43" s="174"/>
      <c r="D43" s="174"/>
      <c r="E43" s="174"/>
      <c r="F43" s="174"/>
      <c r="G43" s="174"/>
      <c r="U43" t="str">
        <f>IFERROR(__xludf.DUMMYFUNCTION("""COMPUTED_VALUE"""),"CSL MI Fall 2019 Qualifier")</f>
        <v>CSL MI Fall 2019 Qualifier</v>
      </c>
      <c r="V43" s="447">
        <f>countifs(Melee!$M:$M,"W",Melee!D:D,U43)</f>
        <v>6</v>
      </c>
      <c r="W43" s="446">
        <f>countifs(Melee!M:M,"L",Melee!D:D,U43)</f>
        <v>3</v>
      </c>
      <c r="X43">
        <f t="shared" si="1"/>
        <v>9</v>
      </c>
      <c r="Y43">
        <f t="shared" si="2"/>
        <v>9.203612781</v>
      </c>
    </row>
    <row r="44">
      <c r="A44" s="174"/>
      <c r="D44" s="174"/>
      <c r="E44" s="174"/>
      <c r="F44" s="174"/>
      <c r="G44" s="174"/>
      <c r="U44" t="str">
        <f>IFERROR(__xludf.DUMMYFUNCTION("""COMPUTED_VALUE"""),"CTH #10")</f>
        <v>CTH #10</v>
      </c>
      <c r="V44" s="447">
        <f>countifs(Melee!$M:$M,"W",Melee!D:D,U44)</f>
        <v>3</v>
      </c>
      <c r="W44" s="446">
        <f>countifs(Melee!M:M,"L",Melee!D:D,U44)</f>
        <v>2</v>
      </c>
      <c r="X44">
        <f t="shared" si="1"/>
        <v>5</v>
      </c>
      <c r="Y44">
        <f t="shared" si="2"/>
        <v>5.243659206</v>
      </c>
    </row>
    <row r="45">
      <c r="A45" s="174"/>
      <c r="D45" s="174"/>
      <c r="E45" s="174"/>
      <c r="F45" s="174"/>
      <c r="G45" s="174"/>
      <c r="U45" t="str">
        <f>IFERROR(__xludf.DUMMYFUNCTION("""COMPUTED_VALUE"""),"CTH #12")</f>
        <v>CTH #12</v>
      </c>
      <c r="V45" s="447">
        <f>countifs(Melee!$M:$M,"W",Melee!D:D,U45)</f>
        <v>3</v>
      </c>
      <c r="W45" s="446">
        <f>countifs(Melee!M:M,"L",Melee!D:D,U45)</f>
        <v>2</v>
      </c>
      <c r="X45">
        <f t="shared" si="1"/>
        <v>5</v>
      </c>
      <c r="Y45">
        <f t="shared" si="2"/>
        <v>5.028552923</v>
      </c>
    </row>
    <row r="46">
      <c r="A46" s="174"/>
      <c r="D46" s="174"/>
      <c r="E46" s="174"/>
      <c r="F46" s="174"/>
      <c r="G46" s="174"/>
      <c r="U46" t="str">
        <f>IFERROR(__xludf.DUMMYFUNCTION("""COMPUTED_VALUE"""),"CTH #2")</f>
        <v>CTH #2</v>
      </c>
      <c r="V46" s="447">
        <f>countifs(Melee!$M:$M,"W",Melee!D:D,U46)</f>
        <v>2</v>
      </c>
      <c r="W46" s="446">
        <f>countifs(Melee!M:M,"L",Melee!D:D,U46)</f>
        <v>2</v>
      </c>
      <c r="X46">
        <f t="shared" si="1"/>
        <v>4</v>
      </c>
      <c r="Y46">
        <f t="shared" si="2"/>
        <v>4.74693754</v>
      </c>
    </row>
    <row r="47">
      <c r="A47" s="174"/>
      <c r="D47" s="174"/>
      <c r="E47" s="174"/>
      <c r="F47" s="174"/>
      <c r="G47" s="174"/>
      <c r="U47" t="str">
        <f>IFERROR(__xludf.DUMMYFUNCTION("""COMPUTED_VALUE"""),"CTH #5")</f>
        <v>CTH #5</v>
      </c>
      <c r="V47" s="447">
        <f>countifs(Melee!$M:$M,"W",Melee!D:D,U47)</f>
        <v>3</v>
      </c>
      <c r="W47" s="446">
        <f>countifs(Melee!M:M,"L",Melee!D:D,U47)</f>
        <v>2</v>
      </c>
      <c r="X47">
        <f t="shared" si="1"/>
        <v>5</v>
      </c>
      <c r="Y47">
        <f t="shared" si="2"/>
        <v>5.121159739</v>
      </c>
    </row>
    <row r="48">
      <c r="A48" s="174"/>
      <c r="D48" s="174"/>
      <c r="E48" s="174"/>
      <c r="F48" s="174"/>
      <c r="G48" s="174"/>
      <c r="U48" t="str">
        <f>IFERROR(__xludf.DUMMYFUNCTION("""COMPUTED_VALUE"""),"CTH #6")</f>
        <v>CTH #6</v>
      </c>
      <c r="V48" s="447">
        <f>countifs(Melee!$M:$M,"W",Melee!D:D,U48)</f>
        <v>3</v>
      </c>
      <c r="W48" s="446">
        <f>countifs(Melee!M:M,"L",Melee!D:D,U48)</f>
        <v>2</v>
      </c>
      <c r="X48">
        <f t="shared" si="1"/>
        <v>5</v>
      </c>
      <c r="Y48">
        <f t="shared" si="2"/>
        <v>5.942595647</v>
      </c>
    </row>
    <row r="49">
      <c r="A49" s="174"/>
      <c r="D49" s="174"/>
      <c r="E49" s="174"/>
      <c r="F49" s="174"/>
      <c r="G49" s="174"/>
      <c r="U49" t="str">
        <f>IFERROR(__xludf.DUMMYFUNCTION("""COMPUTED_VALUE"""),"CTH #7")</f>
        <v>CTH #7</v>
      </c>
      <c r="V49" s="447">
        <f>countifs(Melee!$M:$M,"W",Melee!D:D,U49)</f>
        <v>2</v>
      </c>
      <c r="W49" s="446">
        <f>countifs(Melee!M:M,"L",Melee!D:D,U49)</f>
        <v>2</v>
      </c>
      <c r="X49">
        <f t="shared" si="1"/>
        <v>4</v>
      </c>
      <c r="Y49">
        <f t="shared" si="2"/>
        <v>4.59039227</v>
      </c>
    </row>
    <row r="50">
      <c r="A50" s="174"/>
      <c r="D50" s="174"/>
      <c r="E50" s="174"/>
      <c r="F50" s="174"/>
      <c r="G50" s="174"/>
      <c r="U50" t="str">
        <f>IFERROR(__xludf.DUMMYFUNCTION("""COMPUTED_VALUE"""),"CTH #8")</f>
        <v>CTH #8</v>
      </c>
      <c r="V50" s="447">
        <f>countifs(Melee!$M:$M,"W",Melee!D:D,U50)</f>
        <v>1</v>
      </c>
      <c r="W50" s="446">
        <f>countifs(Melee!M:M,"L",Melee!D:D,U50)</f>
        <v>2</v>
      </c>
      <c r="X50">
        <f t="shared" si="1"/>
        <v>3</v>
      </c>
      <c r="Y50">
        <f t="shared" si="2"/>
        <v>3.587163738</v>
      </c>
    </row>
    <row r="51">
      <c r="A51" s="174"/>
      <c r="D51" s="174"/>
      <c r="E51" s="174"/>
      <c r="F51" s="174"/>
      <c r="G51" s="174"/>
      <c r="U51" t="str">
        <f>IFERROR(__xludf.DUMMYFUNCTION("""COMPUTED_VALUE"""),"CTH #9")</f>
        <v>CTH #9</v>
      </c>
      <c r="V51" s="447">
        <f>countifs(Melee!$M:$M,"W",Melee!D:D,U51)</f>
        <v>1</v>
      </c>
      <c r="W51" s="446">
        <f>countifs(Melee!M:M,"L",Melee!D:D,U51)</f>
        <v>2</v>
      </c>
      <c r="X51">
        <f t="shared" si="1"/>
        <v>3</v>
      </c>
      <c r="Y51">
        <f t="shared" si="2"/>
        <v>3.152492303</v>
      </c>
    </row>
    <row r="52">
      <c r="A52" s="174"/>
      <c r="D52" s="174"/>
      <c r="E52" s="174"/>
      <c r="F52" s="174"/>
      <c r="G52" s="174"/>
      <c r="U52" t="str">
        <f>IFERROR(__xludf.DUMMYFUNCTION("""COMPUTED_VALUE"""),"CTH#14")</f>
        <v>CTH#14</v>
      </c>
      <c r="V52" s="447">
        <f>countifs(Melee!$M:$M,"W",Melee!D:D,U52)</f>
        <v>3</v>
      </c>
      <c r="W52" s="446">
        <f>countifs(Melee!M:M,"L",Melee!D:D,U52)</f>
        <v>2</v>
      </c>
      <c r="X52">
        <f t="shared" si="1"/>
        <v>5</v>
      </c>
      <c r="Y52">
        <f t="shared" si="2"/>
        <v>5.540365419</v>
      </c>
    </row>
    <row r="53">
      <c r="A53" s="174"/>
      <c r="D53" s="174"/>
      <c r="E53" s="174"/>
      <c r="F53" s="174"/>
      <c r="G53" s="174"/>
      <c r="U53" t="str">
        <f>IFERROR(__xludf.DUMMYFUNCTION("""COMPUTED_VALUE"""),"CTH#18")</f>
        <v>CTH#18</v>
      </c>
      <c r="V53" s="447">
        <f>countifs(Melee!$M:$M,"W",Melee!D:D,U53)</f>
        <v>3</v>
      </c>
      <c r="W53" s="446">
        <f>countifs(Melee!M:M,"L",Melee!D:D,U53)</f>
        <v>2</v>
      </c>
      <c r="X53">
        <f t="shared" si="1"/>
        <v>5</v>
      </c>
      <c r="Y53">
        <f t="shared" si="2"/>
        <v>5.915351872</v>
      </c>
    </row>
    <row r="54">
      <c r="A54" s="174"/>
      <c r="D54" s="174"/>
      <c r="E54" s="174"/>
      <c r="F54" s="174"/>
      <c r="G54" s="174"/>
      <c r="U54" t="str">
        <f>IFERROR(__xludf.DUMMYFUNCTION("""COMPUTED_VALUE"""),"CTH#25")</f>
        <v>CTH#25</v>
      </c>
      <c r="V54" s="447">
        <f>countifs(Melee!$M:$M,"W",Melee!D:D,U54)</f>
        <v>4</v>
      </c>
      <c r="W54" s="446">
        <f>countifs(Melee!M:M,"L",Melee!D:D,U54)</f>
        <v>2</v>
      </c>
      <c r="X54">
        <f t="shared" si="1"/>
        <v>6</v>
      </c>
      <c r="Y54">
        <f t="shared" si="2"/>
        <v>6.376135648</v>
      </c>
    </row>
    <row r="55">
      <c r="A55" s="174"/>
      <c r="D55" s="174"/>
      <c r="E55" s="174"/>
      <c r="F55" s="174"/>
      <c r="G55" s="174"/>
      <c r="U55" t="str">
        <f>IFERROR(__xludf.DUMMYFUNCTION("""COMPUTED_VALUE"""),"Detroit After Dark #2")</f>
        <v>Detroit After Dark #2</v>
      </c>
      <c r="V55" s="447">
        <f>countifs(Melee!$M:$M,"W",Melee!D:D,U55)</f>
        <v>2</v>
      </c>
      <c r="W55" s="446">
        <f>countifs(Melee!M:M,"L",Melee!D:D,U55)</f>
        <v>2</v>
      </c>
      <c r="X55">
        <f t="shared" si="1"/>
        <v>4</v>
      </c>
      <c r="Y55">
        <f t="shared" si="2"/>
        <v>4.247271217</v>
      </c>
    </row>
    <row r="56">
      <c r="A56" s="174"/>
      <c r="D56" s="174"/>
      <c r="E56" s="174"/>
      <c r="F56" s="174"/>
      <c r="G56" s="174"/>
      <c r="U56" t="str">
        <f>IFERROR(__xludf.DUMMYFUNCTION("""COMPUTED_VALUE"""),"Detroit After Dark 1")</f>
        <v>Detroit After Dark 1</v>
      </c>
      <c r="V56" s="447">
        <f>countifs(Melee!$M:$M,"W",Melee!D:D,U56)</f>
        <v>5</v>
      </c>
      <c r="W56" s="446">
        <f>countifs(Melee!M:M,"L",Melee!D:D,U56)</f>
        <v>3</v>
      </c>
      <c r="X56">
        <f t="shared" si="1"/>
        <v>8</v>
      </c>
      <c r="Y56">
        <f t="shared" si="2"/>
        <v>8.737531728</v>
      </c>
    </row>
    <row r="57">
      <c r="A57" s="174"/>
      <c r="D57" s="174"/>
      <c r="E57" s="174"/>
      <c r="F57" s="174"/>
      <c r="G57" s="174"/>
      <c r="U57" t="str">
        <f>IFERROR(__xludf.DUMMYFUNCTION("""COMPUTED_VALUE"""),"Downfall")</f>
        <v>Downfall</v>
      </c>
      <c r="V57" s="447">
        <f>countifs(Melee!$M:$M,"W",Melee!D:D,U57)</f>
        <v>3</v>
      </c>
      <c r="W57" s="446">
        <f>countifs(Melee!M:M,"L",Melee!D:D,U57)</f>
        <v>3</v>
      </c>
      <c r="X57">
        <f t="shared" si="1"/>
        <v>6</v>
      </c>
      <c r="Y57">
        <f t="shared" si="2"/>
        <v>6.714106309</v>
      </c>
    </row>
    <row r="58">
      <c r="A58" s="174"/>
      <c r="D58" s="174"/>
      <c r="E58" s="174"/>
      <c r="F58" s="174"/>
      <c r="G58" s="174"/>
      <c r="U58" t="str">
        <f>IFERROR(__xludf.DUMMYFUNCTION("""COMPUTED_VALUE"""),"Endeavor #32")</f>
        <v>Endeavor #32</v>
      </c>
      <c r="V58" s="447">
        <f>countifs(Melee!$M:$M,"W",Melee!D:D,U58)</f>
        <v>2</v>
      </c>
      <c r="W58" s="446">
        <f>countifs(Melee!M:M,"L",Melee!D:D,U58)</f>
        <v>2</v>
      </c>
      <c r="X58">
        <f t="shared" si="1"/>
        <v>4</v>
      </c>
      <c r="Y58">
        <f t="shared" si="2"/>
        <v>4.294179808</v>
      </c>
    </row>
    <row r="59">
      <c r="A59" s="174"/>
      <c r="D59" s="174"/>
      <c r="E59" s="174"/>
      <c r="F59" s="174"/>
      <c r="G59" s="174"/>
      <c r="U59" t="str">
        <f>IFERROR(__xludf.DUMMYFUNCTION("""COMPUTED_VALUE"""),"Endeavor 100")</f>
        <v>Endeavor 100</v>
      </c>
      <c r="V59" s="447">
        <f>countifs(Melee!$M:$M,"W",Melee!D:D,U59)</f>
        <v>5</v>
      </c>
      <c r="W59" s="446">
        <f>countifs(Melee!M:M,"L",Melee!D:D,U59)</f>
        <v>2</v>
      </c>
      <c r="X59">
        <f t="shared" si="1"/>
        <v>7</v>
      </c>
      <c r="Y59">
        <f t="shared" si="2"/>
        <v>7.86791243</v>
      </c>
    </row>
    <row r="60">
      <c r="A60" s="174"/>
      <c r="D60" s="174"/>
      <c r="E60" s="174"/>
      <c r="F60" s="174"/>
      <c r="G60" s="174"/>
      <c r="U60" t="str">
        <f>IFERROR(__xludf.DUMMYFUNCTION("""COMPUTED_VALUE"""),"Endeavor 3")</f>
        <v>Endeavor 3</v>
      </c>
      <c r="V60" s="447">
        <f>countifs(Melee!$M:$M,"W",Melee!D:D,U60)</f>
        <v>4</v>
      </c>
      <c r="W60" s="446">
        <f>countifs(Melee!M:M,"L",Melee!D:D,U60)</f>
        <v>2</v>
      </c>
      <c r="X60">
        <f t="shared" si="1"/>
        <v>6</v>
      </c>
      <c r="Y60">
        <f t="shared" si="2"/>
        <v>6.779983554</v>
      </c>
    </row>
    <row r="61">
      <c r="A61" s="174"/>
      <c r="D61" s="174"/>
      <c r="E61" s="174"/>
      <c r="F61" s="174"/>
      <c r="G61" s="174"/>
      <c r="U61" t="str">
        <f>IFERROR(__xludf.DUMMYFUNCTION("""COMPUTED_VALUE"""),"Endeavor 6")</f>
        <v>Endeavor 6</v>
      </c>
      <c r="V61" s="447">
        <f>countifs(Melee!$M:$M,"W",Melee!D:D,U61)</f>
        <v>2</v>
      </c>
      <c r="W61" s="446">
        <f>countifs(Melee!M:M,"L",Melee!D:D,U61)</f>
        <v>2</v>
      </c>
      <c r="X61">
        <f t="shared" si="1"/>
        <v>4</v>
      </c>
      <c r="Y61">
        <f t="shared" si="2"/>
        <v>4.527462789</v>
      </c>
    </row>
    <row r="62">
      <c r="A62" s="174"/>
      <c r="D62" s="174"/>
      <c r="E62" s="174"/>
      <c r="F62" s="174"/>
      <c r="G62" s="174"/>
      <c r="U62" t="str">
        <f>IFERROR(__xludf.DUMMYFUNCTION("""COMPUTED_VALUE"""),"F Mingee")</f>
        <v>F Mingee</v>
      </c>
      <c r="V62" s="447">
        <f>countifs(Melee!$M:$M,"W",Melee!D:D,U62)</f>
        <v>7</v>
      </c>
      <c r="W62" s="446">
        <f>countifs(Melee!M:M,"L",Melee!D:D,U62)</f>
        <v>4</v>
      </c>
      <c r="X62">
        <f t="shared" si="1"/>
        <v>11</v>
      </c>
      <c r="Y62">
        <f t="shared" si="2"/>
        <v>11.22163726</v>
      </c>
    </row>
    <row r="63">
      <c r="A63" s="174"/>
      <c r="D63" s="174"/>
      <c r="E63" s="174"/>
      <c r="F63" s="174"/>
      <c r="G63" s="174"/>
      <c r="U63" t="str">
        <f>IFERROR(__xludf.DUMMYFUNCTION("""COMPUTED_VALUE"""),"Fenton Fallout #1")</f>
        <v>Fenton Fallout #1</v>
      </c>
      <c r="V63" s="447">
        <f>countifs(Melee!$M:$M,"W",Melee!D:D,U63)</f>
        <v>4</v>
      </c>
      <c r="W63" s="446">
        <f>countifs(Melee!M:M,"L",Melee!D:D,U63)</f>
        <v>2</v>
      </c>
      <c r="X63">
        <f t="shared" si="1"/>
        <v>6</v>
      </c>
      <c r="Y63">
        <f t="shared" si="2"/>
        <v>6.646499919</v>
      </c>
    </row>
    <row r="64">
      <c r="A64" s="174"/>
      <c r="D64" s="174"/>
      <c r="E64" s="174"/>
      <c r="F64" s="174"/>
      <c r="G64" s="174"/>
      <c r="U64" t="str">
        <f>IFERROR(__xludf.DUMMYFUNCTION("""COMPUTED_VALUE"""),"Friday Night Smash Delight")</f>
        <v>Friday Night Smash Delight</v>
      </c>
      <c r="V64" s="447">
        <f>countifs(Melee!$M:$M,"W",Melee!D:D,U64)</f>
        <v>4</v>
      </c>
      <c r="W64" s="446">
        <f>countifs(Melee!M:M,"L",Melee!D:D,U64)</f>
        <v>2</v>
      </c>
      <c r="X64">
        <f t="shared" si="1"/>
        <v>6</v>
      </c>
      <c r="Y64">
        <f t="shared" si="2"/>
        <v>6.319136681</v>
      </c>
    </row>
    <row r="65">
      <c r="A65" s="174"/>
      <c r="D65" s="174"/>
      <c r="E65" s="174"/>
      <c r="F65" s="174"/>
      <c r="G65" s="174"/>
      <c r="U65" t="str">
        <f>IFERROR(__xludf.DUMMYFUNCTION("""COMPUTED_VALUE"""),"Friday Night Smash Delight @ Holiday Heist")</f>
        <v>Friday Night Smash Delight @ Holiday Heist</v>
      </c>
      <c r="V65" s="447">
        <f>countifs(Melee!$M:$M,"W",Melee!D:D,U65)</f>
        <v>3</v>
      </c>
      <c r="W65" s="446">
        <f>countifs(Melee!M:M,"L",Melee!D:D,U65)</f>
        <v>2</v>
      </c>
      <c r="X65">
        <f t="shared" si="1"/>
        <v>5</v>
      </c>
      <c r="Y65">
        <f t="shared" si="2"/>
        <v>5.849926425</v>
      </c>
    </row>
    <row r="66">
      <c r="A66" s="174"/>
      <c r="D66" s="174"/>
      <c r="E66" s="174"/>
      <c r="F66" s="174"/>
      <c r="G66" s="174"/>
      <c r="U66" t="str">
        <f>IFERROR(__xludf.DUMMYFUNCTION("""COMPUTED_VALUE"""),"Friday Night Smash Delight #31")</f>
        <v>Friday Night Smash Delight #31</v>
      </c>
      <c r="V66" s="447">
        <f>countifs(Melee!$M:$M,"W",Melee!D:D,U66)</f>
        <v>1</v>
      </c>
      <c r="W66" s="446">
        <f>countifs(Melee!M:M,"L",Melee!D:D,U66)</f>
        <v>2</v>
      </c>
      <c r="X66">
        <f t="shared" si="1"/>
        <v>3</v>
      </c>
      <c r="Y66">
        <f t="shared" si="2"/>
        <v>3.227693028</v>
      </c>
    </row>
    <row r="67">
      <c r="A67" s="174"/>
      <c r="D67" s="174"/>
      <c r="E67" s="174"/>
      <c r="F67" s="174"/>
      <c r="G67" s="174"/>
      <c r="U67" t="str">
        <f>IFERROR(__xludf.DUMMYFUNCTION("""COMPUTED_VALUE"""),"Friday Night Smash Delight #32")</f>
        <v>Friday Night Smash Delight #32</v>
      </c>
      <c r="V67" s="447">
        <f>countifs(Melee!$M:$M,"W",Melee!D:D,U67)</f>
        <v>1</v>
      </c>
      <c r="W67" s="446">
        <f>countifs(Melee!M:M,"L",Melee!D:D,U67)</f>
        <v>2</v>
      </c>
      <c r="X67">
        <f t="shared" si="1"/>
        <v>3</v>
      </c>
      <c r="Y67">
        <f t="shared" si="2"/>
        <v>3.802647623</v>
      </c>
    </row>
    <row r="68">
      <c r="A68" s="174"/>
      <c r="D68" s="174"/>
      <c r="E68" s="174"/>
      <c r="F68" s="174"/>
      <c r="G68" s="174"/>
      <c r="U68" t="str">
        <f>IFERROR(__xludf.DUMMYFUNCTION("""COMPUTED_VALUE"""),"Friday Night Smash Delight #41")</f>
        <v>Friday Night Smash Delight #41</v>
      </c>
      <c r="V68" s="447">
        <f>countifs(Melee!$M:$M,"W",Melee!D:D,U68)</f>
        <v>5</v>
      </c>
      <c r="W68" s="446">
        <f>countifs(Melee!M:M,"L",Melee!D:D,U68)</f>
        <v>2</v>
      </c>
      <c r="X68">
        <f t="shared" si="1"/>
        <v>7</v>
      </c>
      <c r="Y68">
        <f t="shared" si="2"/>
        <v>7.201579263</v>
      </c>
    </row>
    <row r="69">
      <c r="A69" s="174"/>
      <c r="D69" s="174"/>
      <c r="E69" s="174"/>
      <c r="F69" s="174"/>
      <c r="G69" s="174"/>
      <c r="U69" t="str">
        <f>IFERROR(__xludf.DUMMYFUNCTION("""COMPUTED_VALUE"""),"Friday Night Smash Delight #42")</f>
        <v>Friday Night Smash Delight #42</v>
      </c>
      <c r="V69" s="447">
        <f>countifs(Melee!$M:$M,"W",Melee!D:D,U69)</f>
        <v>2</v>
      </c>
      <c r="W69" s="446">
        <f>countifs(Melee!M:M,"L",Melee!D:D,U69)</f>
        <v>2</v>
      </c>
      <c r="X69">
        <f t="shared" si="1"/>
        <v>4</v>
      </c>
      <c r="Y69">
        <f t="shared" si="2"/>
        <v>4.222359687</v>
      </c>
    </row>
    <row r="70">
      <c r="A70" s="174"/>
      <c r="D70" s="174"/>
      <c r="E70" s="174"/>
      <c r="F70" s="174"/>
      <c r="G70" s="174"/>
      <c r="U70" t="str">
        <f>IFERROR(__xludf.DUMMYFUNCTION("""COMPUTED_VALUE"""),"Friday Night Smash Delight #45")</f>
        <v>Friday Night Smash Delight #45</v>
      </c>
      <c r="V70" s="447">
        <f>countifs(Melee!$M:$M,"W",Melee!D:D,U70)</f>
        <v>1</v>
      </c>
      <c r="W70" s="446">
        <f>countifs(Melee!M:M,"L",Melee!D:D,U70)</f>
        <v>2</v>
      </c>
      <c r="X70">
        <f t="shared" si="1"/>
        <v>3</v>
      </c>
      <c r="Y70">
        <f t="shared" si="2"/>
        <v>3.695452236</v>
      </c>
    </row>
    <row r="71">
      <c r="A71" s="174"/>
      <c r="D71" s="174"/>
      <c r="E71" s="174"/>
      <c r="F71" s="174"/>
      <c r="G71" s="174"/>
      <c r="U71" t="str">
        <f>IFERROR(__xludf.DUMMYFUNCTION("""COMPUTED_VALUE"""),"Friday Night Smash Delight #48")</f>
        <v>Friday Night Smash Delight #48</v>
      </c>
      <c r="V71" s="447">
        <f>countifs(Melee!$M:$M,"W",Melee!D:D,U71)</f>
        <v>5</v>
      </c>
      <c r="W71" s="446">
        <f>countifs(Melee!M:M,"L",Melee!D:D,U71)</f>
        <v>2</v>
      </c>
      <c r="X71">
        <f t="shared" si="1"/>
        <v>7</v>
      </c>
      <c r="Y71">
        <f t="shared" si="2"/>
        <v>7.158766934</v>
      </c>
    </row>
    <row r="72">
      <c r="A72" s="174"/>
      <c r="D72" s="174"/>
      <c r="E72" s="174"/>
      <c r="F72" s="174"/>
      <c r="G72" s="174"/>
      <c r="U72" t="str">
        <f>IFERROR(__xludf.DUMMYFUNCTION("""COMPUTED_VALUE"""),"Friday Night Smash Delight #49")</f>
        <v>Friday Night Smash Delight #49</v>
      </c>
      <c r="V72" s="447">
        <f>countifs(Melee!$M:$M,"W",Melee!D:D,U72)</f>
        <v>4</v>
      </c>
      <c r="W72" s="446">
        <f>countifs(Melee!M:M,"L",Melee!D:D,U72)</f>
        <v>1</v>
      </c>
      <c r="X72">
        <f t="shared" si="1"/>
        <v>5</v>
      </c>
      <c r="Y72">
        <f t="shared" si="2"/>
        <v>5.344197899</v>
      </c>
    </row>
    <row r="73">
      <c r="A73" s="174"/>
      <c r="D73" s="174"/>
      <c r="E73" s="174"/>
      <c r="F73" s="174"/>
      <c r="G73" s="174"/>
      <c r="U73" t="str">
        <f>IFERROR(__xludf.DUMMYFUNCTION("""COMPUTED_VALUE"""),"Friday Night Smash Delight #50")</f>
        <v>Friday Night Smash Delight #50</v>
      </c>
      <c r="V73" s="447">
        <f>countifs(Melee!$M:$M,"W",Melee!D:D,U73)</f>
        <v>3</v>
      </c>
      <c r="W73" s="446">
        <f>countifs(Melee!M:M,"L",Melee!D:D,U73)</f>
        <v>2</v>
      </c>
      <c r="X73">
        <f t="shared" si="1"/>
        <v>5</v>
      </c>
      <c r="Y73">
        <f t="shared" si="2"/>
        <v>5.130680853</v>
      </c>
    </row>
    <row r="74">
      <c r="A74" s="174"/>
      <c r="D74" s="174"/>
      <c r="E74" s="174"/>
      <c r="F74" s="174"/>
      <c r="G74" s="174"/>
      <c r="U74" t="str">
        <f>IFERROR(__xludf.DUMMYFUNCTION("""COMPUTED_VALUE"""),"Friday Night Smash Delight #51")</f>
        <v>Friday Night Smash Delight #51</v>
      </c>
      <c r="V74" s="447">
        <f>countifs(Melee!$M:$M,"W",Melee!D:D,U74)</f>
        <v>4</v>
      </c>
      <c r="W74" s="446">
        <f>countifs(Melee!M:M,"L",Melee!D:D,U74)</f>
        <v>2</v>
      </c>
      <c r="X74">
        <f t="shared" si="1"/>
        <v>6</v>
      </c>
      <c r="Y74">
        <f t="shared" si="2"/>
        <v>6.540568676</v>
      </c>
    </row>
    <row r="75">
      <c r="A75" s="174"/>
      <c r="D75" s="174"/>
      <c r="E75" s="174"/>
      <c r="F75" s="174"/>
      <c r="G75" s="174"/>
      <c r="U75" t="str">
        <f>IFERROR(__xludf.DUMMYFUNCTION("""COMPUTED_VALUE"""),"Friday Night Smash Delight #56")</f>
        <v>Friday Night Smash Delight #56</v>
      </c>
      <c r="V75" s="447">
        <f>countifs(Melee!$M:$M,"W",Melee!D:D,U75)</f>
        <v>3</v>
      </c>
      <c r="W75" s="446">
        <f>countifs(Melee!M:M,"L",Melee!D:D,U75)</f>
        <v>2</v>
      </c>
      <c r="X75">
        <f t="shared" si="1"/>
        <v>5</v>
      </c>
      <c r="Y75">
        <f t="shared" si="2"/>
        <v>5.472984762</v>
      </c>
    </row>
    <row r="76">
      <c r="A76" s="174"/>
      <c r="D76" s="174"/>
      <c r="E76" s="174"/>
      <c r="F76" s="174"/>
      <c r="G76" s="174"/>
      <c r="U76" t="str">
        <f>IFERROR(__xludf.DUMMYFUNCTION("""COMPUTED_VALUE"""),"Friday Night Smash Delight #57")</f>
        <v>Friday Night Smash Delight #57</v>
      </c>
      <c r="V76" s="447">
        <f>countifs(Melee!$M:$M,"W",Melee!D:D,U76)</f>
        <v>3</v>
      </c>
      <c r="W76" s="446">
        <f>countifs(Melee!M:M,"L",Melee!D:D,U76)</f>
        <v>2</v>
      </c>
      <c r="X76">
        <f t="shared" si="1"/>
        <v>5</v>
      </c>
      <c r="Y76">
        <f t="shared" si="2"/>
        <v>5.148672474</v>
      </c>
    </row>
    <row r="77">
      <c r="A77" s="174"/>
      <c r="D77" s="174"/>
      <c r="E77" s="174"/>
      <c r="F77" s="174"/>
      <c r="G77" s="174"/>
      <c r="U77" t="str">
        <f>IFERROR(__xludf.DUMMYFUNCTION("""COMPUTED_VALUE"""),"Friday Night Smash Delight #58")</f>
        <v>Friday Night Smash Delight #58</v>
      </c>
      <c r="V77" s="447">
        <f>countifs(Melee!$M:$M,"W",Melee!D:D,U77)</f>
        <v>2</v>
      </c>
      <c r="W77" s="446">
        <f>countifs(Melee!M:M,"L",Melee!D:D,U77)</f>
        <v>2</v>
      </c>
      <c r="X77">
        <f t="shared" si="1"/>
        <v>4</v>
      </c>
      <c r="Y77">
        <f t="shared" si="2"/>
        <v>4.321959752</v>
      </c>
    </row>
    <row r="78">
      <c r="A78" s="174"/>
      <c r="D78" s="174"/>
      <c r="E78" s="174"/>
      <c r="F78" s="174"/>
      <c r="G78" s="174"/>
      <c r="U78" t="str">
        <f>IFERROR(__xludf.DUMMYFUNCTION("""COMPUTED_VALUE"""),"Friday Night Smash Delight #59")</f>
        <v>Friday Night Smash Delight #59</v>
      </c>
      <c r="V78" s="447">
        <f>countifs(Melee!$M:$M,"W",Melee!D:D,U78)</f>
        <v>2</v>
      </c>
      <c r="W78" s="446">
        <f>countifs(Melee!M:M,"L",Melee!D:D,U78)</f>
        <v>2</v>
      </c>
      <c r="X78">
        <f t="shared" si="1"/>
        <v>4</v>
      </c>
      <c r="Y78">
        <f t="shared" si="2"/>
        <v>4.794208627</v>
      </c>
    </row>
    <row r="79">
      <c r="A79" s="174"/>
      <c r="D79" s="174"/>
      <c r="E79" s="174"/>
      <c r="F79" s="174"/>
      <c r="G79" s="174"/>
      <c r="U79" t="str">
        <f>IFERROR(__xludf.DUMMYFUNCTION("""COMPUTED_VALUE"""),"Friday Night Smash Delight #62")</f>
        <v>Friday Night Smash Delight #62</v>
      </c>
      <c r="V79" s="447">
        <f>countifs(Melee!$M:$M,"W",Melee!D:D,U79)</f>
        <v>3</v>
      </c>
      <c r="W79" s="446">
        <f>countifs(Melee!M:M,"L",Melee!D:D,U79)</f>
        <v>2</v>
      </c>
      <c r="X79">
        <f t="shared" si="1"/>
        <v>5</v>
      </c>
      <c r="Y79">
        <f t="shared" si="2"/>
        <v>5.724997104</v>
      </c>
    </row>
    <row r="80">
      <c r="A80" s="174"/>
      <c r="D80" s="174"/>
      <c r="E80" s="174"/>
      <c r="F80" s="174"/>
      <c r="G80" s="174"/>
      <c r="U80" t="str">
        <f>IFERROR(__xludf.DUMMYFUNCTION("""COMPUTED_VALUE"""),"Friday Night Smash Delight #63")</f>
        <v>Friday Night Smash Delight #63</v>
      </c>
      <c r="V80" s="447">
        <f>countifs(Melee!$M:$M,"W",Melee!D:D,U80)</f>
        <v>2</v>
      </c>
      <c r="W80" s="446">
        <f>countifs(Melee!M:M,"L",Melee!D:D,U80)</f>
        <v>2</v>
      </c>
      <c r="X80">
        <f t="shared" si="1"/>
        <v>4</v>
      </c>
      <c r="Y80">
        <f t="shared" si="2"/>
        <v>4.488329011</v>
      </c>
    </row>
    <row r="81">
      <c r="A81" s="174"/>
      <c r="D81" s="174"/>
      <c r="E81" s="174"/>
      <c r="F81" s="174"/>
      <c r="G81" s="174"/>
      <c r="U81" t="str">
        <f>IFERROR(__xludf.DUMMYFUNCTION("""COMPUTED_VALUE"""),"Friday Night Smash Delight #64")</f>
        <v>Friday Night Smash Delight #64</v>
      </c>
      <c r="V81" s="447">
        <f>countifs(Melee!$M:$M,"W",Melee!D:D,U81)</f>
        <v>3</v>
      </c>
      <c r="W81" s="446">
        <f>countifs(Melee!M:M,"L",Melee!D:D,U81)</f>
        <v>2</v>
      </c>
      <c r="X81">
        <f t="shared" si="1"/>
        <v>5</v>
      </c>
      <c r="Y81">
        <f t="shared" si="2"/>
        <v>5.454933909</v>
      </c>
    </row>
    <row r="82">
      <c r="A82" s="174"/>
      <c r="D82" s="174"/>
      <c r="E82" s="174"/>
      <c r="F82" s="174"/>
      <c r="G82" s="174"/>
      <c r="U82" t="str">
        <f>IFERROR(__xludf.DUMMYFUNCTION("""COMPUTED_VALUE"""),"Friday Night Smash Delight #66")</f>
        <v>Friday Night Smash Delight #66</v>
      </c>
      <c r="V82" s="447">
        <f>countifs(Melee!$M:$M,"W",Melee!D:D,U82)</f>
        <v>6</v>
      </c>
      <c r="W82" s="446">
        <f>countifs(Melee!M:M,"L",Melee!D:D,U82)</f>
        <v>3</v>
      </c>
      <c r="X82">
        <f t="shared" si="1"/>
        <v>9</v>
      </c>
      <c r="Y82">
        <f t="shared" si="2"/>
        <v>9.415858658</v>
      </c>
    </row>
    <row r="83">
      <c r="A83" s="174"/>
      <c r="D83" s="174"/>
      <c r="E83" s="174"/>
      <c r="F83" s="174"/>
      <c r="G83" s="174"/>
      <c r="U83" t="str">
        <f>IFERROR(__xludf.DUMMYFUNCTION("""COMPUTED_VALUE"""),"Friday Night Smash Delight #69")</f>
        <v>Friday Night Smash Delight #69</v>
      </c>
      <c r="V83" s="447">
        <f>countifs(Melee!$M:$M,"W",Melee!D:D,U83)</f>
        <v>2</v>
      </c>
      <c r="W83" s="446">
        <f>countifs(Melee!M:M,"L",Melee!D:D,U83)</f>
        <v>2</v>
      </c>
      <c r="X83">
        <f t="shared" si="1"/>
        <v>4</v>
      </c>
      <c r="Y83">
        <f t="shared" si="2"/>
        <v>4.936431054</v>
      </c>
    </row>
    <row r="84">
      <c r="A84" s="174"/>
      <c r="D84" s="174"/>
      <c r="E84" s="174"/>
      <c r="F84" s="174"/>
      <c r="G84" s="174"/>
      <c r="U84" t="str">
        <f>IFERROR(__xludf.DUMMYFUNCTION("""COMPUTED_VALUE"""),"Friday Night Smash Delight #71")</f>
        <v>Friday Night Smash Delight #71</v>
      </c>
      <c r="V84" s="447">
        <f>countifs(Melee!$M:$M,"W",Melee!D:D,U84)</f>
        <v>2</v>
      </c>
      <c r="W84" s="446">
        <f>countifs(Melee!M:M,"L",Melee!D:D,U84)</f>
        <v>2</v>
      </c>
      <c r="X84">
        <f t="shared" si="1"/>
        <v>4</v>
      </c>
      <c r="Y84">
        <f t="shared" si="2"/>
        <v>4.160691899</v>
      </c>
    </row>
    <row r="85">
      <c r="A85" s="174"/>
      <c r="D85" s="174"/>
      <c r="E85" s="174"/>
      <c r="F85" s="174"/>
      <c r="G85" s="174"/>
      <c r="U85" t="str">
        <f>IFERROR(__xludf.DUMMYFUNCTION("""COMPUTED_VALUE"""),"Friday Night Smash Delight #72")</f>
        <v>Friday Night Smash Delight #72</v>
      </c>
      <c r="V85" s="447">
        <f>countifs(Melee!$M:$M,"W",Melee!D:D,U85)</f>
        <v>2</v>
      </c>
      <c r="W85" s="446">
        <f>countifs(Melee!M:M,"L",Melee!D:D,U85)</f>
        <v>2</v>
      </c>
      <c r="X85">
        <f t="shared" si="1"/>
        <v>4</v>
      </c>
      <c r="Y85">
        <f t="shared" si="2"/>
        <v>4.838881509</v>
      </c>
    </row>
    <row r="86">
      <c r="A86" s="174"/>
      <c r="D86" s="174"/>
      <c r="E86" s="174"/>
      <c r="F86" s="174"/>
      <c r="G86" s="174"/>
      <c r="U86" t="str">
        <f>IFERROR(__xludf.DUMMYFUNCTION("""COMPUTED_VALUE"""),"Friday Night Smash Delight 1")</f>
        <v>Friday Night Smash Delight 1</v>
      </c>
      <c r="V86" s="447">
        <f>countifs(Melee!$M:$M,"W",Melee!D:D,U86)</f>
        <v>0</v>
      </c>
      <c r="W86" s="446">
        <f>countifs(Melee!M:M,"L",Melee!D:D,U86)</f>
        <v>2</v>
      </c>
      <c r="X86">
        <f t="shared" si="1"/>
        <v>2</v>
      </c>
      <c r="Y86">
        <f t="shared" si="2"/>
        <v>2.577463142</v>
      </c>
    </row>
    <row r="87">
      <c r="A87" s="174"/>
      <c r="D87" s="174"/>
      <c r="E87" s="174"/>
      <c r="F87" s="174"/>
      <c r="G87" s="174"/>
      <c r="U87" t="str">
        <f>IFERROR(__xludf.DUMMYFUNCTION("""COMPUTED_VALUE"""),"Friday Night Smash Delight 2")</f>
        <v>Friday Night Smash Delight 2</v>
      </c>
      <c r="V87" s="447">
        <f>countifs(Melee!$M:$M,"W",Melee!D:D,U87)</f>
        <v>1</v>
      </c>
      <c r="W87" s="446">
        <f>countifs(Melee!M:M,"L",Melee!D:D,U87)</f>
        <v>2</v>
      </c>
      <c r="X87">
        <f t="shared" si="1"/>
        <v>3</v>
      </c>
      <c r="Y87">
        <f t="shared" si="2"/>
        <v>3.084828197</v>
      </c>
    </row>
    <row r="88">
      <c r="A88" s="174"/>
      <c r="D88" s="174"/>
      <c r="E88" s="174"/>
      <c r="F88" s="174"/>
      <c r="G88" s="174"/>
      <c r="U88" t="str">
        <f>IFERROR(__xludf.DUMMYFUNCTION("""COMPUTED_VALUE"""),"Friday Night Smash Delight 38")</f>
        <v>Friday Night Smash Delight 38</v>
      </c>
      <c r="V88" s="447">
        <f>countifs(Melee!$M:$M,"W",Melee!D:D,U88)</f>
        <v>3</v>
      </c>
      <c r="W88" s="446">
        <f>countifs(Melee!M:M,"L",Melee!D:D,U88)</f>
        <v>2</v>
      </c>
      <c r="X88">
        <f t="shared" si="1"/>
        <v>5</v>
      </c>
      <c r="Y88">
        <f t="shared" si="2"/>
        <v>5.840677639</v>
      </c>
    </row>
    <row r="89">
      <c r="A89" s="174"/>
      <c r="D89" s="174"/>
      <c r="E89" s="174"/>
      <c r="F89" s="174"/>
      <c r="G89" s="174"/>
      <c r="U89" t="str">
        <f>IFERROR(__xludf.DUMMYFUNCTION("""COMPUTED_VALUE"""),"Friday Night Smash Delight 39")</f>
        <v>Friday Night Smash Delight 39</v>
      </c>
      <c r="V89" s="447">
        <f>countifs(Melee!$M:$M,"W",Melee!D:D,U89)</f>
        <v>4</v>
      </c>
      <c r="W89" s="446">
        <f>countifs(Melee!M:M,"L",Melee!D:D,U89)</f>
        <v>2</v>
      </c>
      <c r="X89">
        <f t="shared" si="1"/>
        <v>6</v>
      </c>
      <c r="Y89">
        <f t="shared" si="2"/>
        <v>6.382952346</v>
      </c>
    </row>
    <row r="90">
      <c r="A90" s="174"/>
      <c r="D90" s="174"/>
      <c r="E90" s="174"/>
      <c r="F90" s="174"/>
      <c r="G90" s="174"/>
      <c r="U90" t="str">
        <f>IFERROR(__xludf.DUMMYFUNCTION("""COMPUTED_VALUE"""),"Friday Night Smash Delight 43")</f>
        <v>Friday Night Smash Delight 43</v>
      </c>
      <c r="V90" s="447">
        <f>countifs(Melee!$M:$M,"W",Melee!D:D,U90)</f>
        <v>3</v>
      </c>
      <c r="W90" s="446">
        <f>countifs(Melee!M:M,"L",Melee!D:D,U90)</f>
        <v>2</v>
      </c>
      <c r="X90">
        <f t="shared" si="1"/>
        <v>5</v>
      </c>
      <c r="Y90">
        <f t="shared" si="2"/>
        <v>5.817603629</v>
      </c>
    </row>
    <row r="91">
      <c r="A91" s="174"/>
      <c r="D91" s="174"/>
      <c r="E91" s="174"/>
      <c r="F91" s="174"/>
      <c r="G91" s="174"/>
      <c r="U91" t="str">
        <f>IFERROR(__xludf.DUMMYFUNCTION("""COMPUTED_VALUE"""),"Friday Night Smash Delight 44")</f>
        <v>Friday Night Smash Delight 44</v>
      </c>
      <c r="V91" s="447">
        <f>countifs(Melee!$M:$M,"W",Melee!D:D,U91)</f>
        <v>2</v>
      </c>
      <c r="W91" s="446">
        <f>countifs(Melee!M:M,"L",Melee!D:D,U91)</f>
        <v>2</v>
      </c>
      <c r="X91">
        <f t="shared" si="1"/>
        <v>4</v>
      </c>
      <c r="Y91">
        <f t="shared" si="2"/>
        <v>4.679150886</v>
      </c>
    </row>
    <row r="92">
      <c r="A92" s="174"/>
      <c r="D92" s="174"/>
      <c r="E92" s="174"/>
      <c r="F92" s="174"/>
      <c r="G92" s="174"/>
      <c r="U92" t="str">
        <f>IFERROR(__xludf.DUMMYFUNCTION("""COMPUTED_VALUE"""),"Friday Night Smash Delight 5")</f>
        <v>Friday Night Smash Delight 5</v>
      </c>
      <c r="V92" s="447">
        <f>countifs(Melee!$M:$M,"W",Melee!D:D,U92)</f>
        <v>2</v>
      </c>
      <c r="W92" s="446">
        <f>countifs(Melee!M:M,"L",Melee!D:D,U92)</f>
        <v>2</v>
      </c>
      <c r="X92">
        <f t="shared" si="1"/>
        <v>4</v>
      </c>
      <c r="Y92">
        <f t="shared" si="2"/>
        <v>4.992224977</v>
      </c>
    </row>
    <row r="93">
      <c r="A93" s="174"/>
      <c r="D93" s="174"/>
      <c r="E93" s="174"/>
      <c r="F93" s="174"/>
      <c r="G93" s="174"/>
      <c r="U93" t="str">
        <f>IFERROR(__xludf.DUMMYFUNCTION("""COMPUTED_VALUE"""),"Friday Night Smash Delight 6")</f>
        <v>Friday Night Smash Delight 6</v>
      </c>
      <c r="V93" s="447">
        <f>countifs(Melee!$M:$M,"W",Melee!D:D,U93)</f>
        <v>0</v>
      </c>
      <c r="W93" s="446">
        <f>countifs(Melee!M:M,"L",Melee!D:D,U93)</f>
        <v>2</v>
      </c>
      <c r="X93">
        <f t="shared" si="1"/>
        <v>2</v>
      </c>
      <c r="Y93">
        <f t="shared" si="2"/>
        <v>2.777471243</v>
      </c>
    </row>
    <row r="94">
      <c r="A94" s="174"/>
      <c r="D94" s="174"/>
      <c r="E94" s="174"/>
      <c r="F94" s="174"/>
      <c r="G94" s="174"/>
      <c r="U94" t="str">
        <f>IFERROR(__xludf.DUMMYFUNCTION("""COMPUTED_VALUE"""),"Friday Night Smash Delight 9")</f>
        <v>Friday Night Smash Delight 9</v>
      </c>
      <c r="V94" s="447">
        <f>countifs(Melee!$M:$M,"W",Melee!D:D,U94)</f>
        <v>1</v>
      </c>
      <c r="W94" s="446">
        <f>countifs(Melee!M:M,"L",Melee!D:D,U94)</f>
        <v>2</v>
      </c>
      <c r="X94">
        <f t="shared" si="1"/>
        <v>3</v>
      </c>
      <c r="Y94">
        <f t="shared" si="2"/>
        <v>3.402908742</v>
      </c>
    </row>
    <row r="95">
      <c r="A95" s="174"/>
      <c r="D95" s="174"/>
      <c r="E95" s="174"/>
      <c r="F95" s="174"/>
      <c r="G95" s="174"/>
      <c r="U95" t="str">
        <f>IFERROR(__xludf.DUMMYFUNCTION("""COMPUTED_VALUE"""),"Friday Night Smash Delight Before Showdown")</f>
        <v>Friday Night Smash Delight Before Showdown</v>
      </c>
      <c r="V95" s="447">
        <f>countifs(Melee!$M:$M,"W",Melee!D:D,U95)</f>
        <v>3</v>
      </c>
      <c r="W95" s="446">
        <f>countifs(Melee!M:M,"L",Melee!D:D,U95)</f>
        <v>2</v>
      </c>
      <c r="X95">
        <f t="shared" si="1"/>
        <v>5</v>
      </c>
      <c r="Y95">
        <f t="shared" si="2"/>
        <v>5.604752</v>
      </c>
    </row>
    <row r="96">
      <c r="A96" s="174"/>
      <c r="D96" s="174"/>
      <c r="E96" s="174"/>
      <c r="F96" s="174"/>
      <c r="G96" s="174"/>
      <c r="U96" t="str">
        <f>IFERROR(__xludf.DUMMYFUNCTION("""COMPUTED_VALUE"""),"Frostbite 2016")</f>
        <v>Frostbite 2016</v>
      </c>
      <c r="V96" s="447">
        <f>countifs(Melee!$M:$M,"W",Melee!D:D,U96)</f>
        <v>2</v>
      </c>
      <c r="W96" s="446">
        <f>countifs(Melee!M:M,"L",Melee!D:D,U96)</f>
        <v>3</v>
      </c>
      <c r="X96">
        <f t="shared" si="1"/>
        <v>5</v>
      </c>
      <c r="Y96">
        <f t="shared" si="2"/>
        <v>5.900256514</v>
      </c>
    </row>
    <row r="97">
      <c r="A97" s="174"/>
      <c r="D97" s="174"/>
      <c r="E97" s="174"/>
      <c r="F97" s="174"/>
      <c r="G97" s="174"/>
      <c r="U97" t="str">
        <f>IFERROR(__xludf.DUMMYFUNCTION("""COMPUTED_VALUE"""),"Gamer's Gauntlet 7/3/2016")</f>
        <v>Gamer's Gauntlet 7/3/2016</v>
      </c>
      <c r="V97" s="447">
        <f>countifs(Melee!$M:$M,"W",Melee!D:D,U97)</f>
        <v>2</v>
      </c>
      <c r="W97" s="446">
        <f>countifs(Melee!M:M,"L",Melee!D:D,U97)</f>
        <v>2</v>
      </c>
      <c r="X97">
        <f t="shared" si="1"/>
        <v>4</v>
      </c>
      <c r="Y97">
        <f t="shared" si="2"/>
        <v>4.359393247</v>
      </c>
    </row>
    <row r="98">
      <c r="A98" s="174"/>
      <c r="D98" s="174"/>
      <c r="E98" s="174"/>
      <c r="F98" s="174"/>
      <c r="G98" s="174"/>
      <c r="U98" t="str">
        <f>IFERROR(__xludf.DUMMYFUNCTION("""COMPUTED_VALUE"""),"Gamers for Giving 2017")</f>
        <v>Gamers for Giving 2017</v>
      </c>
      <c r="V98" s="447">
        <f>countifs(Melee!$M:$M,"W",Melee!D:D,U98)</f>
        <v>1</v>
      </c>
      <c r="W98" s="446">
        <f>countifs(Melee!M:M,"L",Melee!D:D,U98)</f>
        <v>2</v>
      </c>
      <c r="X98">
        <f t="shared" si="1"/>
        <v>3</v>
      </c>
      <c r="Y98">
        <f t="shared" si="2"/>
        <v>3.953610042</v>
      </c>
    </row>
    <row r="99">
      <c r="A99" s="174"/>
      <c r="D99" s="174"/>
      <c r="E99" s="174"/>
      <c r="F99" s="174"/>
      <c r="G99" s="174"/>
      <c r="U99" t="str">
        <f>IFERROR(__xludf.DUMMYFUNCTION("""COMPUTED_VALUE"""),"Gamers For Giving 2018")</f>
        <v>Gamers For Giving 2018</v>
      </c>
      <c r="V99" s="447">
        <f>countifs(Melee!$M:$M,"W",Melee!D:D,U99)</f>
        <v>2</v>
      </c>
      <c r="W99" s="446">
        <f>countifs(Melee!M:M,"L",Melee!D:D,U99)</f>
        <v>2</v>
      </c>
      <c r="X99">
        <f t="shared" si="1"/>
        <v>4</v>
      </c>
      <c r="Y99">
        <f t="shared" si="2"/>
        <v>4.917037983</v>
      </c>
    </row>
    <row r="100">
      <c r="A100" s="174"/>
      <c r="D100" s="174"/>
      <c r="E100" s="174"/>
      <c r="F100" s="174"/>
      <c r="G100" s="174"/>
      <c r="U100" t="str">
        <f>IFERROR(__xludf.DUMMYFUNCTION("""COMPUTED_VALUE"""),"Grand Valley Grand Prix #13")</f>
        <v>Grand Valley Grand Prix #13</v>
      </c>
      <c r="V100" s="447">
        <f>countifs(Melee!$M:$M,"W",Melee!D:D,U100)</f>
        <v>8</v>
      </c>
      <c r="W100" s="446">
        <f>countifs(Melee!M:M,"L",Melee!D:D,U100)</f>
        <v>2</v>
      </c>
      <c r="X100">
        <f t="shared" si="1"/>
        <v>10</v>
      </c>
      <c r="Y100">
        <f t="shared" si="2"/>
        <v>10.97021948</v>
      </c>
    </row>
    <row r="101">
      <c r="A101" s="174"/>
      <c r="D101" s="174"/>
      <c r="E101" s="174"/>
      <c r="F101" s="174"/>
      <c r="G101" s="174"/>
      <c r="U101" t="str">
        <f>IFERROR(__xludf.DUMMYFUNCTION("""COMPUTED_VALUE"""),"Here Be Mid Tiers 2")</f>
        <v>Here Be Mid Tiers 2</v>
      </c>
      <c r="V101" s="447">
        <f>countifs(Melee!$M:$M,"W",Melee!D:D,U101)</f>
        <v>7</v>
      </c>
      <c r="W101" s="446">
        <f>countifs(Melee!M:M,"L",Melee!D:D,U101)</f>
        <v>4</v>
      </c>
      <c r="X101">
        <f t="shared" si="1"/>
        <v>11</v>
      </c>
      <c r="Y101">
        <f t="shared" si="2"/>
        <v>11.07600356</v>
      </c>
    </row>
    <row r="102">
      <c r="A102" s="174"/>
      <c r="D102" s="174"/>
      <c r="E102" s="174"/>
      <c r="F102" s="174"/>
      <c r="G102" s="174"/>
      <c r="U102" t="str">
        <f>IFERROR(__xludf.DUMMYFUNCTION("""COMPUTED_VALUE"""),"Here Be Mid Tiers 3")</f>
        <v>Here Be Mid Tiers 3</v>
      </c>
      <c r="V102" s="447">
        <f>countifs(Melee!$M:$M,"W",Melee!D:D,U102)</f>
        <v>7</v>
      </c>
      <c r="W102" s="446">
        <f>countifs(Melee!M:M,"L",Melee!D:D,U102)</f>
        <v>4</v>
      </c>
      <c r="X102">
        <f t="shared" si="1"/>
        <v>11</v>
      </c>
      <c r="Y102">
        <f t="shared" si="2"/>
        <v>11.89113541</v>
      </c>
    </row>
    <row r="103">
      <c r="A103" s="174"/>
      <c r="D103" s="174"/>
      <c r="E103" s="174"/>
      <c r="F103" s="174"/>
      <c r="G103" s="174"/>
      <c r="U103" t="str">
        <f>IFERROR(__xludf.DUMMYFUNCTION("""COMPUTED_VALUE"""),"Here Be Mid Tiers 4")</f>
        <v>Here Be Mid Tiers 4</v>
      </c>
      <c r="V103" s="447">
        <f>countifs(Melee!$M:$M,"W",Melee!D:D,U103)</f>
        <v>6</v>
      </c>
      <c r="W103" s="446">
        <f>countifs(Melee!M:M,"L",Melee!D:D,U103)</f>
        <v>4</v>
      </c>
      <c r="X103">
        <f t="shared" si="1"/>
        <v>10</v>
      </c>
      <c r="Y103">
        <f t="shared" si="2"/>
        <v>10.365594</v>
      </c>
    </row>
    <row r="104">
      <c r="A104" s="174"/>
      <c r="D104" s="174"/>
      <c r="E104" s="174"/>
      <c r="F104" s="174"/>
      <c r="G104" s="174"/>
      <c r="U104" t="str">
        <f>IFERROR(__xludf.DUMMYFUNCTION("""COMPUTED_VALUE"""),"Here Be Mid Tiers 5")</f>
        <v>Here Be Mid Tiers 5</v>
      </c>
      <c r="V104" s="447">
        <f>countifs(Melee!$M:$M,"W",Melee!D:D,U104)</f>
        <v>4</v>
      </c>
      <c r="W104" s="446">
        <f>countifs(Melee!M:M,"L",Melee!D:D,U104)</f>
        <v>4</v>
      </c>
      <c r="X104">
        <f t="shared" si="1"/>
        <v>8</v>
      </c>
      <c r="Y104">
        <f t="shared" si="2"/>
        <v>8.709054533</v>
      </c>
    </row>
    <row r="105">
      <c r="A105" s="174"/>
      <c r="D105" s="174"/>
      <c r="E105" s="174"/>
      <c r="F105" s="174"/>
      <c r="G105" s="174"/>
      <c r="U105" t="str">
        <f>IFERROR(__xludf.DUMMYFUNCTION("""COMPUTED_VALUE"""),"Here be Mid Tiers 6")</f>
        <v>Here be Mid Tiers 6</v>
      </c>
      <c r="V105" s="447">
        <f>countifs(Melee!$M:$M,"W",Melee!D:D,U105)</f>
        <v>10</v>
      </c>
      <c r="W105" s="446">
        <f>countifs(Melee!M:M,"L",Melee!D:D,U105)</f>
        <v>5</v>
      </c>
      <c r="X105">
        <f t="shared" si="1"/>
        <v>15</v>
      </c>
      <c r="Y105">
        <f t="shared" si="2"/>
        <v>15.45411904</v>
      </c>
    </row>
    <row r="106">
      <c r="A106" s="174"/>
      <c r="D106" s="174"/>
      <c r="E106" s="174"/>
      <c r="F106" s="174"/>
      <c r="G106" s="174"/>
      <c r="U106" t="str">
        <f>IFERROR(__xludf.DUMMYFUNCTION("""COMPUTED_VALUE"""),"Here be Mid Tiers 7")</f>
        <v>Here be Mid Tiers 7</v>
      </c>
      <c r="V106" s="447">
        <f>countifs(Melee!$M:$M,"W",Melee!D:D,U106)</f>
        <v>5</v>
      </c>
      <c r="W106" s="446">
        <f>countifs(Melee!M:M,"L",Melee!D:D,U106)</f>
        <v>4</v>
      </c>
      <c r="X106">
        <f t="shared" si="1"/>
        <v>9</v>
      </c>
      <c r="Y106">
        <f t="shared" si="2"/>
        <v>9.547858742</v>
      </c>
    </row>
    <row r="107">
      <c r="A107" s="174"/>
      <c r="D107" s="174"/>
      <c r="E107" s="174"/>
      <c r="F107" s="174"/>
      <c r="G107" s="174"/>
      <c r="U107" t="str">
        <f>IFERROR(__xludf.DUMMYFUNCTION("""COMPUTED_VALUE"""),"Here Be Mid Tiers 8")</f>
        <v>Here Be Mid Tiers 8</v>
      </c>
      <c r="V107" s="447">
        <f>countifs(Melee!$M:$M,"W",Melee!D:D,U107)</f>
        <v>6</v>
      </c>
      <c r="W107" s="446">
        <f>countifs(Melee!M:M,"L",Melee!D:D,U107)</f>
        <v>4</v>
      </c>
      <c r="X107">
        <f t="shared" si="1"/>
        <v>10</v>
      </c>
      <c r="Y107">
        <f t="shared" si="2"/>
        <v>10.56432898</v>
      </c>
    </row>
    <row r="108">
      <c r="A108" s="174"/>
      <c r="D108" s="174"/>
      <c r="E108" s="174"/>
      <c r="F108" s="174"/>
      <c r="G108" s="174"/>
      <c r="U108" t="str">
        <f>IFERROR(__xludf.DUMMYFUNCTION("""COMPUTED_VALUE"""),"Here Be Mid Tiers 9")</f>
        <v>Here Be Mid Tiers 9</v>
      </c>
      <c r="V108" s="447">
        <f>countifs(Melee!$M:$M,"W",Melee!D:D,U108)</f>
        <v>4</v>
      </c>
      <c r="W108" s="446">
        <f>countifs(Melee!M:M,"L",Melee!D:D,U108)</f>
        <v>3</v>
      </c>
      <c r="X108">
        <f t="shared" si="1"/>
        <v>7</v>
      </c>
      <c r="Y108">
        <f t="shared" si="2"/>
        <v>7.349292887</v>
      </c>
    </row>
    <row r="109">
      <c r="A109" s="174"/>
      <c r="D109" s="174"/>
      <c r="E109" s="174"/>
      <c r="F109" s="174"/>
      <c r="G109" s="174"/>
      <c r="U109" t="str">
        <f>IFERROR(__xludf.DUMMYFUNCTION("""COMPUTED_VALUE"""),"Heroes: Ultimate Charity Launch Event")</f>
        <v>Heroes: Ultimate Charity Launch Event</v>
      </c>
      <c r="V109" s="447">
        <f>countifs(Melee!$M:$M,"W",Melee!D:D,U109)</f>
        <v>6</v>
      </c>
      <c r="W109" s="446">
        <f>countifs(Melee!M:M,"L",Melee!D:D,U109)</f>
        <v>2</v>
      </c>
      <c r="X109">
        <f t="shared" si="1"/>
        <v>8</v>
      </c>
      <c r="Y109">
        <f t="shared" si="2"/>
        <v>8.506462738</v>
      </c>
    </row>
    <row r="110">
      <c r="A110" s="174"/>
      <c r="D110" s="174"/>
      <c r="E110" s="174"/>
      <c r="F110" s="174"/>
      <c r="G110" s="174"/>
      <c r="U110" t="str">
        <f>IFERROR(__xludf.DUMMYFUNCTION("""COMPUTED_VALUE"""),"Holiday Heist 4")</f>
        <v>Holiday Heist 4</v>
      </c>
      <c r="V110" s="447">
        <f>countifs(Melee!$M:$M,"W",Melee!D:D,U110)</f>
        <v>4</v>
      </c>
      <c r="W110" s="446">
        <f>countifs(Melee!M:M,"L",Melee!D:D,U110)</f>
        <v>2</v>
      </c>
      <c r="X110">
        <f t="shared" si="1"/>
        <v>6</v>
      </c>
      <c r="Y110">
        <f t="shared" si="2"/>
        <v>6.842600464</v>
      </c>
    </row>
    <row r="111">
      <c r="A111" s="174"/>
      <c r="D111" s="174"/>
      <c r="E111" s="174"/>
      <c r="F111" s="174"/>
      <c r="G111" s="174"/>
      <c r="U111" t="str">
        <f>IFERROR(__xludf.DUMMYFUNCTION("""COMPUTED_VALUE"""),"Holiday Heist 5")</f>
        <v>Holiday Heist 5</v>
      </c>
      <c r="V111" s="447">
        <f>countifs(Melee!$M:$M,"W",Melee!D:D,U111)</f>
        <v>3</v>
      </c>
      <c r="W111" s="446">
        <f>countifs(Melee!M:M,"L",Melee!D:D,U111)</f>
        <v>2</v>
      </c>
      <c r="X111">
        <f t="shared" si="1"/>
        <v>5</v>
      </c>
      <c r="Y111">
        <f t="shared" si="2"/>
        <v>5.888237552</v>
      </c>
    </row>
    <row r="112">
      <c r="A112" s="174"/>
      <c r="D112" s="174"/>
      <c r="E112" s="174"/>
      <c r="F112" s="174"/>
      <c r="G112" s="174"/>
      <c r="U112" t="str">
        <f>IFERROR(__xludf.DUMMYFUNCTION("""COMPUTED_VALUE"""),"Infinity Gauntlet")</f>
        <v>Infinity Gauntlet</v>
      </c>
      <c r="V112" s="447">
        <f>countifs(Melee!$M:$M,"W",Melee!D:D,U112)</f>
        <v>5</v>
      </c>
      <c r="W112" s="446">
        <f>countifs(Melee!M:M,"L",Melee!D:D,U112)</f>
        <v>2</v>
      </c>
      <c r="X112">
        <f t="shared" si="1"/>
        <v>7</v>
      </c>
      <c r="Y112">
        <f t="shared" si="2"/>
        <v>7.907083807</v>
      </c>
    </row>
    <row r="113">
      <c r="A113" s="174"/>
      <c r="D113" s="174"/>
      <c r="E113" s="174"/>
      <c r="F113" s="174"/>
      <c r="G113" s="174"/>
      <c r="U113" t="str">
        <f>IFERROR(__xludf.DUMMYFUNCTION("""COMPUTED_VALUE"""),"Ju1ce Fest")</f>
        <v>Ju1ce Fest</v>
      </c>
      <c r="V113" s="447">
        <f>countifs(Melee!$M:$M,"W",Melee!D:D,U113)</f>
        <v>6</v>
      </c>
      <c r="W113" s="446">
        <f>countifs(Melee!M:M,"L",Melee!D:D,U113)</f>
        <v>3</v>
      </c>
      <c r="X113">
        <f t="shared" si="1"/>
        <v>9</v>
      </c>
      <c r="Y113">
        <f t="shared" si="2"/>
        <v>9.062546471</v>
      </c>
    </row>
    <row r="114">
      <c r="A114" s="174"/>
      <c r="D114" s="174"/>
      <c r="E114" s="174"/>
      <c r="F114" s="174"/>
      <c r="G114" s="174"/>
      <c r="U114" t="str">
        <f>IFERROR(__xludf.DUMMYFUNCTION("""COMPUTED_VALUE"""),"Lost in Space (Spacies Only)")</f>
        <v>Lost in Space (Spacies Only)</v>
      </c>
      <c r="V114" s="447">
        <f>countifs(Melee!$M:$M,"W",Melee!D:D,U114)</f>
        <v>0</v>
      </c>
      <c r="W114" s="446">
        <f>countifs(Melee!M:M,"L",Melee!D:D,U114)</f>
        <v>0</v>
      </c>
      <c r="X114">
        <f t="shared" si="1"/>
        <v>0</v>
      </c>
      <c r="Y114">
        <f t="shared" si="2"/>
        <v>0.2702009378</v>
      </c>
    </row>
    <row r="115">
      <c r="A115" s="174"/>
      <c r="D115" s="174"/>
      <c r="E115" s="174"/>
      <c r="F115" s="174"/>
      <c r="G115" s="174"/>
      <c r="U115" t="str">
        <f>IFERROR(__xludf.DUMMYFUNCTION("""COMPUTED_VALUE"""),"Megga 5")</f>
        <v>Megga 5</v>
      </c>
      <c r="V115" s="447">
        <f>countifs(Melee!$M:$M,"W",Melee!D:D,U115)</f>
        <v>4</v>
      </c>
      <c r="W115" s="446">
        <f>countifs(Melee!M:M,"L",Melee!D:D,U115)</f>
        <v>2</v>
      </c>
      <c r="X115">
        <f t="shared" si="1"/>
        <v>6</v>
      </c>
      <c r="Y115">
        <f t="shared" si="2"/>
        <v>6.373664836</v>
      </c>
    </row>
    <row r="116">
      <c r="A116" s="174"/>
      <c r="D116" s="174"/>
      <c r="E116" s="174"/>
      <c r="F116" s="174"/>
      <c r="G116" s="174"/>
      <c r="U116" t="str">
        <f>IFERROR(__xludf.DUMMYFUNCTION("""COMPUTED_VALUE"""),"Megga 8")</f>
        <v>Megga 8</v>
      </c>
      <c r="V116" s="447">
        <f>countifs(Melee!$M:$M,"W",Melee!D:D,U116)</f>
        <v>4</v>
      </c>
      <c r="W116" s="446">
        <f>countifs(Melee!M:M,"L",Melee!D:D,U116)</f>
        <v>2</v>
      </c>
      <c r="X116">
        <f t="shared" si="1"/>
        <v>6</v>
      </c>
      <c r="Y116">
        <f t="shared" si="2"/>
        <v>6.575306152</v>
      </c>
    </row>
    <row r="117">
      <c r="A117" s="174"/>
      <c r="D117" s="174"/>
      <c r="E117" s="174"/>
      <c r="F117" s="174"/>
      <c r="G117" s="174"/>
      <c r="U117" t="str">
        <f>IFERROR(__xludf.DUMMYFUNCTION("""COMPUTED_VALUE"""),"Melee Night Smash Delight")</f>
        <v>Melee Night Smash Delight</v>
      </c>
      <c r="V117" s="447">
        <f>countifs(Melee!$M:$M,"W",Melee!D:D,U117)</f>
        <v>1</v>
      </c>
      <c r="W117" s="446">
        <f>countifs(Melee!M:M,"L",Melee!D:D,U117)</f>
        <v>2</v>
      </c>
      <c r="X117">
        <f t="shared" si="1"/>
        <v>3</v>
      </c>
      <c r="Y117">
        <f t="shared" si="2"/>
        <v>3.098310714</v>
      </c>
    </row>
    <row r="118">
      <c r="A118" s="174"/>
      <c r="D118" s="174"/>
      <c r="E118" s="174"/>
      <c r="F118" s="174"/>
      <c r="G118" s="174"/>
      <c r="U118" t="str">
        <f>IFERROR(__xludf.DUMMYFUNCTION("""COMPUTED_VALUE"""),"Melee Night Smash Delight #52")</f>
        <v>Melee Night Smash Delight #52</v>
      </c>
      <c r="V118" s="447">
        <f>countifs(Melee!$M:$M,"W",Melee!D:D,U118)</f>
        <v>2</v>
      </c>
      <c r="W118" s="446">
        <f>countifs(Melee!M:M,"L",Melee!D:D,U118)</f>
        <v>2</v>
      </c>
      <c r="X118">
        <f t="shared" si="1"/>
        <v>4</v>
      </c>
      <c r="Y118">
        <f t="shared" si="2"/>
        <v>4.579464364</v>
      </c>
    </row>
    <row r="119">
      <c r="A119" s="174"/>
      <c r="D119" s="174"/>
      <c r="E119" s="174"/>
      <c r="F119" s="174"/>
      <c r="G119" s="174"/>
      <c r="U119" t="str">
        <f>IFERROR(__xludf.DUMMYFUNCTION("""COMPUTED_VALUE"""),"Melee Night Smash Delight #53")</f>
        <v>Melee Night Smash Delight #53</v>
      </c>
      <c r="V119" s="447">
        <f>countifs(Melee!$M:$M,"W",Melee!D:D,U119)</f>
        <v>1</v>
      </c>
      <c r="W119" s="446">
        <f>countifs(Melee!M:M,"L",Melee!D:D,U119)</f>
        <v>2</v>
      </c>
      <c r="X119">
        <f t="shared" si="1"/>
        <v>3</v>
      </c>
      <c r="Y119">
        <f t="shared" si="2"/>
        <v>3.126499016</v>
      </c>
    </row>
    <row r="120">
      <c r="A120" s="174"/>
      <c r="D120" s="174"/>
      <c r="E120" s="174"/>
      <c r="F120" s="174"/>
      <c r="G120" s="174"/>
      <c r="U120" t="str">
        <f>IFERROR(__xludf.DUMMYFUNCTION("""COMPUTED_VALUE"""),"Michigan Arcadian 4")</f>
        <v>Michigan Arcadian 4</v>
      </c>
      <c r="V120" s="447">
        <f>countifs(Melee!$M:$M,"W",Melee!D:D,U120)</f>
        <v>3</v>
      </c>
      <c r="W120" s="446">
        <f>countifs(Melee!M:M,"L",Melee!D:D,U120)</f>
        <v>4</v>
      </c>
      <c r="X120">
        <f t="shared" si="1"/>
        <v>7</v>
      </c>
      <c r="Y120">
        <f t="shared" si="2"/>
        <v>7.744518935</v>
      </c>
    </row>
    <row r="121">
      <c r="A121" s="174"/>
      <c r="D121" s="174"/>
      <c r="E121" s="174"/>
      <c r="F121" s="174"/>
      <c r="G121" s="174"/>
      <c r="U121" t="str">
        <f>IFERROR(__xludf.DUMMYFUNCTION("""COMPUTED_VALUE"""),"Michigan Arcadian 6")</f>
        <v>Michigan Arcadian 6</v>
      </c>
      <c r="V121" s="447">
        <f>countifs(Melee!$M:$M,"W",Melee!D:D,U121)</f>
        <v>4</v>
      </c>
      <c r="W121" s="446">
        <f>countifs(Melee!M:M,"L",Melee!D:D,U121)</f>
        <v>3</v>
      </c>
      <c r="X121">
        <f t="shared" si="1"/>
        <v>7</v>
      </c>
      <c r="Y121">
        <f t="shared" si="2"/>
        <v>7.256935326</v>
      </c>
    </row>
    <row r="122">
      <c r="A122" s="174"/>
      <c r="D122" s="174"/>
      <c r="E122" s="174"/>
      <c r="F122" s="174"/>
      <c r="G122" s="174"/>
      <c r="U122" t="str">
        <f>IFERROR(__xludf.DUMMYFUNCTION("""COMPUTED_VALUE"""),"Michigan Arcadian 7: Spartain Stadium Arcadian 2")</f>
        <v>Michigan Arcadian 7: Spartain Stadium Arcadian 2</v>
      </c>
      <c r="V122" s="447">
        <f>countifs(Melee!$M:$M,"W",Melee!D:D,U122)</f>
        <v>9</v>
      </c>
      <c r="W122" s="446">
        <f>countifs(Melee!M:M,"L",Melee!D:D,U122)</f>
        <v>3</v>
      </c>
      <c r="X122">
        <f t="shared" si="1"/>
        <v>12</v>
      </c>
      <c r="Y122">
        <f t="shared" si="2"/>
        <v>12.9209982</v>
      </c>
    </row>
    <row r="123">
      <c r="A123" s="174"/>
      <c r="D123" s="174"/>
      <c r="E123" s="174"/>
      <c r="F123" s="174"/>
      <c r="G123" s="174"/>
      <c r="U123" t="str">
        <f>IFERROR(__xludf.DUMMYFUNCTION("""COMPUTED_VALUE"""),"Michigan Melee Arcadian: Winter 2020 Edition")</f>
        <v>Michigan Melee Arcadian: Winter 2020 Edition</v>
      </c>
      <c r="V123" s="447">
        <f>countifs(Melee!$M:$M,"W",Melee!D:D,U123)</f>
        <v>7</v>
      </c>
      <c r="W123" s="446">
        <f>countifs(Melee!M:M,"L",Melee!D:D,U123)</f>
        <v>3</v>
      </c>
      <c r="X123">
        <f t="shared" si="1"/>
        <v>10</v>
      </c>
      <c r="Y123">
        <f t="shared" si="2"/>
        <v>10.00150619</v>
      </c>
    </row>
    <row r="124">
      <c r="A124" s="174"/>
      <c r="D124" s="174"/>
      <c r="E124" s="174"/>
      <c r="F124" s="174"/>
      <c r="G124" s="174"/>
      <c r="U124" t="str">
        <f>IFERROR(__xludf.DUMMYFUNCTION("""COMPUTED_VALUE"""),"Michigan Seasonal Series: Winter")</f>
        <v>Michigan Seasonal Series: Winter</v>
      </c>
      <c r="V124" s="447">
        <f>countifs(Melee!$M:$M,"W",Melee!D:D,U124)</f>
        <v>2</v>
      </c>
      <c r="W124" s="446">
        <f>countifs(Melee!M:M,"L",Melee!D:D,U124)</f>
        <v>4</v>
      </c>
      <c r="X124">
        <f t="shared" si="1"/>
        <v>6</v>
      </c>
      <c r="Y124">
        <f t="shared" si="2"/>
        <v>6.617357689</v>
      </c>
    </row>
    <row r="125">
      <c r="A125" s="174"/>
      <c r="D125" s="174"/>
      <c r="E125" s="174"/>
      <c r="F125" s="174"/>
      <c r="G125" s="174"/>
      <c r="U125" t="str">
        <f>IFERROR(__xludf.DUMMYFUNCTION("""COMPUTED_VALUE"""),"Motor City Smackdown")</f>
        <v>Motor City Smackdown</v>
      </c>
      <c r="V125" s="447">
        <f>countifs(Melee!$M:$M,"W",Melee!D:D,U125)</f>
        <v>13</v>
      </c>
      <c r="W125" s="446">
        <f>countifs(Melee!M:M,"L",Melee!D:D,U125)</f>
        <v>3</v>
      </c>
      <c r="X125">
        <f t="shared" si="1"/>
        <v>16</v>
      </c>
      <c r="Y125">
        <f t="shared" si="2"/>
        <v>16.90264817</v>
      </c>
    </row>
    <row r="126">
      <c r="A126" s="174"/>
      <c r="D126" s="174"/>
      <c r="E126" s="174"/>
      <c r="F126" s="174"/>
      <c r="G126" s="174"/>
      <c r="U126" t="str">
        <f>IFERROR(__xludf.DUMMYFUNCTION("""COMPUTED_VALUE"""),"MXP Presents: Here Be Mid Tiers")</f>
        <v>MXP Presents: Here Be Mid Tiers</v>
      </c>
      <c r="V126" s="447">
        <f>countifs(Melee!$M:$M,"W",Melee!D:D,U126)</f>
        <v>6</v>
      </c>
      <c r="W126" s="446">
        <f>countifs(Melee!M:M,"L",Melee!D:D,U126)</f>
        <v>5</v>
      </c>
      <c r="X126">
        <f t="shared" si="1"/>
        <v>11</v>
      </c>
      <c r="Y126">
        <f t="shared" si="2"/>
        <v>11.43494892</v>
      </c>
    </row>
    <row r="127">
      <c r="A127" s="174"/>
      <c r="D127" s="174"/>
      <c r="E127" s="174"/>
      <c r="F127" s="174"/>
      <c r="G127" s="174"/>
      <c r="U127" t="str">
        <f>IFERROR(__xludf.DUMMYFUNCTION("""COMPUTED_VALUE"""),"NGL Presents: Melee Summer of Smash Vol #1")</f>
        <v>NGL Presents: Melee Summer of Smash Vol #1</v>
      </c>
      <c r="V127" s="447">
        <f>countifs(Melee!$M:$M,"W",Melee!D:D,U127)</f>
        <v>3</v>
      </c>
      <c r="W127" s="446">
        <f>countifs(Melee!M:M,"L",Melee!D:D,U127)</f>
        <v>2</v>
      </c>
      <c r="X127">
        <f t="shared" si="1"/>
        <v>5</v>
      </c>
      <c r="Y127">
        <f t="shared" si="2"/>
        <v>5.606059988</v>
      </c>
    </row>
    <row r="128">
      <c r="A128" s="174"/>
      <c r="D128" s="174"/>
      <c r="E128" s="174"/>
      <c r="F128" s="174"/>
      <c r="G128" s="174"/>
      <c r="U128" t="str">
        <f>IFERROR(__xludf.DUMMYFUNCTION("""COMPUTED_VALUE"""),"Not In My House")</f>
        <v>Not In My House</v>
      </c>
      <c r="V128" s="447">
        <f>countifs(Melee!$M:$M,"W",Melee!D:D,U128)</f>
        <v>3</v>
      </c>
      <c r="W128" s="446">
        <f>countifs(Melee!M:M,"L",Melee!D:D,U128)</f>
        <v>5</v>
      </c>
      <c r="X128">
        <f t="shared" si="1"/>
        <v>8</v>
      </c>
      <c r="Y128">
        <f t="shared" si="2"/>
        <v>8.336084873</v>
      </c>
    </row>
    <row r="129">
      <c r="A129" s="174"/>
      <c r="D129" s="174"/>
      <c r="E129" s="174"/>
      <c r="F129" s="174"/>
      <c r="G129" s="174"/>
      <c r="U129" t="str">
        <f>IFERROR(__xludf.DUMMYFUNCTION("""COMPUTED_VALUE"""),"PBR #4")</f>
        <v>PBR #4</v>
      </c>
      <c r="V129" s="447">
        <f>countifs(Melee!$M:$M,"W",Melee!D:D,U129)</f>
        <v>2</v>
      </c>
      <c r="W129" s="446">
        <f>countifs(Melee!M:M,"L",Melee!D:D,U129)</f>
        <v>2</v>
      </c>
      <c r="X129">
        <f t="shared" si="1"/>
        <v>4</v>
      </c>
      <c r="Y129">
        <f t="shared" si="2"/>
        <v>4.730023438</v>
      </c>
    </row>
    <row r="130">
      <c r="A130" s="174"/>
      <c r="D130" s="174"/>
      <c r="E130" s="174"/>
      <c r="F130" s="174"/>
      <c r="G130" s="174"/>
      <c r="U130" t="str">
        <f>IFERROR(__xludf.DUMMYFUNCTION("""COMPUTED_VALUE"""),"PrEVO")</f>
        <v>PrEVO</v>
      </c>
      <c r="V130" s="447">
        <f>countifs(Melee!$M:$M,"W",Melee!D:D,U130)</f>
        <v>1</v>
      </c>
      <c r="W130" s="446">
        <f>countifs(Melee!M:M,"L",Melee!D:D,U130)</f>
        <v>6</v>
      </c>
      <c r="X130">
        <f t="shared" si="1"/>
        <v>7</v>
      </c>
      <c r="Y130">
        <f t="shared" si="2"/>
        <v>7.218362472</v>
      </c>
    </row>
    <row r="131">
      <c r="A131" s="174"/>
      <c r="D131" s="174"/>
      <c r="E131" s="174"/>
      <c r="F131" s="174"/>
      <c r="G131" s="174"/>
      <c r="U131" t="str">
        <f>IFERROR(__xludf.DUMMYFUNCTION("""COMPUTED_VALUE"""),"Revel and Rumble")</f>
        <v>Revel and Rumble</v>
      </c>
      <c r="V131" s="447">
        <f>countifs(Melee!$M:$M,"W",Melee!D:D,U131)</f>
        <v>3</v>
      </c>
      <c r="W131" s="446">
        <f>countifs(Melee!M:M,"L",Melee!D:D,U131)</f>
        <v>2</v>
      </c>
      <c r="X131">
        <f t="shared" si="1"/>
        <v>5</v>
      </c>
      <c r="Y131">
        <f t="shared" si="2"/>
        <v>5.002809032</v>
      </c>
    </row>
    <row r="132">
      <c r="A132" s="174"/>
      <c r="D132" s="174"/>
      <c r="E132" s="174"/>
      <c r="F132" s="174"/>
      <c r="G132" s="174"/>
      <c r="U132" t="str">
        <f>IFERROR(__xludf.DUMMYFUNCTION("""COMPUTED_VALUE"""),"S@SH")</f>
        <v>S@SH</v>
      </c>
      <c r="V132" s="447">
        <f>countifs(Melee!$M:$M,"W",Melee!D:D,U132)</f>
        <v>2</v>
      </c>
      <c r="W132" s="446">
        <f>countifs(Melee!M:M,"L",Melee!D:D,U132)</f>
        <v>2</v>
      </c>
      <c r="X132">
        <f t="shared" si="1"/>
        <v>4</v>
      </c>
      <c r="Y132">
        <f t="shared" si="2"/>
        <v>4.778354136</v>
      </c>
    </row>
    <row r="133">
      <c r="A133" s="174"/>
      <c r="D133" s="174"/>
      <c r="E133" s="174"/>
      <c r="F133" s="174"/>
      <c r="G133" s="174"/>
      <c r="U133" t="str">
        <f>IFERROR(__xludf.DUMMYFUNCTION("""COMPUTED_VALUE"""),"S@SH #10")</f>
        <v>S@SH #10</v>
      </c>
      <c r="V133" s="447">
        <f>countifs(Melee!$M:$M,"W",Melee!D:D,U133)</f>
        <v>4</v>
      </c>
      <c r="W133" s="446">
        <f>countifs(Melee!M:M,"L",Melee!D:D,U133)</f>
        <v>2</v>
      </c>
      <c r="X133">
        <f t="shared" si="1"/>
        <v>6</v>
      </c>
      <c r="Y133">
        <f t="shared" si="2"/>
        <v>6.163174943</v>
      </c>
    </row>
    <row r="134">
      <c r="A134" s="174"/>
      <c r="D134" s="174"/>
      <c r="E134" s="174"/>
      <c r="F134" s="174"/>
      <c r="G134" s="174"/>
      <c r="U134" t="str">
        <f>IFERROR(__xludf.DUMMYFUNCTION("""COMPUTED_VALUE"""),"S@SH 12")</f>
        <v>S@SH 12</v>
      </c>
      <c r="V134" s="447">
        <f>countifs(Melee!$M:$M,"W",Melee!D:D,U134)</f>
        <v>2</v>
      </c>
      <c r="W134" s="446">
        <f>countifs(Melee!M:M,"L",Melee!D:D,U134)</f>
        <v>2</v>
      </c>
      <c r="X134">
        <f t="shared" si="1"/>
        <v>4</v>
      </c>
      <c r="Y134">
        <f t="shared" si="2"/>
        <v>4.36287321</v>
      </c>
    </row>
    <row r="135">
      <c r="A135" s="174"/>
      <c r="D135" s="174"/>
      <c r="E135" s="174"/>
      <c r="F135" s="174"/>
      <c r="G135" s="174"/>
      <c r="U135" t="str">
        <f>IFERROR(__xludf.DUMMYFUNCTION("""COMPUTED_VALUE"""),"S@SH 17")</f>
        <v>S@SH 17</v>
      </c>
      <c r="V135" s="447">
        <f>countifs(Melee!$M:$M,"W",Melee!D:D,U135)</f>
        <v>2</v>
      </c>
      <c r="W135" s="446">
        <f>countifs(Melee!M:M,"L",Melee!D:D,U135)</f>
        <v>2</v>
      </c>
      <c r="X135">
        <f t="shared" si="1"/>
        <v>4</v>
      </c>
      <c r="Y135">
        <f t="shared" si="2"/>
        <v>4.838362817</v>
      </c>
    </row>
    <row r="136">
      <c r="A136" s="174"/>
      <c r="D136" s="174"/>
      <c r="E136" s="174"/>
      <c r="F136" s="174"/>
      <c r="G136" s="174"/>
      <c r="U136" t="str">
        <f>IFERROR(__xludf.DUMMYFUNCTION("""COMPUTED_VALUE"""),"S@SH 6")</f>
        <v>S@SH 6</v>
      </c>
      <c r="V136" s="447">
        <f>countifs(Melee!$M:$M,"W",Melee!D:D,U136)</f>
        <v>3</v>
      </c>
      <c r="W136" s="446">
        <f>countifs(Melee!M:M,"L",Melee!D:D,U136)</f>
        <v>2</v>
      </c>
      <c r="X136">
        <f t="shared" si="1"/>
        <v>5</v>
      </c>
      <c r="Y136">
        <f t="shared" si="2"/>
        <v>5.692849648</v>
      </c>
    </row>
    <row r="137">
      <c r="A137" s="174"/>
      <c r="D137" s="174"/>
      <c r="E137" s="174"/>
      <c r="F137" s="174"/>
      <c r="G137" s="174"/>
      <c r="U137" t="str">
        <f>IFERROR(__xludf.DUMMYFUNCTION("""COMPUTED_VALUE"""),"S@SH 8")</f>
        <v>S@SH 8</v>
      </c>
      <c r="V137" s="447">
        <f>countifs(Melee!$M:$M,"W",Melee!D:D,U137)</f>
        <v>4</v>
      </c>
      <c r="W137" s="446">
        <f>countifs(Melee!M:M,"L",Melee!D:D,U137)</f>
        <v>2</v>
      </c>
      <c r="X137">
        <f t="shared" si="1"/>
        <v>6</v>
      </c>
      <c r="Y137">
        <f t="shared" si="2"/>
        <v>6.522414116</v>
      </c>
    </row>
    <row r="138">
      <c r="A138" s="174"/>
      <c r="D138" s="174"/>
      <c r="E138" s="174"/>
      <c r="F138" s="174"/>
      <c r="G138" s="174"/>
      <c r="U138" t="str">
        <f>IFERROR(__xludf.DUMMYFUNCTION("""COMPUTED_VALUE"""),"S@SH7")</f>
        <v>S@SH7</v>
      </c>
      <c r="V138" s="447">
        <f>countifs(Melee!$M:$M,"W",Melee!D:D,U138)</f>
        <v>4</v>
      </c>
      <c r="W138" s="446">
        <f>countifs(Melee!M:M,"L",Melee!D:D,U138)</f>
        <v>2</v>
      </c>
      <c r="X138">
        <f t="shared" si="1"/>
        <v>6</v>
      </c>
      <c r="Y138">
        <f t="shared" si="2"/>
        <v>6.285652472</v>
      </c>
    </row>
    <row r="139">
      <c r="A139" s="174"/>
      <c r="D139" s="174"/>
      <c r="E139" s="174"/>
      <c r="F139" s="174"/>
      <c r="G139" s="174"/>
      <c r="U139" t="str">
        <f>IFERROR(__xludf.DUMMYFUNCTION("""COMPUTED_VALUE"""),"S@SH7 ")</f>
        <v>S@SH7 </v>
      </c>
      <c r="V139" s="447">
        <f>countifs(Melee!$M:$M,"W",Melee!D:D,U139)</f>
        <v>1</v>
      </c>
      <c r="W139" s="446">
        <f>countifs(Melee!M:M,"L",Melee!D:D,U139)</f>
        <v>0</v>
      </c>
      <c r="X139">
        <f t="shared" si="1"/>
        <v>1</v>
      </c>
      <c r="Y139">
        <f t="shared" si="2"/>
        <v>1.008866814</v>
      </c>
    </row>
    <row r="140">
      <c r="A140" s="174"/>
      <c r="D140" s="174"/>
      <c r="E140" s="174"/>
      <c r="F140" s="174"/>
      <c r="G140" s="174"/>
      <c r="U140" t="str">
        <f>IFERROR(__xludf.DUMMYFUNCTION("""COMPUTED_VALUE"""),"Shogunate")</f>
        <v>Shogunate</v>
      </c>
      <c r="V140" s="447">
        <f>countifs(Melee!$M:$M,"W",Melee!D:D,U140)</f>
        <v>9</v>
      </c>
      <c r="W140" s="446">
        <f>countifs(Melee!M:M,"L",Melee!D:D,U140)</f>
        <v>5</v>
      </c>
      <c r="X140">
        <f t="shared" si="1"/>
        <v>14</v>
      </c>
      <c r="Y140">
        <f t="shared" si="2"/>
        <v>14.64431391</v>
      </c>
    </row>
    <row r="141">
      <c r="A141" s="174"/>
      <c r="D141" s="174"/>
      <c r="E141" s="174"/>
      <c r="F141" s="174"/>
      <c r="G141" s="174"/>
      <c r="U141" t="str">
        <f>IFERROR(__xludf.DUMMYFUNCTION("""COMPUTED_VALUE"""),"Showdown 3")</f>
        <v>Showdown 3</v>
      </c>
      <c r="V141" s="447">
        <f>countifs(Melee!$M:$M,"W",Melee!D:D,U141)</f>
        <v>8</v>
      </c>
      <c r="W141" s="446">
        <f>countifs(Melee!M:M,"L",Melee!D:D,U141)</f>
        <v>2</v>
      </c>
      <c r="X141">
        <f t="shared" si="1"/>
        <v>10</v>
      </c>
      <c r="Y141">
        <f t="shared" si="2"/>
        <v>10.21035615</v>
      </c>
    </row>
    <row r="142">
      <c r="A142" s="174"/>
      <c r="D142" s="174"/>
      <c r="E142" s="174"/>
      <c r="F142" s="174"/>
      <c r="G142" s="174"/>
      <c r="U142" t="str">
        <f>IFERROR(__xludf.DUMMYFUNCTION("""COMPUTED_VALUE"""),"Smash N' Chill")</f>
        <v>Smash N' Chill</v>
      </c>
      <c r="V142" s="447">
        <f>countifs(Melee!$M:$M,"W",Melee!D:D,U142)</f>
        <v>1</v>
      </c>
      <c r="W142" s="446">
        <f>countifs(Melee!M:M,"L",Melee!D:D,U142)</f>
        <v>2</v>
      </c>
      <c r="X142">
        <f t="shared" si="1"/>
        <v>3</v>
      </c>
      <c r="Y142">
        <f t="shared" si="2"/>
        <v>3.890024371</v>
      </c>
    </row>
    <row r="143">
      <c r="A143" s="174"/>
      <c r="D143" s="174"/>
      <c r="E143" s="174"/>
      <c r="F143" s="174"/>
      <c r="G143" s="174"/>
      <c r="U143" t="str">
        <f>IFERROR(__xludf.DUMMYFUNCTION("""COMPUTED_VALUE"""),"Smash N' Chill 2 (Day 1)")</f>
        <v>Smash N' Chill 2 (Day 1)</v>
      </c>
      <c r="V143" s="447">
        <f>countifs(Melee!$M:$M,"W",Melee!D:D,U143)</f>
        <v>3</v>
      </c>
      <c r="W143" s="446">
        <f>countifs(Melee!M:M,"L",Melee!D:D,U143)</f>
        <v>3</v>
      </c>
      <c r="X143">
        <f t="shared" si="1"/>
        <v>6</v>
      </c>
      <c r="Y143">
        <f t="shared" si="2"/>
        <v>6.388375994</v>
      </c>
    </row>
    <row r="144">
      <c r="A144" s="174"/>
      <c r="D144" s="174"/>
      <c r="E144" s="174"/>
      <c r="F144" s="174"/>
      <c r="G144" s="174"/>
      <c r="U144" t="str">
        <f>IFERROR(__xludf.DUMMYFUNCTION("""COMPUTED_VALUE"""),"Smash N' Chill 2 (Day 2)")</f>
        <v>Smash N' Chill 2 (Day 2)</v>
      </c>
      <c r="V144" s="447">
        <f>countifs(Melee!$M:$M,"W",Melee!D:D,U144)</f>
        <v>0</v>
      </c>
      <c r="W144" s="446">
        <f>countifs(Melee!M:M,"L",Melee!D:D,U144)</f>
        <v>2</v>
      </c>
      <c r="X144">
        <f t="shared" si="1"/>
        <v>2</v>
      </c>
      <c r="Y144">
        <f t="shared" si="2"/>
        <v>2.316577892</v>
      </c>
    </row>
    <row r="145">
      <c r="A145" s="174"/>
      <c r="D145" s="174"/>
      <c r="E145" s="174"/>
      <c r="F145" s="174"/>
      <c r="G145" s="174"/>
      <c r="U145" t="str">
        <f>IFERROR(__xludf.DUMMYFUNCTION("""COMPUTED_VALUE"""),"Smash or Die 10")</f>
        <v>Smash or Die 10</v>
      </c>
      <c r="V145" s="447">
        <f>countifs(Melee!$M:$M,"W",Melee!D:D,U145)</f>
        <v>6</v>
      </c>
      <c r="W145" s="446">
        <f>countifs(Melee!M:M,"L",Melee!D:D,U145)</f>
        <v>2</v>
      </c>
      <c r="X145">
        <f t="shared" si="1"/>
        <v>8</v>
      </c>
      <c r="Y145">
        <f t="shared" si="2"/>
        <v>8.975122283</v>
      </c>
    </row>
    <row r="146">
      <c r="A146" s="174"/>
      <c r="D146" s="174"/>
      <c r="E146" s="174"/>
      <c r="F146" s="174"/>
      <c r="G146" s="174"/>
      <c r="U146" t="str">
        <f>IFERROR(__xludf.DUMMYFUNCTION("""COMPUTED_VALUE"""),"Smash or Die 11")</f>
        <v>Smash or Die 11</v>
      </c>
      <c r="V146" s="447">
        <f>countifs(Melee!$M:$M,"W",Melee!D:D,U146)</f>
        <v>2</v>
      </c>
      <c r="W146" s="446">
        <f>countifs(Melee!M:M,"L",Melee!D:D,U146)</f>
        <v>2</v>
      </c>
      <c r="X146">
        <f t="shared" si="1"/>
        <v>4</v>
      </c>
      <c r="Y146">
        <f t="shared" si="2"/>
        <v>4.186882589</v>
      </c>
    </row>
    <row r="147">
      <c r="A147" s="174"/>
      <c r="D147" s="174"/>
      <c r="E147" s="174"/>
      <c r="F147" s="174"/>
      <c r="G147" s="174"/>
      <c r="U147" t="str">
        <f>IFERROR(__xludf.DUMMYFUNCTION("""COMPUTED_VALUE"""),"Smash or Die 12")</f>
        <v>Smash or Die 12</v>
      </c>
      <c r="V147" s="447">
        <f>countifs(Melee!$M:$M,"W",Melee!D:D,U147)</f>
        <v>3</v>
      </c>
      <c r="W147" s="446">
        <f>countifs(Melee!M:M,"L",Melee!D:D,U147)</f>
        <v>2</v>
      </c>
      <c r="X147">
        <f t="shared" si="1"/>
        <v>5</v>
      </c>
      <c r="Y147">
        <f t="shared" si="2"/>
        <v>5.592225358</v>
      </c>
    </row>
    <row r="148">
      <c r="A148" s="174"/>
      <c r="D148" s="174"/>
      <c r="E148" s="174"/>
      <c r="F148" s="174"/>
      <c r="G148" s="174"/>
      <c r="U148" t="str">
        <f>IFERROR(__xludf.DUMMYFUNCTION("""COMPUTED_VALUE"""),"Smash or Die 13")</f>
        <v>Smash or Die 13</v>
      </c>
      <c r="V148" s="447">
        <f>countifs(Melee!$M:$M,"W",Melee!D:D,U148)</f>
        <v>5</v>
      </c>
      <c r="W148" s="446">
        <f>countifs(Melee!M:M,"L",Melee!D:D,U148)</f>
        <v>2</v>
      </c>
      <c r="X148">
        <f t="shared" si="1"/>
        <v>7</v>
      </c>
      <c r="Y148">
        <f t="shared" si="2"/>
        <v>7.082560084</v>
      </c>
    </row>
    <row r="149">
      <c r="A149" s="174"/>
      <c r="D149" s="174"/>
      <c r="E149" s="174"/>
      <c r="F149" s="174"/>
      <c r="G149" s="174"/>
      <c r="U149" t="str">
        <f>IFERROR(__xludf.DUMMYFUNCTION("""COMPUTED_VALUE"""),"Smash or Die 14")</f>
        <v>Smash or Die 14</v>
      </c>
      <c r="V149" s="447">
        <f>countifs(Melee!$M:$M,"W",Melee!D:D,U149)</f>
        <v>2</v>
      </c>
      <c r="W149" s="446">
        <f>countifs(Melee!M:M,"L",Melee!D:D,U149)</f>
        <v>2</v>
      </c>
      <c r="X149">
        <f t="shared" si="1"/>
        <v>4</v>
      </c>
      <c r="Y149">
        <f t="shared" si="2"/>
        <v>4.645199782</v>
      </c>
    </row>
    <row r="150">
      <c r="A150" s="174"/>
      <c r="D150" s="174"/>
      <c r="E150" s="174"/>
      <c r="F150" s="174"/>
      <c r="G150" s="174"/>
      <c r="U150" t="str">
        <f>IFERROR(__xludf.DUMMYFUNCTION("""COMPUTED_VALUE"""),"Smash or Die 2")</f>
        <v>Smash or Die 2</v>
      </c>
      <c r="V150" s="447">
        <f>countifs(Melee!$M:$M,"W",Melee!D:D,U150)</f>
        <v>2</v>
      </c>
      <c r="W150" s="446">
        <f>countifs(Melee!M:M,"L",Melee!D:D,U150)</f>
        <v>2</v>
      </c>
      <c r="X150">
        <f t="shared" si="1"/>
        <v>4</v>
      </c>
      <c r="Y150">
        <f t="shared" si="2"/>
        <v>4.884018955</v>
      </c>
    </row>
    <row r="151">
      <c r="A151" s="174"/>
      <c r="D151" s="174"/>
      <c r="E151" s="174"/>
      <c r="F151" s="174"/>
      <c r="G151" s="174"/>
      <c r="U151" t="str">
        <f>IFERROR(__xludf.DUMMYFUNCTION("""COMPUTED_VALUE"""),"Smash or Die 4")</f>
        <v>Smash or Die 4</v>
      </c>
      <c r="V151" s="447">
        <f>countifs(Melee!$M:$M,"W",Melee!D:D,U151)</f>
        <v>3</v>
      </c>
      <c r="W151" s="446">
        <f>countifs(Melee!M:M,"L",Melee!D:D,U151)</f>
        <v>2</v>
      </c>
      <c r="X151">
        <f t="shared" si="1"/>
        <v>5</v>
      </c>
      <c r="Y151">
        <f t="shared" si="2"/>
        <v>5.225135114</v>
      </c>
    </row>
    <row r="152">
      <c r="A152" s="174"/>
      <c r="D152" s="174"/>
      <c r="E152" s="174"/>
      <c r="F152" s="174"/>
      <c r="G152" s="174"/>
      <c r="U152" t="str">
        <f>IFERROR(__xludf.DUMMYFUNCTION("""COMPUTED_VALUE"""),"Smash or Die 5")</f>
        <v>Smash or Die 5</v>
      </c>
      <c r="V152" s="447">
        <f>countifs(Melee!$M:$M,"W",Melee!D:D,U152)</f>
        <v>3</v>
      </c>
      <c r="W152" s="446">
        <f>countifs(Melee!M:M,"L",Melee!D:D,U152)</f>
        <v>2</v>
      </c>
      <c r="X152">
        <f t="shared" si="1"/>
        <v>5</v>
      </c>
      <c r="Y152">
        <f t="shared" si="2"/>
        <v>5.391801914</v>
      </c>
    </row>
    <row r="153">
      <c r="A153" s="174"/>
      <c r="D153" s="174"/>
      <c r="E153" s="174"/>
      <c r="F153" s="174"/>
      <c r="G153" s="174"/>
      <c r="U153" t="str">
        <f>IFERROR(__xludf.DUMMYFUNCTION("""COMPUTED_VALUE"""),"Smash or Die 6")</f>
        <v>Smash or Die 6</v>
      </c>
      <c r="V153" s="447">
        <f>countifs(Melee!$M:$M,"W",Melee!D:D,U153)</f>
        <v>2</v>
      </c>
      <c r="W153" s="446">
        <f>countifs(Melee!M:M,"L",Melee!D:D,U153)</f>
        <v>2</v>
      </c>
      <c r="X153">
        <f t="shared" si="1"/>
        <v>4</v>
      </c>
      <c r="Y153">
        <f t="shared" si="2"/>
        <v>4.598685491</v>
      </c>
    </row>
    <row r="154">
      <c r="A154" s="174"/>
      <c r="D154" s="174"/>
      <c r="E154" s="174"/>
      <c r="F154" s="174"/>
      <c r="G154" s="174"/>
      <c r="U154" t="str">
        <f>IFERROR(__xludf.DUMMYFUNCTION("""COMPUTED_VALUE"""),"Smash or Die 7")</f>
        <v>Smash or Die 7</v>
      </c>
      <c r="V154" s="447">
        <f>countifs(Melee!$M:$M,"W",Melee!D:D,U154)</f>
        <v>3</v>
      </c>
      <c r="W154" s="446">
        <f>countifs(Melee!M:M,"L",Melee!D:D,U154)</f>
        <v>2</v>
      </c>
      <c r="X154">
        <f t="shared" si="1"/>
        <v>5</v>
      </c>
      <c r="Y154">
        <f t="shared" si="2"/>
        <v>5.107700798</v>
      </c>
    </row>
    <row r="155">
      <c r="A155" s="174"/>
      <c r="D155" s="174"/>
      <c r="E155" s="174"/>
      <c r="F155" s="174"/>
      <c r="G155" s="174"/>
      <c r="U155" t="str">
        <f>IFERROR(__xludf.DUMMYFUNCTION("""COMPUTED_VALUE"""),"Smash or Die 8")</f>
        <v>Smash or Die 8</v>
      </c>
      <c r="V155" s="447">
        <f>countifs(Melee!$M:$M,"W",Melee!D:D,U155)</f>
        <v>5</v>
      </c>
      <c r="W155" s="446">
        <f>countifs(Melee!M:M,"L",Melee!D:D,U155)</f>
        <v>2</v>
      </c>
      <c r="X155">
        <f t="shared" si="1"/>
        <v>7</v>
      </c>
      <c r="Y155">
        <f t="shared" si="2"/>
        <v>7.572576751</v>
      </c>
    </row>
    <row r="156">
      <c r="A156" s="174"/>
      <c r="D156" s="174"/>
      <c r="E156" s="174"/>
      <c r="F156" s="174"/>
      <c r="G156" s="174"/>
      <c r="U156" t="str">
        <f>IFERROR(__xludf.DUMMYFUNCTION("""COMPUTED_VALUE"""),"Smash or Die 9")</f>
        <v>Smash or Die 9</v>
      </c>
      <c r="V156" s="447">
        <f>countifs(Melee!$M:$M,"W",Melee!D:D,U156)</f>
        <v>5</v>
      </c>
      <c r="W156" s="446">
        <f>countifs(Melee!M:M,"L",Melee!D:D,U156)</f>
        <v>2</v>
      </c>
      <c r="X156">
        <f t="shared" si="1"/>
        <v>7</v>
      </c>
      <c r="Y156">
        <f t="shared" si="2"/>
        <v>7.448958542</v>
      </c>
    </row>
    <row r="157">
      <c r="A157" s="174"/>
      <c r="D157" s="174"/>
      <c r="E157" s="174"/>
      <c r="F157" s="174"/>
      <c r="G157" s="174"/>
      <c r="U157" t="str">
        <f>IFERROR(__xludf.DUMMYFUNCTION("""COMPUTED_VALUE"""),"Smashproof #2")</f>
        <v>Smashproof #2</v>
      </c>
      <c r="V157" s="447">
        <f>countifs(Melee!$M:$M,"W",Melee!D:D,U157)</f>
        <v>3</v>
      </c>
      <c r="W157" s="446">
        <f>countifs(Melee!M:M,"L",Melee!D:D,U157)</f>
        <v>2</v>
      </c>
      <c r="X157">
        <f t="shared" si="1"/>
        <v>5</v>
      </c>
      <c r="Y157">
        <f t="shared" si="2"/>
        <v>5.629052804</v>
      </c>
    </row>
    <row r="158">
      <c r="A158" s="174"/>
      <c r="D158" s="174"/>
      <c r="E158" s="174"/>
      <c r="F158" s="174"/>
      <c r="G158" s="174"/>
      <c r="U158" t="str">
        <f>IFERROR(__xludf.DUMMYFUNCTION("""COMPUTED_VALUE"""),"Smashproof#1")</f>
        <v>Smashproof#1</v>
      </c>
      <c r="V158" s="447">
        <f>countifs(Melee!$M:$M,"W",Melee!D:D,U158)</f>
        <v>4</v>
      </c>
      <c r="W158" s="446">
        <f>countifs(Melee!M:M,"L",Melee!D:D,U158)</f>
        <v>0</v>
      </c>
      <c r="X158">
        <f t="shared" si="1"/>
        <v>4</v>
      </c>
      <c r="Y158">
        <f t="shared" si="2"/>
        <v>4.859311169</v>
      </c>
    </row>
    <row r="159">
      <c r="A159" s="174"/>
      <c r="D159" s="174"/>
      <c r="E159" s="174"/>
      <c r="F159" s="174"/>
      <c r="G159" s="174"/>
      <c r="U159" t="str">
        <f>IFERROR(__xludf.DUMMYFUNCTION("""COMPUTED_VALUE"""),"SSBMSU2")</f>
        <v>SSBMSU2</v>
      </c>
      <c r="V159" s="447">
        <f>countifs(Melee!$M:$M,"W",Melee!D:D,U159)</f>
        <v>2</v>
      </c>
      <c r="W159" s="446">
        <f>countifs(Melee!M:M,"L",Melee!D:D,U159)</f>
        <v>5</v>
      </c>
      <c r="X159">
        <f t="shared" si="1"/>
        <v>7</v>
      </c>
      <c r="Y159">
        <f t="shared" si="2"/>
        <v>7.233966242</v>
      </c>
    </row>
    <row r="160">
      <c r="A160" s="174"/>
      <c r="D160" s="174"/>
      <c r="E160" s="174"/>
      <c r="F160" s="174"/>
      <c r="G160" s="174"/>
      <c r="U160" t="str">
        <f>IFERROR(__xludf.DUMMYFUNCTION("""COMPUTED_VALUE"""),"SWEET 29 Ft. Swedish Delight")</f>
        <v>SWEET 29 Ft. Swedish Delight</v>
      </c>
      <c r="V160" s="447">
        <f>countifs(Melee!$M:$M,"W",Melee!D:D,U160)</f>
        <v>5</v>
      </c>
      <c r="W160" s="446">
        <f>countifs(Melee!M:M,"L",Melee!D:D,U160)</f>
        <v>2</v>
      </c>
      <c r="X160">
        <f t="shared" si="1"/>
        <v>7</v>
      </c>
      <c r="Y160">
        <f t="shared" si="2"/>
        <v>7.860766163</v>
      </c>
    </row>
    <row r="161">
      <c r="A161" s="174"/>
      <c r="D161" s="174"/>
      <c r="E161" s="174"/>
      <c r="F161" s="174"/>
      <c r="G161" s="174"/>
      <c r="U161" t="str">
        <f>IFERROR(__xludf.DUMMYFUNCTION("""COMPUTED_VALUE"""),"Sweet XXI")</f>
        <v>Sweet XXI</v>
      </c>
      <c r="V161" s="447">
        <f>countifs(Melee!$M:$M,"W",Melee!D:D,U161)</f>
        <v>0</v>
      </c>
      <c r="W161" s="446">
        <f>countifs(Melee!M:M,"L",Melee!D:D,U161)</f>
        <v>2</v>
      </c>
      <c r="X161">
        <f t="shared" si="1"/>
        <v>2</v>
      </c>
      <c r="Y161">
        <f t="shared" si="2"/>
        <v>2.800246225</v>
      </c>
    </row>
    <row r="162">
      <c r="A162" s="174"/>
      <c r="D162" s="174"/>
      <c r="E162" s="174"/>
      <c r="F162" s="174"/>
      <c r="G162" s="174"/>
      <c r="U162" t="str">
        <f>IFERROR(__xludf.DUMMYFUNCTION("""COMPUTED_VALUE"""),"SWEET XXV")</f>
        <v>SWEET XXV</v>
      </c>
      <c r="V162" s="447">
        <f>countifs(Melee!$M:$M,"W",Melee!D:D,U162)</f>
        <v>3</v>
      </c>
      <c r="W162" s="446">
        <f>countifs(Melee!M:M,"L",Melee!D:D,U162)</f>
        <v>2</v>
      </c>
      <c r="X162">
        <f t="shared" si="1"/>
        <v>5</v>
      </c>
      <c r="Y162">
        <f t="shared" si="2"/>
        <v>5.029591544</v>
      </c>
    </row>
    <row r="163">
      <c r="A163" s="174"/>
      <c r="D163" s="174"/>
      <c r="E163" s="174"/>
      <c r="F163" s="174"/>
      <c r="G163" s="174"/>
      <c r="U163" t="str">
        <f>IFERROR(__xludf.DUMMYFUNCTION("""COMPUTED_VALUE"""),"SWEET XXVI")</f>
        <v>SWEET XXVI</v>
      </c>
      <c r="V163" s="447">
        <f>countifs(Melee!$M:$M,"W",Melee!D:D,U163)</f>
        <v>2</v>
      </c>
      <c r="W163" s="446">
        <f>countifs(Melee!M:M,"L",Melee!D:D,U163)</f>
        <v>2</v>
      </c>
      <c r="X163">
        <f t="shared" si="1"/>
        <v>4</v>
      </c>
      <c r="Y163">
        <f t="shared" si="2"/>
        <v>4.767538489</v>
      </c>
    </row>
    <row r="164">
      <c r="A164" s="174"/>
      <c r="D164" s="174"/>
      <c r="E164" s="174"/>
      <c r="F164" s="174"/>
      <c r="G164" s="174"/>
      <c r="U164" t="str">
        <f>IFERROR(__xludf.DUMMYFUNCTION("""COMPUTED_VALUE"""),"SWEET XXVII")</f>
        <v>SWEET XXVII</v>
      </c>
      <c r="V164" s="447">
        <f>countifs(Melee!$M:$M,"W",Melee!D:D,U164)</f>
        <v>2</v>
      </c>
      <c r="W164" s="446">
        <f>countifs(Melee!M:M,"L",Melee!D:D,U164)</f>
        <v>3</v>
      </c>
      <c r="X164">
        <f t="shared" si="1"/>
        <v>5</v>
      </c>
      <c r="Y164">
        <f t="shared" si="2"/>
        <v>5.414357795</v>
      </c>
    </row>
    <row r="165">
      <c r="A165" s="174"/>
      <c r="D165" s="174"/>
      <c r="E165" s="174"/>
      <c r="F165" s="174"/>
      <c r="G165" s="174"/>
      <c r="U165" t="str">
        <f>IFERROR(__xludf.DUMMYFUNCTION("""COMPUTED_VALUE"""),"SWEET XXVIII")</f>
        <v>SWEET XXVIII</v>
      </c>
      <c r="V165" s="447">
        <f>countifs(Melee!$M:$M,"W",Melee!D:D,U165)</f>
        <v>5</v>
      </c>
      <c r="W165" s="446">
        <f>countifs(Melee!M:M,"L",Melee!D:D,U165)</f>
        <v>3</v>
      </c>
      <c r="X165">
        <f t="shared" si="1"/>
        <v>8</v>
      </c>
      <c r="Y165">
        <f t="shared" si="2"/>
        <v>8.345821196</v>
      </c>
    </row>
    <row r="166">
      <c r="A166" s="174"/>
      <c r="D166" s="174"/>
      <c r="E166" s="174"/>
      <c r="F166" s="174"/>
      <c r="G166" s="174"/>
      <c r="U166" t="str">
        <f>IFERROR(__xludf.DUMMYFUNCTION("""COMPUTED_VALUE"""),"SWEET XXX")</f>
        <v>SWEET XXX</v>
      </c>
      <c r="V166" s="447">
        <f>countifs(Melee!$M:$M,"W",Melee!D:D,U166)</f>
        <v>6</v>
      </c>
      <c r="W166" s="446">
        <f>countifs(Melee!M:M,"L",Melee!D:D,U166)</f>
        <v>3</v>
      </c>
      <c r="X166">
        <f t="shared" si="1"/>
        <v>9</v>
      </c>
      <c r="Y166">
        <f t="shared" si="2"/>
        <v>9.794004592</v>
      </c>
    </row>
    <row r="167">
      <c r="A167" s="174"/>
      <c r="D167" s="174"/>
      <c r="E167" s="174"/>
      <c r="F167" s="174"/>
      <c r="G167" s="174"/>
      <c r="U167" t="str">
        <f>IFERROR(__xludf.DUMMYFUNCTION("""COMPUTED_VALUE"""),"SWEET XXXI ft. Zain and Cobol")</f>
        <v>SWEET XXXI ft. Zain and Cobol</v>
      </c>
      <c r="V167" s="447">
        <f>countifs(Melee!$M:$M,"W",Melee!D:D,U167)</f>
        <v>1</v>
      </c>
      <c r="W167" s="446">
        <f>countifs(Melee!M:M,"L",Melee!D:D,U167)</f>
        <v>3</v>
      </c>
      <c r="X167">
        <f t="shared" si="1"/>
        <v>4</v>
      </c>
      <c r="Y167">
        <f t="shared" si="2"/>
        <v>4.019297446</v>
      </c>
    </row>
    <row r="168">
      <c r="A168" s="174"/>
      <c r="D168" s="174"/>
      <c r="E168" s="174"/>
      <c r="F168" s="174"/>
      <c r="G168" s="174"/>
      <c r="U168" t="str">
        <f>IFERROR(__xludf.DUMMYFUNCTION("""COMPUTED_VALUE"""),"The 5th Michigan Arcadian")</f>
        <v>The 5th Michigan Arcadian</v>
      </c>
      <c r="V168" s="447">
        <f>countifs(Melee!$M:$M,"W",Melee!D:D,U168)</f>
        <v>6</v>
      </c>
      <c r="W168" s="446">
        <f>countifs(Melee!M:M,"L",Melee!D:D,U168)</f>
        <v>4</v>
      </c>
      <c r="X168">
        <f t="shared" si="1"/>
        <v>10</v>
      </c>
      <c r="Y168">
        <f t="shared" si="2"/>
        <v>10.91640152</v>
      </c>
    </row>
    <row r="169">
      <c r="A169" s="174"/>
      <c r="D169" s="174"/>
      <c r="E169" s="174"/>
      <c r="F169" s="174"/>
      <c r="G169" s="174"/>
      <c r="U169" t="str">
        <f>IFERROR(__xludf.DUMMYFUNCTION("""COMPUTED_VALUE"""),"The Big House 6")</f>
        <v>The Big House 6</v>
      </c>
      <c r="V169" s="447">
        <f>countifs(Melee!$M:$M,"W",Melee!D:D,U169)</f>
        <v>3</v>
      </c>
      <c r="W169" s="446">
        <f>countifs(Melee!M:M,"L",Melee!D:D,U169)</f>
        <v>2</v>
      </c>
      <c r="X169">
        <f t="shared" si="1"/>
        <v>5</v>
      </c>
      <c r="Y169">
        <f t="shared" si="2"/>
        <v>5.660011589</v>
      </c>
    </row>
    <row r="170">
      <c r="A170" s="174"/>
      <c r="D170" s="174"/>
      <c r="E170" s="174"/>
      <c r="F170" s="174"/>
      <c r="G170" s="174"/>
      <c r="U170" t="str">
        <f>IFERROR(__xludf.DUMMYFUNCTION("""COMPUTED_VALUE"""),"The Big House 7")</f>
        <v>The Big House 7</v>
      </c>
      <c r="V170" s="447">
        <f>countifs(Melee!$M:$M,"W",Melee!D:D,U170)</f>
        <v>3</v>
      </c>
      <c r="W170" s="446">
        <f>countifs(Melee!M:M,"L",Melee!D:D,U170)</f>
        <v>2</v>
      </c>
      <c r="X170">
        <f t="shared" si="1"/>
        <v>5</v>
      </c>
      <c r="Y170">
        <f t="shared" si="2"/>
        <v>5.994959964</v>
      </c>
    </row>
    <row r="171">
      <c r="A171" s="174"/>
      <c r="D171" s="174"/>
      <c r="E171" s="174"/>
      <c r="F171" s="174"/>
      <c r="G171" s="174"/>
      <c r="U171" t="str">
        <f>IFERROR(__xludf.DUMMYFUNCTION("""COMPUTED_VALUE"""),"The Big House 8")</f>
        <v>The Big House 8</v>
      </c>
      <c r="V171" s="447">
        <f>countifs(Melee!$M:$M,"W",Melee!D:D,U171)</f>
        <v>3</v>
      </c>
      <c r="W171" s="446">
        <f>countifs(Melee!M:M,"L",Melee!D:D,U171)</f>
        <v>2</v>
      </c>
      <c r="X171">
        <f t="shared" si="1"/>
        <v>5</v>
      </c>
      <c r="Y171">
        <f t="shared" si="2"/>
        <v>5.442224139</v>
      </c>
    </row>
    <row r="172">
      <c r="A172" s="174"/>
      <c r="D172" s="174"/>
      <c r="E172" s="174"/>
      <c r="F172" s="174"/>
      <c r="G172" s="174"/>
      <c r="U172" t="str">
        <f>IFERROR(__xludf.DUMMYFUNCTION("""COMPUTED_VALUE"""),"The Big House 9")</f>
        <v>The Big House 9</v>
      </c>
      <c r="V172" s="447">
        <f>countifs(Melee!$M:$M,"W",Melee!D:D,U172)</f>
        <v>2</v>
      </c>
      <c r="W172" s="446">
        <f>countifs(Melee!M:M,"L",Melee!D:D,U172)</f>
        <v>2</v>
      </c>
      <c r="X172">
        <f t="shared" si="1"/>
        <v>4</v>
      </c>
      <c r="Y172">
        <f t="shared" si="2"/>
        <v>4.070386811</v>
      </c>
    </row>
    <row r="173">
      <c r="A173" s="174"/>
      <c r="D173" s="174"/>
      <c r="E173" s="174"/>
      <c r="F173" s="174"/>
      <c r="G173" s="174"/>
      <c r="U173" t="str">
        <f>IFERROR(__xludf.DUMMYFUNCTION("""COMPUTED_VALUE"""),"The Iliad")</f>
        <v>The Iliad</v>
      </c>
      <c r="V173" s="447">
        <f>countifs(Melee!$M:$M,"W",Melee!D:D,U173)</f>
        <v>3</v>
      </c>
      <c r="W173" s="446">
        <f>countifs(Melee!M:M,"L",Melee!D:D,U173)</f>
        <v>2</v>
      </c>
      <c r="X173">
        <f t="shared" si="1"/>
        <v>5</v>
      </c>
      <c r="Y173">
        <f t="shared" si="2"/>
        <v>5.953020763</v>
      </c>
    </row>
    <row r="174">
      <c r="A174" s="174"/>
      <c r="D174" s="174"/>
      <c r="E174" s="174"/>
      <c r="F174" s="174"/>
      <c r="G174" s="174"/>
      <c r="U174" t="str">
        <f>IFERROR(__xludf.DUMMYFUNCTION("""COMPUTED_VALUE"""),"The Iliad 14")</f>
        <v>The Iliad 14</v>
      </c>
      <c r="V174" s="447">
        <f>countifs(Melee!$M:$M,"W",Melee!D:D,U174)</f>
        <v>4</v>
      </c>
      <c r="W174" s="446">
        <f>countifs(Melee!M:M,"L",Melee!D:D,U174)</f>
        <v>2</v>
      </c>
      <c r="X174">
        <f t="shared" si="1"/>
        <v>6</v>
      </c>
      <c r="Y174">
        <f t="shared" si="2"/>
        <v>6.680123084</v>
      </c>
    </row>
    <row r="175">
      <c r="A175" s="174"/>
      <c r="D175" s="174"/>
      <c r="E175" s="174"/>
      <c r="F175" s="174"/>
      <c r="G175" s="174"/>
      <c r="U175" t="str">
        <f>IFERROR(__xludf.DUMMYFUNCTION("""COMPUTED_VALUE"""),"The Iliad 4")</f>
        <v>The Iliad 4</v>
      </c>
      <c r="V175" s="447">
        <f>countifs(Melee!$M:$M,"W",Melee!D:D,U175)</f>
        <v>2</v>
      </c>
      <c r="W175" s="446">
        <f>countifs(Melee!M:M,"L",Melee!D:D,U175)</f>
        <v>2</v>
      </c>
      <c r="X175">
        <f t="shared" si="1"/>
        <v>4</v>
      </c>
      <c r="Y175">
        <f t="shared" si="2"/>
        <v>4.376965117</v>
      </c>
    </row>
    <row r="176">
      <c r="A176" s="174"/>
      <c r="D176" s="174"/>
      <c r="E176" s="174"/>
      <c r="F176" s="174"/>
      <c r="G176" s="174"/>
      <c r="U176" t="str">
        <f>IFERROR(__xludf.DUMMYFUNCTION("""COMPUTED_VALUE"""),"The Iliad 6")</f>
        <v>The Iliad 6</v>
      </c>
      <c r="V176" s="447">
        <f>countifs(Melee!$M:$M,"W",Melee!D:D,U176)</f>
        <v>3</v>
      </c>
      <c r="W176" s="446">
        <f>countifs(Melee!M:M,"L",Melee!D:D,U176)</f>
        <v>2</v>
      </c>
      <c r="X176">
        <f t="shared" si="1"/>
        <v>5</v>
      </c>
      <c r="Y176">
        <f t="shared" si="2"/>
        <v>5.698485589</v>
      </c>
    </row>
    <row r="177">
      <c r="A177" s="174"/>
      <c r="D177" s="174"/>
      <c r="E177" s="174"/>
      <c r="F177" s="174"/>
      <c r="G177" s="174"/>
      <c r="U177" t="str">
        <f>IFERROR(__xludf.DUMMYFUNCTION("""COMPUTED_VALUE"""),"The Mitten Midway DX")</f>
        <v>The Mitten Midway DX</v>
      </c>
      <c r="V177" s="447">
        <f>countifs(Melee!$M:$M,"W",Melee!D:D,U177)</f>
        <v>8</v>
      </c>
      <c r="W177" s="446">
        <f>countifs(Melee!M:M,"L",Melee!D:D,U177)</f>
        <v>6</v>
      </c>
      <c r="X177">
        <f t="shared" si="1"/>
        <v>14</v>
      </c>
      <c r="Y177">
        <f t="shared" si="2"/>
        <v>14.19849662</v>
      </c>
    </row>
    <row r="178">
      <c r="A178" s="174"/>
      <c r="D178" s="174"/>
      <c r="E178" s="174"/>
      <c r="F178" s="174"/>
      <c r="G178" s="174"/>
      <c r="U178" t="str">
        <f>IFERROR(__xludf.DUMMYFUNCTION("""COMPUTED_VALUE"""),"The National Arcadian")</f>
        <v>The National Arcadian</v>
      </c>
      <c r="V178" s="447">
        <f>countifs(Melee!$M:$M,"W",Melee!D:D,U178)</f>
        <v>2</v>
      </c>
      <c r="W178" s="446">
        <f>countifs(Melee!M:M,"L",Melee!D:D,U178)</f>
        <v>2</v>
      </c>
      <c r="X178">
        <f t="shared" si="1"/>
        <v>4</v>
      </c>
      <c r="Y178">
        <f t="shared" si="2"/>
        <v>4.310753797</v>
      </c>
    </row>
    <row r="179">
      <c r="A179" s="174"/>
      <c r="D179" s="174"/>
      <c r="E179" s="174"/>
      <c r="F179" s="174"/>
      <c r="G179" s="174"/>
      <c r="U179" t="str">
        <f>IFERROR(__xludf.DUMMYFUNCTION("""COMPUTED_VALUE"""),"Tournament Name")</f>
        <v>Tournament Name</v>
      </c>
      <c r="V179" s="447">
        <f>countifs(Melee!$M:$M,"W",Melee!D:D,U179)</f>
        <v>0</v>
      </c>
      <c r="W179" s="446">
        <f>countifs(Melee!M:M,"L",Melee!D:D,U179)</f>
        <v>0</v>
      </c>
      <c r="X179">
        <f t="shared" si="1"/>
        <v>0</v>
      </c>
      <c r="Y179">
        <f t="shared" si="2"/>
        <v>0.9615117569</v>
      </c>
    </row>
    <row r="180">
      <c r="A180" s="174"/>
      <c r="D180" s="174"/>
      <c r="E180" s="174"/>
      <c r="F180" s="174"/>
      <c r="G180" s="174"/>
      <c r="U180" t="str">
        <f>IFERROR(__xludf.DUMMYFUNCTION("""COMPUTED_VALUE"""),"UMeMe 104")</f>
        <v>UMeMe 104</v>
      </c>
      <c r="V180" s="447">
        <f>countifs(Melee!$M:$M,"W",Melee!D:D,U180)</f>
        <v>3</v>
      </c>
      <c r="W180" s="446">
        <f>countifs(Melee!M:M,"L",Melee!D:D,U180)</f>
        <v>2</v>
      </c>
      <c r="X180">
        <f t="shared" si="1"/>
        <v>5</v>
      </c>
      <c r="Y180">
        <f t="shared" si="2"/>
        <v>5.224766948</v>
      </c>
    </row>
    <row r="181">
      <c r="A181" s="174"/>
      <c r="D181" s="174"/>
      <c r="E181" s="174"/>
      <c r="F181" s="174"/>
      <c r="G181" s="174"/>
      <c r="U181" t="str">
        <f>IFERROR(__xludf.DUMMYFUNCTION("""COMPUTED_VALUE"""),"UMeMe 109")</f>
        <v>UMeMe 109</v>
      </c>
      <c r="V181" s="447">
        <f>countifs(Melee!$M:$M,"W",Melee!D:D,U181)</f>
        <v>3</v>
      </c>
      <c r="W181" s="446">
        <f>countifs(Melee!M:M,"L",Melee!D:D,U181)</f>
        <v>2</v>
      </c>
      <c r="X181">
        <f t="shared" si="1"/>
        <v>5</v>
      </c>
      <c r="Y181">
        <f t="shared" si="2"/>
        <v>5.588064687</v>
      </c>
    </row>
    <row r="182">
      <c r="A182" s="174"/>
      <c r="D182" s="174"/>
      <c r="E182" s="174"/>
      <c r="F182" s="174"/>
      <c r="G182" s="174"/>
      <c r="U182" t="str">
        <f>IFERROR(__xludf.DUMMYFUNCTION("""COMPUTED_VALUE"""),"UMeMe 110")</f>
        <v>UMeMe 110</v>
      </c>
      <c r="V182" s="447">
        <f>countifs(Melee!$M:$M,"W",Melee!D:D,U182)</f>
        <v>1</v>
      </c>
      <c r="W182" s="446">
        <f>countifs(Melee!M:M,"L",Melee!D:D,U182)</f>
        <v>2</v>
      </c>
      <c r="X182">
        <f t="shared" si="1"/>
        <v>3</v>
      </c>
      <c r="Y182">
        <f t="shared" si="2"/>
        <v>3.279997559</v>
      </c>
    </row>
    <row r="183">
      <c r="A183" s="174"/>
      <c r="D183" s="174"/>
      <c r="E183" s="174"/>
      <c r="F183" s="174"/>
      <c r="G183" s="174"/>
      <c r="U183" t="str">
        <f>IFERROR(__xludf.DUMMYFUNCTION("""COMPUTED_VALUE"""),"UMeMe 115")</f>
        <v>UMeMe 115</v>
      </c>
      <c r="V183" s="447">
        <f>countifs(Melee!$M:$M,"W",Melee!D:D,U183)</f>
        <v>4</v>
      </c>
      <c r="W183" s="446">
        <f>countifs(Melee!M:M,"L",Melee!D:D,U183)</f>
        <v>2</v>
      </c>
      <c r="X183">
        <f t="shared" si="1"/>
        <v>6</v>
      </c>
      <c r="Y183">
        <f t="shared" si="2"/>
        <v>6.064921022</v>
      </c>
    </row>
    <row r="184">
      <c r="A184" s="174"/>
      <c r="D184" s="174"/>
      <c r="E184" s="174"/>
      <c r="F184" s="174"/>
      <c r="G184" s="174"/>
      <c r="U184" t="str">
        <f>IFERROR(__xludf.DUMMYFUNCTION("""COMPUTED_VALUE"""),"UMeMe 119")</f>
        <v>UMeMe 119</v>
      </c>
      <c r="V184" s="447">
        <f>countifs(Melee!$M:$M,"W",Melee!D:D,U184)</f>
        <v>5</v>
      </c>
      <c r="W184" s="446">
        <f>countifs(Melee!M:M,"L",Melee!D:D,U184)</f>
        <v>1</v>
      </c>
      <c r="X184">
        <f t="shared" si="1"/>
        <v>6</v>
      </c>
      <c r="Y184">
        <f t="shared" si="2"/>
        <v>6.228145337</v>
      </c>
    </row>
    <row r="185">
      <c r="A185" s="174"/>
      <c r="D185" s="174"/>
      <c r="E185" s="174"/>
      <c r="F185" s="174"/>
      <c r="G185" s="174"/>
      <c r="U185" t="str">
        <f>IFERROR(__xludf.DUMMYFUNCTION("""COMPUTED_VALUE"""),"UMeMe 122")</f>
        <v>UMeMe 122</v>
      </c>
      <c r="V185" s="447">
        <f>countifs(Melee!$M:$M,"W",Melee!D:D,U185)</f>
        <v>2</v>
      </c>
      <c r="W185" s="446">
        <f>countifs(Melee!M:M,"L",Melee!D:D,U185)</f>
        <v>2</v>
      </c>
      <c r="X185">
        <f t="shared" si="1"/>
        <v>4</v>
      </c>
      <c r="Y185">
        <f t="shared" si="2"/>
        <v>4.825957731</v>
      </c>
    </row>
    <row r="186">
      <c r="A186" s="174"/>
      <c r="D186" s="174"/>
      <c r="E186" s="174"/>
      <c r="F186" s="174"/>
      <c r="G186" s="174"/>
      <c r="U186" t="str">
        <f>IFERROR(__xludf.DUMMYFUNCTION("""COMPUTED_VALUE"""),"UMeMe 124")</f>
        <v>UMeMe 124</v>
      </c>
      <c r="V186" s="447">
        <f>countifs(Melee!$M:$M,"W",Melee!D:D,U186)</f>
        <v>3</v>
      </c>
      <c r="W186" s="446">
        <f>countifs(Melee!M:M,"L",Melee!D:D,U186)</f>
        <v>2</v>
      </c>
      <c r="X186">
        <f t="shared" si="1"/>
        <v>5</v>
      </c>
      <c r="Y186">
        <f t="shared" si="2"/>
        <v>5.288279124</v>
      </c>
    </row>
    <row r="187">
      <c r="A187" s="174"/>
      <c r="D187" s="174"/>
      <c r="E187" s="174"/>
      <c r="F187" s="174"/>
      <c r="G187" s="174"/>
      <c r="U187" t="str">
        <f>IFERROR(__xludf.DUMMYFUNCTION("""COMPUTED_VALUE"""),"UMeMe 125")</f>
        <v>UMeMe 125</v>
      </c>
      <c r="V187" s="447">
        <f>countifs(Melee!$M:$M,"W",Melee!D:D,U187)</f>
        <v>3</v>
      </c>
      <c r="W187" s="446">
        <f>countifs(Melee!M:M,"L",Melee!D:D,U187)</f>
        <v>2</v>
      </c>
      <c r="X187">
        <f t="shared" si="1"/>
        <v>5</v>
      </c>
      <c r="Y187">
        <f t="shared" si="2"/>
        <v>5.398916279</v>
      </c>
    </row>
    <row r="188">
      <c r="A188" s="174"/>
      <c r="D188" s="174"/>
      <c r="E188" s="174"/>
      <c r="F188" s="174"/>
      <c r="G188" s="174"/>
      <c r="U188" t="str">
        <f>IFERROR(__xludf.DUMMYFUNCTION("""COMPUTED_VALUE"""),"UMeMe 126")</f>
        <v>UMeMe 126</v>
      </c>
      <c r="V188" s="447">
        <f>countifs(Melee!$M:$M,"W",Melee!D:D,U188)</f>
        <v>2</v>
      </c>
      <c r="W188" s="446">
        <f>countifs(Melee!M:M,"L",Melee!D:D,U188)</f>
        <v>2</v>
      </c>
      <c r="X188">
        <f t="shared" si="1"/>
        <v>4</v>
      </c>
      <c r="Y188">
        <f t="shared" si="2"/>
        <v>4.046294227</v>
      </c>
    </row>
    <row r="189">
      <c r="A189" s="174"/>
      <c r="D189" s="174"/>
      <c r="E189" s="174"/>
      <c r="F189" s="174"/>
      <c r="G189" s="174"/>
      <c r="U189" t="str">
        <f>IFERROR(__xludf.DUMMYFUNCTION("""COMPUTED_VALUE"""),"UMeMe 127")</f>
        <v>UMeMe 127</v>
      </c>
      <c r="V189" s="447">
        <f>countifs(Melee!$M:$M,"W",Melee!D:D,U189)</f>
        <v>3</v>
      </c>
      <c r="W189" s="446">
        <f>countifs(Melee!M:M,"L",Melee!D:D,U189)</f>
        <v>2</v>
      </c>
      <c r="X189">
        <f t="shared" si="1"/>
        <v>5</v>
      </c>
      <c r="Y189">
        <f t="shared" si="2"/>
        <v>5.246194229</v>
      </c>
    </row>
    <row r="190">
      <c r="A190" s="174"/>
      <c r="D190" s="174"/>
      <c r="E190" s="174"/>
      <c r="F190" s="174"/>
      <c r="G190" s="174"/>
      <c r="U190" t="str">
        <f>IFERROR(__xludf.DUMMYFUNCTION("""COMPUTED_VALUE"""),"UMeMe 128")</f>
        <v>UMeMe 128</v>
      </c>
      <c r="V190" s="447">
        <f>countifs(Melee!$M:$M,"W",Melee!D:D,U190)</f>
        <v>3</v>
      </c>
      <c r="W190" s="446">
        <f>countifs(Melee!M:M,"L",Melee!D:D,U190)</f>
        <v>2</v>
      </c>
      <c r="X190">
        <f t="shared" si="1"/>
        <v>5</v>
      </c>
      <c r="Y190">
        <f t="shared" si="2"/>
        <v>5.811424789</v>
      </c>
    </row>
    <row r="191">
      <c r="A191" s="174"/>
      <c r="D191" s="174"/>
      <c r="E191" s="174"/>
      <c r="F191" s="174"/>
      <c r="G191" s="174"/>
      <c r="U191" t="str">
        <f>IFERROR(__xludf.DUMMYFUNCTION("""COMPUTED_VALUE"""),"UMeMe 133")</f>
        <v>UMeMe 133</v>
      </c>
      <c r="V191" s="447">
        <f>countifs(Melee!$M:$M,"W",Melee!D:D,U191)</f>
        <v>4</v>
      </c>
      <c r="W191" s="446">
        <f>countifs(Melee!M:M,"L",Melee!D:D,U191)</f>
        <v>2</v>
      </c>
      <c r="X191">
        <f t="shared" si="1"/>
        <v>6</v>
      </c>
      <c r="Y191">
        <f t="shared" si="2"/>
        <v>6.751246673</v>
      </c>
    </row>
    <row r="192">
      <c r="A192" s="174"/>
      <c r="D192" s="174"/>
      <c r="E192" s="174"/>
      <c r="F192" s="174"/>
      <c r="G192" s="174"/>
      <c r="U192" t="str">
        <f>IFERROR(__xludf.DUMMYFUNCTION("""COMPUTED_VALUE"""),"UMeMe 15")</f>
        <v>UMeMe 15</v>
      </c>
      <c r="V192" s="447">
        <f>countifs(Melee!$M:$M,"W",Melee!D:D,U192)</f>
        <v>2</v>
      </c>
      <c r="W192" s="446">
        <f>countifs(Melee!M:M,"L",Melee!D:D,U192)</f>
        <v>2</v>
      </c>
      <c r="X192">
        <f t="shared" si="1"/>
        <v>4</v>
      </c>
      <c r="Y192">
        <f t="shared" si="2"/>
        <v>4.865858162</v>
      </c>
    </row>
    <row r="193">
      <c r="A193" s="174"/>
      <c r="D193" s="174"/>
      <c r="E193" s="174"/>
      <c r="F193" s="174"/>
      <c r="G193" s="174"/>
      <c r="U193" t="str">
        <f>IFERROR(__xludf.DUMMYFUNCTION("""COMPUTED_VALUE"""),"UMeMe 18")</f>
        <v>UMeMe 18</v>
      </c>
      <c r="V193" s="447">
        <f>countifs(Melee!$M:$M,"W",Melee!D:D,U193)</f>
        <v>2</v>
      </c>
      <c r="W193" s="446">
        <f>countifs(Melee!M:M,"L",Melee!D:D,U193)</f>
        <v>3</v>
      </c>
      <c r="X193">
        <f t="shared" si="1"/>
        <v>5</v>
      </c>
      <c r="Y193">
        <f t="shared" si="2"/>
        <v>5.915422144</v>
      </c>
    </row>
    <row r="194">
      <c r="A194" s="174"/>
      <c r="D194" s="174"/>
      <c r="E194" s="174"/>
      <c r="F194" s="174"/>
      <c r="G194" s="174"/>
      <c r="U194" t="str">
        <f>IFERROR(__xludf.DUMMYFUNCTION("""COMPUTED_VALUE"""),"UMeMe 19")</f>
        <v>UMeMe 19</v>
      </c>
      <c r="V194" s="447">
        <f>countifs(Melee!$M:$M,"W",Melee!D:D,U194)</f>
        <v>3</v>
      </c>
      <c r="W194" s="446">
        <f>countifs(Melee!M:M,"L",Melee!D:D,U194)</f>
        <v>3</v>
      </c>
      <c r="X194">
        <f t="shared" si="1"/>
        <v>6</v>
      </c>
      <c r="Y194">
        <f t="shared" si="2"/>
        <v>6.366866099</v>
      </c>
    </row>
    <row r="195">
      <c r="A195" s="174"/>
      <c r="D195" s="174"/>
      <c r="E195" s="174"/>
      <c r="F195" s="174"/>
      <c r="G195" s="174"/>
      <c r="U195" t="str">
        <f>IFERROR(__xludf.DUMMYFUNCTION("""COMPUTED_VALUE"""),"UMeMe 20")</f>
        <v>UMeMe 20</v>
      </c>
      <c r="V195" s="447">
        <f>countifs(Melee!$M:$M,"W",Melee!D:D,U195)</f>
        <v>3</v>
      </c>
      <c r="W195" s="446">
        <f>countifs(Melee!M:M,"L",Melee!D:D,U195)</f>
        <v>3</v>
      </c>
      <c r="X195">
        <f t="shared" si="1"/>
        <v>6</v>
      </c>
      <c r="Y195">
        <f t="shared" si="2"/>
        <v>6.105972218</v>
      </c>
    </row>
    <row r="196">
      <c r="A196" s="174"/>
      <c r="D196" s="174"/>
      <c r="E196" s="174"/>
      <c r="F196" s="174"/>
      <c r="G196" s="174"/>
      <c r="U196" t="str">
        <f>IFERROR(__xludf.DUMMYFUNCTION("""COMPUTED_VALUE"""),"UMeMe 21")</f>
        <v>UMeMe 21</v>
      </c>
      <c r="V196" s="447">
        <f>countifs(Melee!$M:$M,"W",Melee!D:D,U196)</f>
        <v>3</v>
      </c>
      <c r="W196" s="446">
        <f>countifs(Melee!M:M,"L",Melee!D:D,U196)</f>
        <v>2</v>
      </c>
      <c r="X196">
        <f t="shared" si="1"/>
        <v>5</v>
      </c>
      <c r="Y196">
        <f t="shared" si="2"/>
        <v>5.46964837</v>
      </c>
    </row>
    <row r="197">
      <c r="A197" s="174"/>
      <c r="D197" s="174"/>
      <c r="E197" s="174"/>
      <c r="F197" s="174"/>
      <c r="G197" s="174"/>
      <c r="U197" t="str">
        <f>IFERROR(__xludf.DUMMYFUNCTION("""COMPUTED_VALUE"""),"UMeMe 22")</f>
        <v>UMeMe 22</v>
      </c>
      <c r="V197" s="447">
        <f>countifs(Melee!$M:$M,"W",Melee!D:D,U197)</f>
        <v>1</v>
      </c>
      <c r="W197" s="446">
        <f>countifs(Melee!M:M,"L",Melee!D:D,U197)</f>
        <v>3</v>
      </c>
      <c r="X197">
        <f t="shared" si="1"/>
        <v>4</v>
      </c>
      <c r="Y197">
        <f t="shared" si="2"/>
        <v>4.596458604</v>
      </c>
    </row>
    <row r="198">
      <c r="A198" s="174"/>
      <c r="D198" s="174"/>
      <c r="E198" s="174"/>
      <c r="F198" s="174"/>
      <c r="G198" s="174"/>
      <c r="U198" t="str">
        <f>IFERROR(__xludf.DUMMYFUNCTION("""COMPUTED_VALUE"""),"UMeMe 23")</f>
        <v>UMeMe 23</v>
      </c>
      <c r="V198" s="447">
        <f>countifs(Melee!$M:$M,"W",Melee!D:D,U198)</f>
        <v>2</v>
      </c>
      <c r="W198" s="446">
        <f>countifs(Melee!M:M,"L",Melee!D:D,U198)</f>
        <v>3</v>
      </c>
      <c r="X198">
        <f t="shared" si="1"/>
        <v>5</v>
      </c>
      <c r="Y198">
        <f t="shared" si="2"/>
        <v>5.53425426</v>
      </c>
    </row>
    <row r="199">
      <c r="A199" s="174"/>
      <c r="D199" s="174"/>
      <c r="E199" s="174"/>
      <c r="F199" s="174"/>
      <c r="G199" s="174"/>
      <c r="U199" t="str">
        <f>IFERROR(__xludf.DUMMYFUNCTION("""COMPUTED_VALUE"""),"UMeMe 24")</f>
        <v>UMeMe 24</v>
      </c>
      <c r="V199" s="447">
        <f>countifs(Melee!$M:$M,"W",Melee!D:D,U199)</f>
        <v>1</v>
      </c>
      <c r="W199" s="446">
        <f>countifs(Melee!M:M,"L",Melee!D:D,U199)</f>
        <v>3</v>
      </c>
      <c r="X199">
        <f t="shared" si="1"/>
        <v>4</v>
      </c>
      <c r="Y199">
        <f t="shared" si="2"/>
        <v>4.268380836</v>
      </c>
    </row>
    <row r="200">
      <c r="A200" s="174"/>
      <c r="D200" s="174"/>
      <c r="E200" s="174"/>
      <c r="F200" s="174"/>
      <c r="G200" s="174"/>
      <c r="U200" t="str">
        <f>IFERROR(__xludf.DUMMYFUNCTION("""COMPUTED_VALUE"""),"UMeMe 25")</f>
        <v>UMeMe 25</v>
      </c>
      <c r="V200" s="447">
        <f>countifs(Melee!$M:$M,"W",Melee!D:D,U200)</f>
        <v>1</v>
      </c>
      <c r="W200" s="446">
        <f>countifs(Melee!M:M,"L",Melee!D:D,U200)</f>
        <v>3</v>
      </c>
      <c r="X200">
        <f t="shared" si="1"/>
        <v>4</v>
      </c>
      <c r="Y200">
        <f t="shared" si="2"/>
        <v>4.828107915</v>
      </c>
    </row>
    <row r="201">
      <c r="A201" s="174"/>
      <c r="D201" s="174"/>
      <c r="E201" s="174"/>
      <c r="F201" s="174"/>
      <c r="G201" s="174"/>
      <c r="U201" t="str">
        <f>IFERROR(__xludf.DUMMYFUNCTION("""COMPUTED_VALUE"""),"UMeMe 28")</f>
        <v>UMeMe 28</v>
      </c>
      <c r="V201" s="447">
        <f>countifs(Melee!$M:$M,"W",Melee!D:D,U201)</f>
        <v>7</v>
      </c>
      <c r="W201" s="446">
        <f>countifs(Melee!M:M,"L",Melee!D:D,U201)</f>
        <v>6</v>
      </c>
      <c r="X201">
        <f t="shared" si="1"/>
        <v>13</v>
      </c>
      <c r="Y201">
        <f t="shared" si="2"/>
        <v>13.69071989</v>
      </c>
    </row>
    <row r="202">
      <c r="A202" s="174"/>
      <c r="D202" s="174"/>
      <c r="E202" s="174"/>
      <c r="F202" s="174"/>
      <c r="G202" s="174"/>
      <c r="U202" t="str">
        <f>IFERROR(__xludf.DUMMYFUNCTION("""COMPUTED_VALUE"""),"UMeMe 30")</f>
        <v>UMeMe 30</v>
      </c>
      <c r="V202" s="447">
        <f>countifs(Melee!$M:$M,"W",Melee!D:D,U202)</f>
        <v>1</v>
      </c>
      <c r="W202" s="446">
        <f>countifs(Melee!M:M,"L",Melee!D:D,U202)</f>
        <v>3</v>
      </c>
      <c r="X202">
        <f t="shared" si="1"/>
        <v>4</v>
      </c>
      <c r="Y202">
        <f t="shared" si="2"/>
        <v>4.719041195</v>
      </c>
    </row>
    <row r="203">
      <c r="A203" s="174"/>
      <c r="D203" s="174"/>
      <c r="E203" s="174"/>
      <c r="F203" s="174"/>
      <c r="G203" s="174"/>
      <c r="U203" t="str">
        <f>IFERROR(__xludf.DUMMYFUNCTION("""COMPUTED_VALUE"""),"UMeMe 31")</f>
        <v>UMeMe 31</v>
      </c>
      <c r="V203" s="447">
        <f>countifs(Melee!$M:$M,"W",Melee!D:D,U203)</f>
        <v>2</v>
      </c>
      <c r="W203" s="446">
        <f>countifs(Melee!M:M,"L",Melee!D:D,U203)</f>
        <v>2</v>
      </c>
      <c r="X203">
        <f t="shared" si="1"/>
        <v>4</v>
      </c>
      <c r="Y203">
        <f t="shared" si="2"/>
        <v>4.496032812</v>
      </c>
    </row>
    <row r="204">
      <c r="A204" s="174"/>
      <c r="D204" s="174"/>
      <c r="E204" s="174"/>
      <c r="F204" s="174"/>
      <c r="G204" s="174"/>
      <c r="U204" t="str">
        <f>IFERROR(__xludf.DUMMYFUNCTION("""COMPUTED_VALUE"""),"UMeMe 32")</f>
        <v>UMeMe 32</v>
      </c>
      <c r="V204" s="447">
        <f>countifs(Melee!$M:$M,"W",Melee!D:D,U204)</f>
        <v>2</v>
      </c>
      <c r="W204" s="446">
        <f>countifs(Melee!M:M,"L",Melee!D:D,U204)</f>
        <v>2</v>
      </c>
      <c r="X204">
        <f t="shared" si="1"/>
        <v>4</v>
      </c>
      <c r="Y204">
        <f t="shared" si="2"/>
        <v>4.020184737</v>
      </c>
    </row>
    <row r="205">
      <c r="A205" s="174"/>
      <c r="D205" s="174"/>
      <c r="E205" s="174"/>
      <c r="F205" s="174"/>
      <c r="G205" s="174"/>
      <c r="U205" t="str">
        <f>IFERROR(__xludf.DUMMYFUNCTION("""COMPUTED_VALUE"""),"UMeMe 33")</f>
        <v>UMeMe 33</v>
      </c>
      <c r="V205" s="447">
        <f>countifs(Melee!$M:$M,"W",Melee!D:D,U205)</f>
        <v>2</v>
      </c>
      <c r="W205" s="446">
        <f>countifs(Melee!M:M,"L",Melee!D:D,U205)</f>
        <v>2</v>
      </c>
      <c r="X205">
        <f t="shared" si="1"/>
        <v>4</v>
      </c>
      <c r="Y205">
        <f t="shared" si="2"/>
        <v>4.052150574</v>
      </c>
    </row>
    <row r="206">
      <c r="A206" s="174"/>
      <c r="D206" s="174"/>
      <c r="E206" s="174"/>
      <c r="F206" s="174"/>
      <c r="G206" s="174"/>
      <c r="U206" t="str">
        <f>IFERROR(__xludf.DUMMYFUNCTION("""COMPUTED_VALUE"""),"UMeMe 34")</f>
        <v>UMeMe 34</v>
      </c>
      <c r="V206" s="447">
        <f>countifs(Melee!$M:$M,"W",Melee!D:D,U206)</f>
        <v>1</v>
      </c>
      <c r="W206" s="446">
        <f>countifs(Melee!M:M,"L",Melee!D:D,U206)</f>
        <v>2</v>
      </c>
      <c r="X206">
        <f t="shared" si="1"/>
        <v>3</v>
      </c>
      <c r="Y206">
        <f t="shared" si="2"/>
        <v>3.461059696</v>
      </c>
    </row>
    <row r="207">
      <c r="A207" s="174"/>
      <c r="D207" s="174"/>
      <c r="E207" s="174"/>
      <c r="F207" s="174"/>
      <c r="G207" s="174"/>
      <c r="U207" t="str">
        <f>IFERROR(__xludf.DUMMYFUNCTION("""COMPUTED_VALUE"""),"UMeMe 35")</f>
        <v>UMeMe 35</v>
      </c>
      <c r="V207" s="447">
        <f>countifs(Melee!$M:$M,"W",Melee!D:D,U207)</f>
        <v>2</v>
      </c>
      <c r="W207" s="446">
        <f>countifs(Melee!M:M,"L",Melee!D:D,U207)</f>
        <v>2</v>
      </c>
      <c r="X207">
        <f t="shared" si="1"/>
        <v>4</v>
      </c>
      <c r="Y207">
        <f t="shared" si="2"/>
        <v>4.552466931</v>
      </c>
    </row>
    <row r="208">
      <c r="A208" s="174"/>
      <c r="D208" s="174"/>
      <c r="E208" s="174"/>
      <c r="F208" s="174"/>
      <c r="G208" s="174"/>
      <c r="U208" t="str">
        <f>IFERROR(__xludf.DUMMYFUNCTION("""COMPUTED_VALUE"""),"UmeMe 38")</f>
        <v>UmeMe 38</v>
      </c>
      <c r="V208" s="447">
        <f>countifs(Melee!$M:$M,"W",Melee!D:D,U208)</f>
        <v>2</v>
      </c>
      <c r="W208" s="446">
        <f>countifs(Melee!M:M,"L",Melee!D:D,U208)</f>
        <v>2</v>
      </c>
      <c r="X208">
        <f t="shared" si="1"/>
        <v>4</v>
      </c>
      <c r="Y208">
        <f t="shared" si="2"/>
        <v>4.547851766</v>
      </c>
    </row>
    <row r="209">
      <c r="A209" s="174"/>
      <c r="D209" s="174"/>
      <c r="E209" s="174"/>
      <c r="F209" s="174"/>
      <c r="G209" s="174"/>
      <c r="U209" t="str">
        <f>IFERROR(__xludf.DUMMYFUNCTION("""COMPUTED_VALUE"""),"UMeMe 39")</f>
        <v>UMeMe 39</v>
      </c>
      <c r="V209" s="447">
        <f>countifs(Melee!$M:$M,"W",Melee!D:D,U209)</f>
        <v>2</v>
      </c>
      <c r="W209" s="446">
        <f>countifs(Melee!M:M,"L",Melee!D:D,U209)</f>
        <v>2</v>
      </c>
      <c r="X209">
        <f t="shared" si="1"/>
        <v>4</v>
      </c>
      <c r="Y209">
        <f t="shared" si="2"/>
        <v>4.870924399</v>
      </c>
    </row>
    <row r="210">
      <c r="A210" s="174"/>
      <c r="D210" s="174"/>
      <c r="E210" s="174"/>
      <c r="F210" s="174"/>
      <c r="G210" s="174"/>
      <c r="U210" t="str">
        <f>IFERROR(__xludf.DUMMYFUNCTION("""COMPUTED_VALUE"""),"UMeMe 40")</f>
        <v>UMeMe 40</v>
      </c>
      <c r="V210" s="447">
        <f>countifs(Melee!$M:$M,"W",Melee!D:D,U210)</f>
        <v>3</v>
      </c>
      <c r="W210" s="446">
        <f>countifs(Melee!M:M,"L",Melee!D:D,U210)</f>
        <v>2</v>
      </c>
      <c r="X210">
        <f t="shared" si="1"/>
        <v>5</v>
      </c>
      <c r="Y210">
        <f t="shared" si="2"/>
        <v>5.684861855</v>
      </c>
    </row>
    <row r="211">
      <c r="A211" s="174"/>
      <c r="D211" s="174"/>
      <c r="E211" s="174"/>
      <c r="F211" s="174"/>
      <c r="G211" s="174"/>
      <c r="U211" t="str">
        <f>IFERROR(__xludf.DUMMYFUNCTION("""COMPUTED_VALUE"""),"UMeMe 41")</f>
        <v>UMeMe 41</v>
      </c>
      <c r="V211" s="447">
        <f>countifs(Melee!$M:$M,"W",Melee!D:D,U211)</f>
        <v>3</v>
      </c>
      <c r="W211" s="446">
        <f>countifs(Melee!M:M,"L",Melee!D:D,U211)</f>
        <v>2</v>
      </c>
      <c r="X211">
        <f t="shared" si="1"/>
        <v>5</v>
      </c>
      <c r="Y211">
        <f t="shared" si="2"/>
        <v>5.546391983</v>
      </c>
    </row>
    <row r="212">
      <c r="A212" s="174"/>
      <c r="D212" s="174"/>
      <c r="E212" s="174"/>
      <c r="F212" s="174"/>
      <c r="G212" s="174"/>
      <c r="U212" t="str">
        <f>IFERROR(__xludf.DUMMYFUNCTION("""COMPUTED_VALUE"""),"UMeMe 42")</f>
        <v>UMeMe 42</v>
      </c>
      <c r="V212" s="447">
        <f>countifs(Melee!$M:$M,"W",Melee!D:D,U212)</f>
        <v>2</v>
      </c>
      <c r="W212" s="446">
        <f>countifs(Melee!M:M,"L",Melee!D:D,U212)</f>
        <v>2</v>
      </c>
      <c r="X212">
        <f t="shared" si="1"/>
        <v>4</v>
      </c>
      <c r="Y212">
        <f t="shared" si="2"/>
        <v>4.968865342</v>
      </c>
    </row>
    <row r="213">
      <c r="A213" s="174"/>
      <c r="D213" s="174"/>
      <c r="E213" s="174"/>
      <c r="F213" s="174"/>
      <c r="G213" s="174"/>
      <c r="U213" t="str">
        <f>IFERROR(__xludf.DUMMYFUNCTION("""COMPUTED_VALUE"""),"UMeMe 43")</f>
        <v>UMeMe 43</v>
      </c>
      <c r="V213" s="447">
        <f>countifs(Melee!$M:$M,"W",Melee!D:D,U213)</f>
        <v>2</v>
      </c>
      <c r="W213" s="446">
        <f>countifs(Melee!M:M,"L",Melee!D:D,U213)</f>
        <v>4</v>
      </c>
      <c r="X213">
        <f t="shared" si="1"/>
        <v>6</v>
      </c>
      <c r="Y213">
        <f t="shared" si="2"/>
        <v>6.662103725</v>
      </c>
    </row>
    <row r="214">
      <c r="A214" s="174"/>
      <c r="D214" s="174"/>
      <c r="E214" s="174"/>
      <c r="F214" s="174"/>
      <c r="G214" s="174"/>
      <c r="U214" t="str">
        <f>IFERROR(__xludf.DUMMYFUNCTION("""COMPUTED_VALUE"""),"UMeMe 45")</f>
        <v>UMeMe 45</v>
      </c>
      <c r="V214" s="447">
        <f>countifs(Melee!$M:$M,"W",Melee!D:D,U214)</f>
        <v>0</v>
      </c>
      <c r="W214" s="446">
        <f>countifs(Melee!M:M,"L",Melee!D:D,U214)</f>
        <v>2</v>
      </c>
      <c r="X214">
        <f t="shared" si="1"/>
        <v>2</v>
      </c>
      <c r="Y214">
        <f t="shared" si="2"/>
        <v>2.664551099</v>
      </c>
    </row>
    <row r="215">
      <c r="A215" s="174"/>
      <c r="D215" s="174"/>
      <c r="E215" s="174"/>
      <c r="F215" s="174"/>
      <c r="G215" s="174"/>
      <c r="U215" t="str">
        <f>IFERROR(__xludf.DUMMYFUNCTION("""COMPUTED_VALUE"""),"UMeMe 46")</f>
        <v>UMeMe 46</v>
      </c>
      <c r="V215" s="447">
        <f>countifs(Melee!$M:$M,"W",Melee!D:D,U215)</f>
        <v>3</v>
      </c>
      <c r="W215" s="446">
        <f>countifs(Melee!M:M,"L",Melee!D:D,U215)</f>
        <v>2</v>
      </c>
      <c r="X215">
        <f t="shared" si="1"/>
        <v>5</v>
      </c>
      <c r="Y215">
        <f t="shared" si="2"/>
        <v>5.896726042</v>
      </c>
    </row>
    <row r="216">
      <c r="A216" s="174"/>
      <c r="D216" s="174"/>
      <c r="E216" s="174"/>
      <c r="F216" s="174"/>
      <c r="G216" s="174"/>
      <c r="U216" t="str">
        <f>IFERROR(__xludf.DUMMYFUNCTION("""COMPUTED_VALUE"""),"UMeMe 49")</f>
        <v>UMeMe 49</v>
      </c>
      <c r="V216" s="447">
        <f>countifs(Melee!$M:$M,"W",Melee!D:D,U216)</f>
        <v>2</v>
      </c>
      <c r="W216" s="446">
        <f>countifs(Melee!M:M,"L",Melee!D:D,U216)</f>
        <v>2</v>
      </c>
      <c r="X216">
        <f t="shared" si="1"/>
        <v>4</v>
      </c>
      <c r="Y216">
        <f t="shared" si="2"/>
        <v>4.913954498</v>
      </c>
    </row>
    <row r="217">
      <c r="A217" s="174"/>
      <c r="D217" s="174"/>
      <c r="E217" s="174"/>
      <c r="F217" s="174"/>
      <c r="G217" s="174"/>
      <c r="U217" t="str">
        <f>IFERROR(__xludf.DUMMYFUNCTION("""COMPUTED_VALUE"""),"UMeMe 52")</f>
        <v>UMeMe 52</v>
      </c>
      <c r="V217" s="447">
        <f>countifs(Melee!$M:$M,"W",Melee!D:D,U217)</f>
        <v>0</v>
      </c>
      <c r="W217" s="446">
        <f>countifs(Melee!M:M,"L",Melee!D:D,U217)</f>
        <v>2</v>
      </c>
      <c r="X217">
        <f t="shared" si="1"/>
        <v>2</v>
      </c>
      <c r="Y217">
        <f t="shared" si="2"/>
        <v>2.762608212</v>
      </c>
    </row>
    <row r="218">
      <c r="A218" s="174"/>
      <c r="D218" s="174"/>
      <c r="E218" s="174"/>
      <c r="F218" s="174"/>
      <c r="G218" s="174"/>
      <c r="U218" t="str">
        <f>IFERROR(__xludf.DUMMYFUNCTION("""COMPUTED_VALUE"""),"UMeMe 57")</f>
        <v>UMeMe 57</v>
      </c>
      <c r="V218" s="447">
        <f>countifs(Melee!$M:$M,"W",Melee!D:D,U218)</f>
        <v>5</v>
      </c>
      <c r="W218" s="446">
        <f>countifs(Melee!M:M,"L",Melee!D:D,U218)</f>
        <v>4</v>
      </c>
      <c r="X218">
        <f t="shared" si="1"/>
        <v>9</v>
      </c>
      <c r="Y218">
        <f t="shared" si="2"/>
        <v>9.633070217</v>
      </c>
    </row>
    <row r="219">
      <c r="A219" s="174"/>
      <c r="D219" s="174"/>
      <c r="E219" s="174"/>
      <c r="F219" s="174"/>
      <c r="G219" s="174"/>
      <c r="U219" t="str">
        <f>IFERROR(__xludf.DUMMYFUNCTION("""COMPUTED_VALUE"""),"UMeMe 58")</f>
        <v>UMeMe 58</v>
      </c>
      <c r="V219" s="447">
        <f>countifs(Melee!$M:$M,"W",Melee!D:D,U219)</f>
        <v>3</v>
      </c>
      <c r="W219" s="446">
        <f>countifs(Melee!M:M,"L",Melee!D:D,U219)</f>
        <v>2</v>
      </c>
      <c r="X219">
        <f t="shared" si="1"/>
        <v>5</v>
      </c>
      <c r="Y219">
        <f t="shared" si="2"/>
        <v>5.772635203</v>
      </c>
    </row>
    <row r="220">
      <c r="A220" s="174"/>
      <c r="D220" s="174"/>
      <c r="E220" s="174"/>
      <c r="F220" s="174"/>
      <c r="G220" s="174"/>
      <c r="U220" t="str">
        <f>IFERROR(__xludf.DUMMYFUNCTION("""COMPUTED_VALUE"""),"UMeMe 59")</f>
        <v>UMeMe 59</v>
      </c>
      <c r="V220" s="447">
        <f>countifs(Melee!$M:$M,"W",Melee!D:D,U220)</f>
        <v>2</v>
      </c>
      <c r="W220" s="446">
        <f>countifs(Melee!M:M,"L",Melee!D:D,U220)</f>
        <v>2</v>
      </c>
      <c r="X220">
        <f t="shared" si="1"/>
        <v>4</v>
      </c>
      <c r="Y220">
        <f t="shared" si="2"/>
        <v>4.977485351</v>
      </c>
    </row>
    <row r="221">
      <c r="A221" s="174"/>
      <c r="D221" s="174"/>
      <c r="E221" s="174"/>
      <c r="F221" s="174"/>
      <c r="G221" s="174"/>
      <c r="U221" t="str">
        <f>IFERROR(__xludf.DUMMYFUNCTION("""COMPUTED_VALUE"""),"UMeMe 60")</f>
        <v>UMeMe 60</v>
      </c>
      <c r="V221" s="447">
        <f>countifs(Melee!$M:$M,"W",Melee!D:D,U221)</f>
        <v>5</v>
      </c>
      <c r="W221" s="446">
        <f>countifs(Melee!M:M,"L",Melee!D:D,U221)</f>
        <v>2</v>
      </c>
      <c r="X221">
        <f t="shared" si="1"/>
        <v>7</v>
      </c>
      <c r="Y221">
        <f t="shared" si="2"/>
        <v>7.639257933</v>
      </c>
    </row>
    <row r="222">
      <c r="A222" s="174"/>
      <c r="D222" s="174"/>
      <c r="E222" s="174"/>
      <c r="F222" s="174"/>
      <c r="G222" s="174"/>
      <c r="U222" t="str">
        <f>IFERROR(__xludf.DUMMYFUNCTION("""COMPUTED_VALUE"""),"UMeMe 62")</f>
        <v>UMeMe 62</v>
      </c>
      <c r="V222" s="447">
        <f>countifs(Melee!$M:$M,"W",Melee!D:D,U222)</f>
        <v>3</v>
      </c>
      <c r="W222" s="446">
        <f>countifs(Melee!M:M,"L",Melee!D:D,U222)</f>
        <v>2</v>
      </c>
      <c r="X222">
        <f t="shared" si="1"/>
        <v>5</v>
      </c>
      <c r="Y222">
        <f t="shared" si="2"/>
        <v>5.904383982</v>
      </c>
    </row>
    <row r="223">
      <c r="A223" s="174"/>
      <c r="D223" s="174"/>
      <c r="E223" s="174"/>
      <c r="F223" s="174"/>
      <c r="G223" s="174"/>
      <c r="U223" t="str">
        <f>IFERROR(__xludf.DUMMYFUNCTION("""COMPUTED_VALUE"""),"UMeMe 63")</f>
        <v>UMeMe 63</v>
      </c>
      <c r="V223" s="447">
        <f>countifs(Melee!$M:$M,"W",Melee!D:D,U223)</f>
        <v>3</v>
      </c>
      <c r="W223" s="446">
        <f>countifs(Melee!M:M,"L",Melee!D:D,U223)</f>
        <v>2</v>
      </c>
      <c r="X223">
        <f t="shared" si="1"/>
        <v>5</v>
      </c>
      <c r="Y223">
        <f t="shared" si="2"/>
        <v>5.397762312</v>
      </c>
    </row>
    <row r="224">
      <c r="A224" s="174"/>
      <c r="D224" s="174"/>
      <c r="E224" s="174"/>
      <c r="F224" s="174"/>
      <c r="G224" s="174"/>
      <c r="U224" t="str">
        <f>IFERROR(__xludf.DUMMYFUNCTION("""COMPUTED_VALUE"""),"UMeMe 65")</f>
        <v>UMeMe 65</v>
      </c>
      <c r="V224" s="447">
        <f>countifs(Melee!$M:$M,"W",Melee!D:D,U224)</f>
        <v>2</v>
      </c>
      <c r="W224" s="446">
        <f>countifs(Melee!M:M,"L",Melee!D:D,U224)</f>
        <v>2</v>
      </c>
      <c r="X224">
        <f t="shared" si="1"/>
        <v>4</v>
      </c>
      <c r="Y224">
        <f t="shared" si="2"/>
        <v>4.674746261</v>
      </c>
    </row>
    <row r="225">
      <c r="A225" s="174"/>
      <c r="D225" s="174"/>
      <c r="E225" s="174"/>
      <c r="F225" s="174"/>
      <c r="G225" s="174"/>
      <c r="U225" t="str">
        <f>IFERROR(__xludf.DUMMYFUNCTION("""COMPUTED_VALUE"""),"UMeMe 66")</f>
        <v>UMeMe 66</v>
      </c>
      <c r="V225" s="447">
        <f>countifs(Melee!$M:$M,"W",Melee!D:D,U225)</f>
        <v>3</v>
      </c>
      <c r="W225" s="446">
        <f>countifs(Melee!M:M,"L",Melee!D:D,U225)</f>
        <v>2</v>
      </c>
      <c r="X225">
        <f t="shared" si="1"/>
        <v>5</v>
      </c>
      <c r="Y225">
        <f t="shared" si="2"/>
        <v>5.741319606</v>
      </c>
    </row>
    <row r="226">
      <c r="A226" s="174"/>
      <c r="D226" s="174"/>
      <c r="E226" s="174"/>
      <c r="F226" s="174"/>
      <c r="G226" s="174"/>
      <c r="U226" t="str">
        <f>IFERROR(__xludf.DUMMYFUNCTION("""COMPUTED_VALUE"""),"UMeMe 67")</f>
        <v>UMeMe 67</v>
      </c>
      <c r="V226" s="447">
        <f>countifs(Melee!$M:$M,"W",Melee!D:D,U226)</f>
        <v>3</v>
      </c>
      <c r="W226" s="446">
        <f>countifs(Melee!M:M,"L",Melee!D:D,U226)</f>
        <v>2</v>
      </c>
      <c r="X226">
        <f t="shared" si="1"/>
        <v>5</v>
      </c>
      <c r="Y226">
        <f t="shared" si="2"/>
        <v>5.0967217</v>
      </c>
    </row>
    <row r="227">
      <c r="A227" s="174"/>
      <c r="D227" s="174"/>
      <c r="E227" s="174"/>
      <c r="F227" s="174"/>
      <c r="G227" s="174"/>
      <c r="U227" t="str">
        <f>IFERROR(__xludf.DUMMYFUNCTION("""COMPUTED_VALUE"""),"UMeMe 68")</f>
        <v>UMeMe 68</v>
      </c>
      <c r="V227" s="447">
        <f>countifs(Melee!$M:$M,"W",Melee!D:D,U227)</f>
        <v>3</v>
      </c>
      <c r="W227" s="446">
        <f>countifs(Melee!M:M,"L",Melee!D:D,U227)</f>
        <v>2</v>
      </c>
      <c r="X227">
        <f t="shared" si="1"/>
        <v>5</v>
      </c>
      <c r="Y227">
        <f t="shared" si="2"/>
        <v>5.679125718</v>
      </c>
    </row>
    <row r="228">
      <c r="A228" s="174"/>
      <c r="D228" s="174"/>
      <c r="E228" s="174"/>
      <c r="F228" s="174"/>
      <c r="G228" s="174"/>
      <c r="U228" t="str">
        <f>IFERROR(__xludf.DUMMYFUNCTION("""COMPUTED_VALUE"""),"UMeMe 69")</f>
        <v>UMeMe 69</v>
      </c>
      <c r="V228" s="447">
        <f>countifs(Melee!$M:$M,"W",Melee!D:D,U228)</f>
        <v>2</v>
      </c>
      <c r="W228" s="446">
        <f>countifs(Melee!M:M,"L",Melee!D:D,U228)</f>
        <v>2</v>
      </c>
      <c r="X228">
        <f t="shared" si="1"/>
        <v>4</v>
      </c>
      <c r="Y228">
        <f t="shared" si="2"/>
        <v>4.644351217</v>
      </c>
    </row>
    <row r="229">
      <c r="A229" s="174"/>
      <c r="D229" s="174"/>
      <c r="E229" s="174"/>
      <c r="F229" s="174"/>
      <c r="G229" s="174"/>
      <c r="U229" t="str">
        <f>IFERROR(__xludf.DUMMYFUNCTION("""COMPUTED_VALUE"""),"UMeMe 70")</f>
        <v>UMeMe 70</v>
      </c>
      <c r="V229" s="447">
        <f>countifs(Melee!$M:$M,"W",Melee!D:D,U229)</f>
        <v>3</v>
      </c>
      <c r="W229" s="446">
        <f>countifs(Melee!M:M,"L",Melee!D:D,U229)</f>
        <v>2</v>
      </c>
      <c r="X229">
        <f t="shared" si="1"/>
        <v>5</v>
      </c>
      <c r="Y229">
        <f t="shared" si="2"/>
        <v>5.592899067</v>
      </c>
    </row>
    <row r="230">
      <c r="A230" s="174"/>
      <c r="D230" s="174"/>
      <c r="E230" s="174"/>
      <c r="F230" s="174"/>
      <c r="G230" s="174"/>
      <c r="U230" t="str">
        <f>IFERROR(__xludf.DUMMYFUNCTION("""COMPUTED_VALUE"""),"UMeMe 71")</f>
        <v>UMeMe 71</v>
      </c>
      <c r="V230" s="447">
        <f>countifs(Melee!$M:$M,"W",Melee!D:D,U230)</f>
        <v>8</v>
      </c>
      <c r="W230" s="446">
        <f>countifs(Melee!M:M,"L",Melee!D:D,U230)</f>
        <v>3</v>
      </c>
      <c r="X230">
        <f t="shared" si="1"/>
        <v>11</v>
      </c>
      <c r="Y230">
        <f t="shared" si="2"/>
        <v>11.54602158</v>
      </c>
    </row>
    <row r="231">
      <c r="A231" s="174"/>
      <c r="D231" s="174"/>
      <c r="E231" s="174"/>
      <c r="F231" s="174"/>
      <c r="G231" s="174"/>
      <c r="U231" t="str">
        <f>IFERROR(__xludf.DUMMYFUNCTION("""COMPUTED_VALUE"""),"UMeMe 72")</f>
        <v>UMeMe 72</v>
      </c>
      <c r="V231" s="447">
        <f>countifs(Melee!$M:$M,"W",Melee!D:D,U231)</f>
        <v>2</v>
      </c>
      <c r="W231" s="446">
        <f>countifs(Melee!M:M,"L",Melee!D:D,U231)</f>
        <v>2</v>
      </c>
      <c r="X231">
        <f t="shared" si="1"/>
        <v>4</v>
      </c>
      <c r="Y231">
        <f t="shared" si="2"/>
        <v>4.723706502</v>
      </c>
    </row>
    <row r="232">
      <c r="A232" s="174"/>
      <c r="D232" s="174"/>
      <c r="E232" s="174"/>
      <c r="F232" s="174"/>
      <c r="G232" s="174"/>
      <c r="U232" t="str">
        <f>IFERROR(__xludf.DUMMYFUNCTION("""COMPUTED_VALUE"""),"UMeMe 73")</f>
        <v>UMeMe 73</v>
      </c>
      <c r="V232" s="447">
        <f>countifs(Melee!$M:$M,"W",Melee!D:D,U232)</f>
        <v>3</v>
      </c>
      <c r="W232" s="446">
        <f>countifs(Melee!M:M,"L",Melee!D:D,U232)</f>
        <v>2</v>
      </c>
      <c r="X232">
        <f t="shared" si="1"/>
        <v>5</v>
      </c>
      <c r="Y232">
        <f t="shared" si="2"/>
        <v>5.540860175</v>
      </c>
    </row>
    <row r="233">
      <c r="A233" s="174"/>
      <c r="D233" s="174"/>
      <c r="E233" s="174"/>
      <c r="F233" s="174"/>
      <c r="G233" s="174"/>
      <c r="U233" t="str">
        <f>IFERROR(__xludf.DUMMYFUNCTION("""COMPUTED_VALUE"""),"UMeMe 74")</f>
        <v>UMeMe 74</v>
      </c>
      <c r="V233" s="447">
        <f>countifs(Melee!$M:$M,"W",Melee!D:D,U233)</f>
        <v>2</v>
      </c>
      <c r="W233" s="446">
        <f>countifs(Melee!M:M,"L",Melee!D:D,U233)</f>
        <v>2</v>
      </c>
      <c r="X233">
        <f t="shared" si="1"/>
        <v>4</v>
      </c>
      <c r="Y233">
        <f t="shared" si="2"/>
        <v>4.313686989</v>
      </c>
    </row>
    <row r="234">
      <c r="A234" s="174"/>
      <c r="D234" s="174"/>
      <c r="E234" s="174"/>
      <c r="F234" s="174"/>
      <c r="G234" s="174"/>
      <c r="U234" t="str">
        <f>IFERROR(__xludf.DUMMYFUNCTION("""COMPUTED_VALUE"""),"UMeMe 76")</f>
        <v>UMeMe 76</v>
      </c>
      <c r="V234" s="447">
        <f>countifs(Melee!$M:$M,"W",Melee!D:D,U234)</f>
        <v>3</v>
      </c>
      <c r="W234" s="446">
        <f>countifs(Melee!M:M,"L",Melee!D:D,U234)</f>
        <v>2</v>
      </c>
      <c r="X234">
        <f t="shared" si="1"/>
        <v>5</v>
      </c>
      <c r="Y234">
        <f t="shared" si="2"/>
        <v>5.280945142</v>
      </c>
    </row>
    <row r="235">
      <c r="A235" s="174"/>
      <c r="D235" s="174"/>
      <c r="E235" s="174"/>
      <c r="F235" s="174"/>
      <c r="G235" s="174"/>
      <c r="U235" t="str">
        <f>IFERROR(__xludf.DUMMYFUNCTION("""COMPUTED_VALUE"""),"UMeMe 77")</f>
        <v>UMeMe 77</v>
      </c>
      <c r="V235" s="447">
        <f>countifs(Melee!$M:$M,"W",Melee!D:D,U235)</f>
        <v>2</v>
      </c>
      <c r="W235" s="446">
        <f>countifs(Melee!M:M,"L",Melee!D:D,U235)</f>
        <v>2</v>
      </c>
      <c r="X235">
        <f t="shared" si="1"/>
        <v>4</v>
      </c>
      <c r="Y235">
        <f t="shared" si="2"/>
        <v>4.939532288</v>
      </c>
    </row>
    <row r="236">
      <c r="A236" s="174"/>
      <c r="D236" s="174"/>
      <c r="E236" s="174"/>
      <c r="F236" s="174"/>
      <c r="G236" s="174"/>
      <c r="U236" t="str">
        <f>IFERROR(__xludf.DUMMYFUNCTION("""COMPUTED_VALUE"""),"UMeMe 79")</f>
        <v>UMeMe 79</v>
      </c>
      <c r="V236" s="447">
        <f>countifs(Melee!$M:$M,"W",Melee!D:D,U236)</f>
        <v>1</v>
      </c>
      <c r="W236" s="446">
        <f>countifs(Melee!M:M,"L",Melee!D:D,U236)</f>
        <v>2</v>
      </c>
      <c r="X236">
        <f t="shared" si="1"/>
        <v>3</v>
      </c>
      <c r="Y236">
        <f t="shared" si="2"/>
        <v>3.610566794</v>
      </c>
    </row>
    <row r="237">
      <c r="A237" s="174"/>
      <c r="D237" s="174"/>
      <c r="E237" s="174"/>
      <c r="F237" s="174"/>
      <c r="G237" s="174"/>
      <c r="U237" t="str">
        <f>IFERROR(__xludf.DUMMYFUNCTION("""COMPUTED_VALUE"""),"UMeMe 80")</f>
        <v>UMeMe 80</v>
      </c>
      <c r="V237" s="447">
        <f>countifs(Melee!$M:$M,"W",Melee!D:D,U237)</f>
        <v>1</v>
      </c>
      <c r="W237" s="446">
        <f>countifs(Melee!M:M,"L",Melee!D:D,U237)</f>
        <v>2</v>
      </c>
      <c r="X237">
        <f t="shared" si="1"/>
        <v>3</v>
      </c>
      <c r="Y237">
        <f t="shared" si="2"/>
        <v>3.780979242</v>
      </c>
    </row>
    <row r="238">
      <c r="A238" s="174"/>
      <c r="D238" s="174"/>
      <c r="E238" s="174"/>
      <c r="F238" s="174"/>
      <c r="G238" s="174"/>
      <c r="U238" t="str">
        <f>IFERROR(__xludf.DUMMYFUNCTION("""COMPUTED_VALUE"""),"UMeMe 82")</f>
        <v>UMeMe 82</v>
      </c>
      <c r="V238" s="447">
        <f>countifs(Melee!$M:$M,"W",Melee!D:D,U238)</f>
        <v>6</v>
      </c>
      <c r="W238" s="446">
        <f>countifs(Melee!M:M,"L",Melee!D:D,U238)</f>
        <v>3</v>
      </c>
      <c r="X238">
        <f t="shared" si="1"/>
        <v>9</v>
      </c>
      <c r="Y238">
        <f t="shared" si="2"/>
        <v>9.994306832</v>
      </c>
    </row>
    <row r="239">
      <c r="A239" s="174"/>
      <c r="D239" s="174"/>
      <c r="E239" s="174"/>
      <c r="F239" s="174"/>
      <c r="G239" s="174"/>
      <c r="U239" t="str">
        <f>IFERROR(__xludf.DUMMYFUNCTION("""COMPUTED_VALUE"""),"UMeMe 85")</f>
        <v>UMeMe 85</v>
      </c>
      <c r="V239" s="447">
        <f>countifs(Melee!$M:$M,"W",Melee!D:D,U239)</f>
        <v>4</v>
      </c>
      <c r="W239" s="446">
        <f>countifs(Melee!M:M,"L",Melee!D:D,U239)</f>
        <v>4</v>
      </c>
      <c r="X239">
        <f t="shared" si="1"/>
        <v>8</v>
      </c>
      <c r="Y239">
        <f t="shared" si="2"/>
        <v>8.583104377</v>
      </c>
    </row>
    <row r="240">
      <c r="A240" s="174"/>
      <c r="D240" s="174"/>
      <c r="E240" s="174"/>
      <c r="F240" s="174"/>
      <c r="G240" s="174"/>
      <c r="U240" t="str">
        <f>IFERROR(__xludf.DUMMYFUNCTION("""COMPUTED_VALUE"""),"UMeMe 86")</f>
        <v>UMeMe 86</v>
      </c>
      <c r="V240" s="447">
        <f>countifs(Melee!$M:$M,"W",Melee!D:D,U240)</f>
        <v>3</v>
      </c>
      <c r="W240" s="446">
        <f>countifs(Melee!M:M,"L",Melee!D:D,U240)</f>
        <v>3</v>
      </c>
      <c r="X240">
        <f t="shared" si="1"/>
        <v>6</v>
      </c>
      <c r="Y240">
        <f t="shared" si="2"/>
        <v>6.772505834</v>
      </c>
    </row>
    <row r="241">
      <c r="A241" s="174"/>
      <c r="D241" s="174"/>
      <c r="E241" s="174"/>
      <c r="F241" s="174"/>
      <c r="G241" s="174"/>
      <c r="U241" t="str">
        <f>IFERROR(__xludf.DUMMYFUNCTION("""COMPUTED_VALUE"""),"UMeMe 87")</f>
        <v>UMeMe 87</v>
      </c>
      <c r="V241" s="447">
        <f>countifs(Melee!$M:$M,"W",Melee!D:D,U241)</f>
        <v>2</v>
      </c>
      <c r="W241" s="446">
        <f>countifs(Melee!M:M,"L",Melee!D:D,U241)</f>
        <v>2</v>
      </c>
      <c r="X241">
        <f t="shared" si="1"/>
        <v>4</v>
      </c>
      <c r="Y241">
        <f t="shared" si="2"/>
        <v>4.201556668</v>
      </c>
    </row>
    <row r="242">
      <c r="A242" s="174"/>
      <c r="D242" s="174"/>
      <c r="E242" s="174"/>
      <c r="F242" s="174"/>
      <c r="G242" s="174"/>
      <c r="U242" t="str">
        <f>IFERROR(__xludf.DUMMYFUNCTION("""COMPUTED_VALUE"""),"UMeMe 89")</f>
        <v>UMeMe 89</v>
      </c>
      <c r="V242" s="447">
        <f>countifs(Melee!$M:$M,"W",Melee!D:D,U242)</f>
        <v>4</v>
      </c>
      <c r="W242" s="446">
        <f>countifs(Melee!M:M,"L",Melee!D:D,U242)</f>
        <v>2</v>
      </c>
      <c r="X242">
        <f t="shared" si="1"/>
        <v>6</v>
      </c>
      <c r="Y242">
        <f t="shared" si="2"/>
        <v>6.29049035</v>
      </c>
    </row>
    <row r="243">
      <c r="A243" s="174"/>
      <c r="D243" s="174"/>
      <c r="E243" s="174"/>
      <c r="F243" s="174"/>
      <c r="G243" s="174"/>
      <c r="U243" t="str">
        <f>IFERROR(__xludf.DUMMYFUNCTION("""COMPUTED_VALUE"""),"UMeMe 98")</f>
        <v>UMeMe 98</v>
      </c>
      <c r="V243" s="447">
        <f>countifs(Melee!$M:$M,"W",Melee!D:D,U243)</f>
        <v>5</v>
      </c>
      <c r="W243" s="446">
        <f>countifs(Melee!M:M,"L",Melee!D:D,U243)</f>
        <v>4</v>
      </c>
      <c r="X243">
        <f t="shared" si="1"/>
        <v>9</v>
      </c>
      <c r="Y243">
        <f t="shared" si="2"/>
        <v>9.8113045</v>
      </c>
    </row>
    <row r="244">
      <c r="A244" s="174"/>
      <c r="D244" s="174"/>
      <c r="E244" s="174"/>
      <c r="F244" s="174"/>
      <c r="G244" s="174"/>
      <c r="U244" t="str">
        <f>IFERROR(__xludf.DUMMYFUNCTION("""COMPUTED_VALUE"""),"UNITE: A Michigan Smash Event")</f>
        <v>UNITE: A Michigan Smash Event</v>
      </c>
      <c r="V244" s="447">
        <f>countifs(Melee!$M:$M,"W",Melee!D:D,U244)</f>
        <v>3</v>
      </c>
      <c r="W244" s="446">
        <f>countifs(Melee!M:M,"L",Melee!D:D,U244)</f>
        <v>2</v>
      </c>
      <c r="X244">
        <f t="shared" si="1"/>
        <v>5</v>
      </c>
      <c r="Y244">
        <f t="shared" si="2"/>
        <v>5.137083372</v>
      </c>
    </row>
    <row r="245">
      <c r="A245" s="174"/>
      <c r="D245" s="174"/>
      <c r="E245" s="174"/>
      <c r="F245" s="174"/>
      <c r="G245" s="174"/>
      <c r="U245" t="str">
        <f>IFERROR(__xludf.DUMMYFUNCTION("""COMPUTED_VALUE"""),"Whack #1")</f>
        <v>Whack #1</v>
      </c>
      <c r="V245" s="447">
        <f>countifs(Melee!$M:$M,"W",Melee!D:D,U245)</f>
        <v>4</v>
      </c>
      <c r="W245" s="446">
        <f>countifs(Melee!M:M,"L",Melee!D:D,U245)</f>
        <v>2</v>
      </c>
      <c r="X245">
        <f t="shared" si="1"/>
        <v>6</v>
      </c>
      <c r="Y245">
        <f t="shared" si="2"/>
        <v>6.948923977</v>
      </c>
    </row>
    <row r="246">
      <c r="A246" s="174"/>
      <c r="D246" s="174"/>
      <c r="E246" s="174"/>
      <c r="F246" s="174"/>
      <c r="G246" s="174"/>
      <c r="U246" t="str">
        <f>IFERROR(__xludf.DUMMYFUNCTION("""COMPUTED_VALUE"""),"Whack #3")</f>
        <v>Whack #3</v>
      </c>
      <c r="V246" s="447">
        <f>countifs(Melee!$M:$M,"W",Melee!D:D,U246)</f>
        <v>1</v>
      </c>
      <c r="W246" s="446">
        <f>countifs(Melee!M:M,"L",Melee!D:D,U246)</f>
        <v>2</v>
      </c>
      <c r="X246">
        <f t="shared" si="1"/>
        <v>3</v>
      </c>
      <c r="Y246">
        <f t="shared" si="2"/>
        <v>3.114399719</v>
      </c>
    </row>
    <row r="247">
      <c r="A247" s="174"/>
      <c r="D247" s="174"/>
      <c r="E247" s="174"/>
      <c r="F247" s="174"/>
      <c r="G247" s="174"/>
      <c r="U247" t="str">
        <f>IFERROR(__xludf.DUMMYFUNCTION("""COMPUTED_VALUE"""),"Windependance Day")</f>
        <v>Windependance Day</v>
      </c>
      <c r="V247" s="447">
        <f>countifs(Melee!$M:$M,"W",Melee!D:D,U247)</f>
        <v>3</v>
      </c>
      <c r="W247" s="446">
        <f>countifs(Melee!M:M,"L",Melee!D:D,U247)</f>
        <v>4</v>
      </c>
      <c r="X247">
        <f t="shared" si="1"/>
        <v>7</v>
      </c>
      <c r="Y247">
        <f t="shared" si="2"/>
        <v>7.523455764</v>
      </c>
    </row>
    <row r="248">
      <c r="A248" s="174"/>
      <c r="D248" s="174"/>
      <c r="E248" s="174"/>
      <c r="F248" s="174"/>
      <c r="G248" s="174"/>
      <c r="U248" t="str">
        <f>IFERROR(__xludf.DUMMYFUNCTION("""COMPUTED_VALUE"""),"Wolverina 2")</f>
        <v>Wolverina 2</v>
      </c>
      <c r="V248" s="447">
        <f>countifs(Melee!$M:$M,"W",Melee!D:D,U248)</f>
        <v>2</v>
      </c>
      <c r="W248" s="446">
        <f>countifs(Melee!M:M,"L",Melee!D:D,U248)</f>
        <v>2</v>
      </c>
      <c r="X248">
        <f t="shared" si="1"/>
        <v>4</v>
      </c>
      <c r="Y248">
        <f t="shared" si="2"/>
        <v>4.286335302</v>
      </c>
    </row>
    <row r="249">
      <c r="A249" s="174"/>
      <c r="D249" s="174"/>
      <c r="E249" s="174"/>
      <c r="F249" s="174"/>
      <c r="G249" s="174"/>
      <c r="U249" t="str">
        <f>IFERROR(__xludf.DUMMYFUNCTION("""COMPUTED_VALUE"""),"Wolverine sUMmit")</f>
        <v>Wolverine sUMmit</v>
      </c>
      <c r="V249" s="447">
        <f>countifs(Melee!$M:$M,"W",Melee!D:D,U249)</f>
        <v>5</v>
      </c>
      <c r="W249" s="446">
        <f>countifs(Melee!M:M,"L",Melee!D:D,U249)</f>
        <v>5</v>
      </c>
      <c r="X249">
        <f t="shared" si="1"/>
        <v>10</v>
      </c>
      <c r="Y249">
        <f t="shared" si="2"/>
        <v>10.13957081</v>
      </c>
    </row>
    <row r="250">
      <c r="A250" s="174"/>
      <c r="D250" s="174"/>
      <c r="E250" s="174"/>
      <c r="F250" s="174"/>
      <c r="G250" s="174"/>
      <c r="U250" t="str">
        <f>IFERROR(__xludf.DUMMYFUNCTION("""COMPUTED_VALUE"""),"WWE #11")</f>
        <v>WWE #11</v>
      </c>
      <c r="V250" s="447">
        <f>countifs(Melee!$M:$M,"W",Melee!D:D,U250)</f>
        <v>3</v>
      </c>
      <c r="W250" s="446">
        <f>countifs(Melee!M:M,"L",Melee!D:D,U250)</f>
        <v>2</v>
      </c>
      <c r="X250">
        <f t="shared" si="1"/>
        <v>5</v>
      </c>
      <c r="Y250">
        <f t="shared" si="2"/>
        <v>5.674719716</v>
      </c>
    </row>
    <row r="251">
      <c r="A251" s="174"/>
      <c r="D251" s="174"/>
      <c r="E251" s="174"/>
      <c r="F251" s="174"/>
      <c r="G251" s="174"/>
      <c r="U251" t="str">
        <f>IFERROR(__xludf.DUMMYFUNCTION("""COMPUTED_VALUE"""),"WWE #12")</f>
        <v>WWE #12</v>
      </c>
      <c r="V251" s="447">
        <f>countifs(Melee!$M:$M,"W",Melee!D:D,U251)</f>
        <v>4</v>
      </c>
      <c r="W251" s="446">
        <f>countifs(Melee!M:M,"L",Melee!D:D,U251)</f>
        <v>2</v>
      </c>
      <c r="X251">
        <f t="shared" si="1"/>
        <v>6</v>
      </c>
      <c r="Y251">
        <f t="shared" si="2"/>
        <v>6.538002328</v>
      </c>
    </row>
    <row r="252">
      <c r="A252" s="174"/>
      <c r="D252" s="174"/>
      <c r="E252" s="174"/>
      <c r="F252" s="174"/>
      <c r="G252" s="174"/>
      <c r="U252" t="str">
        <f>IFERROR(__xludf.DUMMYFUNCTION("""COMPUTED_VALUE"""),"WWE #16")</f>
        <v>WWE #16</v>
      </c>
      <c r="V252" s="447">
        <f>countifs(Melee!$M:$M,"W",Melee!D:D,U252)</f>
        <v>3</v>
      </c>
      <c r="W252" s="446">
        <f>countifs(Melee!M:M,"L",Melee!D:D,U252)</f>
        <v>2</v>
      </c>
      <c r="X252">
        <f t="shared" si="1"/>
        <v>5</v>
      </c>
      <c r="Y252">
        <f t="shared" si="2"/>
        <v>5.312670519</v>
      </c>
    </row>
    <row r="253">
      <c r="A253" s="174"/>
      <c r="D253" s="174"/>
      <c r="E253" s="174"/>
      <c r="F253" s="174"/>
      <c r="G253" s="174"/>
      <c r="U253" t="str">
        <f>IFERROR(__xludf.DUMMYFUNCTION("""COMPUTED_VALUE"""),"WWE #21")</f>
        <v>WWE #21</v>
      </c>
      <c r="V253" s="447">
        <f>countifs(Melee!$M:$M,"W",Melee!D:D,U253)</f>
        <v>3</v>
      </c>
      <c r="W253" s="446">
        <f>countifs(Melee!M:M,"L",Melee!D:D,U253)</f>
        <v>2</v>
      </c>
      <c r="X253">
        <f t="shared" si="1"/>
        <v>5</v>
      </c>
      <c r="Y253">
        <f t="shared" si="2"/>
        <v>5.571332384</v>
      </c>
    </row>
    <row r="254">
      <c r="A254" s="174"/>
      <c r="D254" s="174"/>
      <c r="E254" s="174"/>
      <c r="F254" s="174"/>
      <c r="G254" s="174"/>
      <c r="U254" t="str">
        <f>IFERROR(__xludf.DUMMYFUNCTION("""COMPUTED_VALUE"""),"WWE #22")</f>
        <v>WWE #22</v>
      </c>
      <c r="V254" s="447">
        <f>countifs(Melee!$M:$M,"W",Melee!D:D,U254)</f>
        <v>3</v>
      </c>
      <c r="W254" s="446">
        <f>countifs(Melee!M:M,"L",Melee!D:D,U254)</f>
        <v>2</v>
      </c>
      <c r="X254">
        <f t="shared" si="1"/>
        <v>5</v>
      </c>
      <c r="Y254">
        <f t="shared" si="2"/>
        <v>5.362736996</v>
      </c>
    </row>
    <row r="255">
      <c r="A255" s="174"/>
      <c r="D255" s="174"/>
      <c r="E255" s="174"/>
      <c r="F255" s="174"/>
      <c r="G255" s="174"/>
      <c r="U255" t="str">
        <f>IFERROR(__xludf.DUMMYFUNCTION("""COMPUTED_VALUE"""),"WWE #56")</f>
        <v>WWE #56</v>
      </c>
      <c r="V255" s="447">
        <f>countifs(Melee!$M:$M,"W",Melee!D:D,U255)</f>
        <v>4</v>
      </c>
      <c r="W255" s="446">
        <f>countifs(Melee!M:M,"L",Melee!D:D,U255)</f>
        <v>4</v>
      </c>
      <c r="X255">
        <f t="shared" si="1"/>
        <v>8</v>
      </c>
      <c r="Y255">
        <f t="shared" si="2"/>
        <v>8.938310859</v>
      </c>
    </row>
    <row r="256">
      <c r="A256" s="174"/>
      <c r="D256" s="174"/>
      <c r="E256" s="174"/>
      <c r="F256" s="174"/>
      <c r="G256" s="174"/>
      <c r="U256" t="str">
        <f>IFERROR(__xludf.DUMMYFUNCTION("""COMPUTED_VALUE"""),"WWE #71")</f>
        <v>WWE #71</v>
      </c>
      <c r="V256" s="447">
        <f>countifs(Melee!$M:$M,"W",Melee!D:D,U256)</f>
        <v>3</v>
      </c>
      <c r="W256" s="446">
        <f>countifs(Melee!M:M,"L",Melee!D:D,U256)</f>
        <v>2</v>
      </c>
      <c r="X256">
        <f t="shared" si="1"/>
        <v>5</v>
      </c>
      <c r="Y256">
        <f t="shared" si="2"/>
        <v>5.567057456</v>
      </c>
    </row>
    <row r="257">
      <c r="A257" s="174"/>
      <c r="D257" s="174"/>
      <c r="E257" s="174"/>
      <c r="F257" s="174"/>
      <c r="G257" s="174"/>
      <c r="U257" t="str">
        <f>IFERROR(__xludf.DUMMYFUNCTION("""COMPUTED_VALUE"""),"WWE #73")</f>
        <v>WWE #73</v>
      </c>
      <c r="V257" s="447">
        <f>countifs(Melee!$M:$M,"W",Melee!D:D,U257)</f>
        <v>3</v>
      </c>
      <c r="W257" s="446">
        <f>countifs(Melee!M:M,"L",Melee!D:D,U257)</f>
        <v>2</v>
      </c>
      <c r="X257">
        <f t="shared" si="1"/>
        <v>5</v>
      </c>
      <c r="Y257">
        <f t="shared" si="2"/>
        <v>5.327591424</v>
      </c>
    </row>
    <row r="258">
      <c r="A258" s="174"/>
      <c r="D258" s="174"/>
      <c r="E258" s="174"/>
      <c r="F258" s="174"/>
      <c r="G258" s="174"/>
      <c r="U258" t="str">
        <f>IFERROR(__xludf.DUMMYFUNCTION("""COMPUTED_VALUE"""),"WWE #79 Grand Finale")</f>
        <v>WWE #79 Grand Finale</v>
      </c>
      <c r="V258" s="447">
        <f>countifs(Melee!$M:$M,"W",Melee!D:D,U258)</f>
        <v>2</v>
      </c>
      <c r="W258" s="446">
        <f>countifs(Melee!M:M,"L",Melee!D:D,U258)</f>
        <v>2</v>
      </c>
      <c r="X258">
        <f t="shared" si="1"/>
        <v>4</v>
      </c>
      <c r="Y258">
        <f t="shared" si="2"/>
        <v>4.137699691</v>
      </c>
    </row>
    <row r="259">
      <c r="A259" s="174"/>
      <c r="D259" s="174"/>
      <c r="E259" s="174"/>
      <c r="F259" s="174"/>
      <c r="G259" s="174"/>
      <c r="U259" t="str">
        <f>IFERROR(__xludf.DUMMYFUNCTION("""COMPUTED_VALUE"""),"WWE 60")</f>
        <v>WWE 60</v>
      </c>
      <c r="V259" s="447">
        <f>countifs(Melee!$M:$M,"W",Melee!D:D,U259)</f>
        <v>2</v>
      </c>
      <c r="W259" s="446">
        <f>countifs(Melee!M:M,"L",Melee!D:D,U259)</f>
        <v>2</v>
      </c>
      <c r="X259">
        <f t="shared" si="1"/>
        <v>4</v>
      </c>
      <c r="Y259">
        <f t="shared" si="2"/>
        <v>4.743385783</v>
      </c>
    </row>
    <row r="260">
      <c r="A260" s="174"/>
      <c r="D260" s="174"/>
      <c r="E260" s="174"/>
      <c r="F260" s="174"/>
      <c r="G260" s="174"/>
      <c r="U260" t="str">
        <f>IFERROR(__xludf.DUMMYFUNCTION("""COMPUTED_VALUE"""),"WWE 67")</f>
        <v>WWE 67</v>
      </c>
      <c r="V260" s="447">
        <f>countifs(Melee!$M:$M,"W",Melee!D:D,U260)</f>
        <v>2</v>
      </c>
      <c r="W260" s="446">
        <f>countifs(Melee!M:M,"L",Melee!D:D,U260)</f>
        <v>2</v>
      </c>
      <c r="X260">
        <f t="shared" si="1"/>
        <v>4</v>
      </c>
      <c r="Y260">
        <f t="shared" si="2"/>
        <v>4.302963203</v>
      </c>
    </row>
    <row r="261">
      <c r="A261" s="174"/>
      <c r="D261" s="174"/>
      <c r="E261" s="174"/>
      <c r="F261" s="174"/>
      <c r="G261" s="174"/>
      <c r="U261" t="str">
        <f>IFERROR(__xludf.DUMMYFUNCTION("""COMPUTED_VALUE"""),"Youmacon 2015")</f>
        <v>Youmacon 2015</v>
      </c>
      <c r="V261" s="447">
        <f>countifs(Melee!$M:$M,"W",Melee!D:D,U261)</f>
        <v>0</v>
      </c>
      <c r="W261" s="446">
        <f>countifs(Melee!M:M,"L",Melee!D:D,U261)</f>
        <v>2</v>
      </c>
      <c r="X261">
        <f t="shared" si="1"/>
        <v>2</v>
      </c>
      <c r="Y261">
        <f t="shared" si="2"/>
        <v>2.562976554</v>
      </c>
    </row>
    <row r="262">
      <c r="A262" s="174"/>
      <c r="D262" s="174"/>
      <c r="E262" s="174"/>
      <c r="F262" s="174"/>
      <c r="G262" s="174"/>
      <c r="U262" t="str">
        <f>IFERROR(__xludf.DUMMYFUNCTION("""COMPUTED_VALUE"""),"Youmacon 2016")</f>
        <v>Youmacon 2016</v>
      </c>
      <c r="V262" s="447">
        <f>countifs(Melee!$M:$M,"W",Melee!D:D,U262)</f>
        <v>4</v>
      </c>
      <c r="W262" s="446">
        <f>countifs(Melee!M:M,"L",Melee!D:D,U262)</f>
        <v>2</v>
      </c>
      <c r="X262">
        <f t="shared" si="1"/>
        <v>6</v>
      </c>
      <c r="Y262">
        <f t="shared" si="2"/>
        <v>6.600669715</v>
      </c>
    </row>
    <row r="263">
      <c r="A263" s="174"/>
      <c r="D263" s="174"/>
      <c r="E263" s="174"/>
      <c r="F263" s="174"/>
      <c r="G263" s="174"/>
      <c r="U263" t="str">
        <f>IFERROR(__xludf.DUMMYFUNCTION("""COMPUTED_VALUE"""),"Youmacon 2017")</f>
        <v>Youmacon 2017</v>
      </c>
      <c r="V263" s="447">
        <f>countifs(Melee!$M:$M,"W",Melee!D:D,U263)</f>
        <v>1</v>
      </c>
      <c r="W263" s="446">
        <f>countifs(Melee!M:M,"L",Melee!D:D,U263)</f>
        <v>2</v>
      </c>
      <c r="X263">
        <f t="shared" si="1"/>
        <v>3</v>
      </c>
      <c r="Y263">
        <f t="shared" si="2"/>
        <v>3.411830001</v>
      </c>
    </row>
    <row r="264">
      <c r="A264" s="174"/>
      <c r="D264" s="174"/>
      <c r="E264" s="174"/>
      <c r="F264" s="174"/>
      <c r="G264" s="174"/>
      <c r="U264" t="str">
        <f>IFERROR(__xludf.DUMMYFUNCTION("""COMPUTED_VALUE"""),"Youmacon 2018")</f>
        <v>Youmacon 2018</v>
      </c>
      <c r="V264" s="447">
        <f>countifs(Melee!$M:$M,"W",Melee!D:D,U264)</f>
        <v>3</v>
      </c>
      <c r="W264" s="446">
        <f>countifs(Melee!M:M,"L",Melee!D:D,U264)</f>
        <v>2</v>
      </c>
      <c r="X264">
        <f t="shared" si="1"/>
        <v>5</v>
      </c>
      <c r="Y264">
        <f t="shared" si="2"/>
        <v>5.918957227</v>
      </c>
    </row>
    <row r="265">
      <c r="A265" s="174"/>
      <c r="D265" s="174"/>
      <c r="E265" s="174"/>
      <c r="F265" s="174"/>
      <c r="G265" s="174"/>
      <c r="U265" t="str">
        <f>IFERROR(__xludf.DUMMYFUNCTION("""COMPUTED_VALUE"""),"Youmacon 2019")</f>
        <v>Youmacon 2019</v>
      </c>
      <c r="V265" s="447">
        <f>countifs(Melee!$M:$M,"W",Melee!D:D,U265)</f>
        <v>3</v>
      </c>
      <c r="W265" s="446">
        <f>countifs(Melee!M:M,"L",Melee!D:D,U265)</f>
        <v>2</v>
      </c>
      <c r="X265">
        <f t="shared" si="1"/>
        <v>5</v>
      </c>
      <c r="Y265">
        <f t="shared" si="2"/>
        <v>5.729376901</v>
      </c>
    </row>
    <row r="266">
      <c r="A266" s="174"/>
      <c r="D266" s="174"/>
      <c r="E266" s="174"/>
      <c r="F266" s="174"/>
      <c r="G266" s="174"/>
      <c r="U266" s="95"/>
      <c r="V266" s="447">
        <f>countifs(Melee!$M:$M,"W",Melee!D:D,U266)</f>
        <v>0</v>
      </c>
      <c r="W266" s="446">
        <f>countifs(Melee!M:M,"L",Melee!D:D,U266)</f>
        <v>0</v>
      </c>
      <c r="X266">
        <f t="shared" si="1"/>
        <v>0</v>
      </c>
      <c r="Y266">
        <f t="shared" si="2"/>
        <v>0.5110488049</v>
      </c>
    </row>
    <row r="267">
      <c r="A267" s="174"/>
      <c r="D267" s="174"/>
      <c r="E267" s="174"/>
      <c r="F267" s="174"/>
      <c r="G267" s="174"/>
      <c r="V267" s="447">
        <f>countifs(Melee!$M:$M,"W",Melee!D:D,U267)</f>
        <v>0</v>
      </c>
      <c r="W267" s="446">
        <f>countifs(Melee!M:M,"L",Melee!D:D,U267)</f>
        <v>0</v>
      </c>
      <c r="X267">
        <f t="shared" si="1"/>
        <v>0</v>
      </c>
      <c r="Y267">
        <f t="shared" si="2"/>
        <v>0.07117112104</v>
      </c>
    </row>
    <row r="268">
      <c r="A268" s="174"/>
      <c r="D268" s="174"/>
      <c r="E268" s="174"/>
      <c r="F268" s="174"/>
      <c r="G268" s="174"/>
      <c r="V268" s="447">
        <f>countifs(Melee!$M:$M,"W",Melee!D:D,U268)</f>
        <v>0</v>
      </c>
      <c r="W268" s="446">
        <f>countifs(Melee!M:M,"L",Melee!D:D,U268)</f>
        <v>0</v>
      </c>
      <c r="X268">
        <f t="shared" si="1"/>
        <v>0</v>
      </c>
      <c r="Y268">
        <f t="shared" si="2"/>
        <v>0.3007420592</v>
      </c>
    </row>
    <row r="269">
      <c r="A269" s="174"/>
      <c r="D269" s="174"/>
      <c r="E269" s="174"/>
      <c r="F269" s="174"/>
      <c r="G269" s="174"/>
      <c r="V269" s="447">
        <f>countifs(Melee!$M:$M,"W",Melee!D:D,U269)</f>
        <v>0</v>
      </c>
      <c r="W269" s="446">
        <f>countifs(Melee!M:M,"L",Melee!D:D,U269)</f>
        <v>0</v>
      </c>
      <c r="X269">
        <f t="shared" si="1"/>
        <v>0</v>
      </c>
      <c r="Y269">
        <f t="shared" si="2"/>
        <v>0.7755066975</v>
      </c>
    </row>
    <row r="270">
      <c r="A270" s="174"/>
      <c r="D270" s="174"/>
      <c r="E270" s="174"/>
      <c r="F270" s="174"/>
      <c r="G270" s="174"/>
      <c r="V270" s="447">
        <f>countifs(Melee!$M:$M,"W",Melee!D:D,U270)</f>
        <v>0</v>
      </c>
      <c r="W270" s="446">
        <f>countifs(Melee!M:M,"L",Melee!D:D,U270)</f>
        <v>0</v>
      </c>
      <c r="X270">
        <f t="shared" si="1"/>
        <v>0</v>
      </c>
      <c r="Y270">
        <f t="shared" si="2"/>
        <v>0.8134355909</v>
      </c>
    </row>
    <row r="271">
      <c r="A271" s="174"/>
      <c r="D271" s="174"/>
      <c r="E271" s="174"/>
      <c r="F271" s="174"/>
      <c r="G271" s="174"/>
      <c r="V271" s="447">
        <f>countifs(Melee!$M:$M,"W",Melee!D:D,U271)</f>
        <v>0</v>
      </c>
      <c r="W271" s="446">
        <f>countifs(Melee!M:M,"L",Melee!D:D,U271)</f>
        <v>0</v>
      </c>
      <c r="X271">
        <f t="shared" si="1"/>
        <v>0</v>
      </c>
      <c r="Y271">
        <f t="shared" si="2"/>
        <v>0.7797128389</v>
      </c>
    </row>
    <row r="272">
      <c r="A272" s="174"/>
      <c r="D272" s="174"/>
      <c r="E272" s="174"/>
      <c r="F272" s="174"/>
      <c r="G272" s="174"/>
      <c r="V272" s="447">
        <f>countifs(Melee!$M:$M,"W",Melee!D:D,U272)</f>
        <v>0</v>
      </c>
      <c r="W272" s="446">
        <f>countifs(Melee!M:M,"L",Melee!D:D,U272)</f>
        <v>0</v>
      </c>
      <c r="X272">
        <f t="shared" si="1"/>
        <v>0</v>
      </c>
      <c r="Y272">
        <f t="shared" si="2"/>
        <v>0.8424758226</v>
      </c>
    </row>
    <row r="273">
      <c r="A273" s="174"/>
      <c r="D273" s="174"/>
      <c r="E273" s="174"/>
      <c r="F273" s="174"/>
      <c r="G273" s="174"/>
      <c r="V273" s="447">
        <f>countifs(Melee!$M:$M,"W",Melee!D:D,U273)</f>
        <v>0</v>
      </c>
      <c r="W273" s="446">
        <f>countifs(Melee!M:M,"L",Melee!D:D,U273)</f>
        <v>0</v>
      </c>
      <c r="X273">
        <f t="shared" si="1"/>
        <v>0</v>
      </c>
      <c r="Y273">
        <f t="shared" si="2"/>
        <v>0.6589171667</v>
      </c>
    </row>
    <row r="274">
      <c r="A274" s="174"/>
      <c r="D274" s="174"/>
      <c r="E274" s="174"/>
      <c r="F274" s="174"/>
      <c r="G274" s="174"/>
      <c r="V274" s="447">
        <f>countifs(Melee!$M:$M,"W",Melee!D:D,U274)</f>
        <v>0</v>
      </c>
      <c r="W274" s="446">
        <f>countifs(Melee!M:M,"L",Melee!D:D,U274)</f>
        <v>0</v>
      </c>
      <c r="X274">
        <f t="shared" si="1"/>
        <v>0</v>
      </c>
      <c r="Y274">
        <f t="shared" si="2"/>
        <v>0.3371981334</v>
      </c>
    </row>
    <row r="275">
      <c r="A275" s="174"/>
      <c r="D275" s="174"/>
      <c r="E275" s="174"/>
      <c r="F275" s="174"/>
      <c r="G275" s="174"/>
      <c r="V275" s="447">
        <f>countifs(Melee!$M:$M,"W",Melee!D:D,U275)</f>
        <v>0</v>
      </c>
      <c r="W275" s="446">
        <f>countifs(Melee!M:M,"L",Melee!D:D,U275)</f>
        <v>0</v>
      </c>
      <c r="X275">
        <f t="shared" si="1"/>
        <v>0</v>
      </c>
      <c r="Y275">
        <f t="shared" si="2"/>
        <v>0.5743597971</v>
      </c>
    </row>
    <row r="276">
      <c r="A276" s="174"/>
      <c r="D276" s="174"/>
      <c r="E276" s="174"/>
      <c r="F276" s="174"/>
      <c r="G276" s="174"/>
      <c r="V276" s="447">
        <f>countifs(Melee!$M:$M,"W",Melee!D:D,U276)</f>
        <v>0</v>
      </c>
      <c r="W276" s="446">
        <f>countifs(Melee!M:M,"L",Melee!D:D,U276)</f>
        <v>0</v>
      </c>
      <c r="X276">
        <f t="shared" si="1"/>
        <v>0</v>
      </c>
      <c r="Y276">
        <f t="shared" si="2"/>
        <v>0.08760264748</v>
      </c>
    </row>
    <row r="277">
      <c r="A277" s="174"/>
      <c r="D277" s="174"/>
      <c r="E277" s="174"/>
      <c r="F277" s="174"/>
      <c r="G277" s="174"/>
      <c r="V277" s="447">
        <f>countifs(Melee!$M:$M,"W",Melee!D:D,U277)</f>
        <v>0</v>
      </c>
      <c r="W277" s="446">
        <f>countifs(Melee!M:M,"L",Melee!D:D,U277)</f>
        <v>0</v>
      </c>
      <c r="X277">
        <f t="shared" si="1"/>
        <v>0</v>
      </c>
      <c r="Y277">
        <f t="shared" si="2"/>
        <v>0.8462680133</v>
      </c>
    </row>
    <row r="278">
      <c r="A278" s="174"/>
      <c r="D278" s="174"/>
      <c r="E278" s="174"/>
      <c r="F278" s="174"/>
      <c r="G278" s="174"/>
      <c r="V278" s="447">
        <f>countifs(Melee!$M:$M,"W",Melee!D:D,U278)</f>
        <v>0</v>
      </c>
      <c r="W278" s="446">
        <f>countifs(Melee!M:M,"L",Melee!D:D,U278)</f>
        <v>0</v>
      </c>
      <c r="X278">
        <f t="shared" si="1"/>
        <v>0</v>
      </c>
      <c r="Y278">
        <f t="shared" si="2"/>
        <v>0.2071218581</v>
      </c>
    </row>
    <row r="279">
      <c r="A279" s="174"/>
      <c r="D279" s="174"/>
      <c r="E279" s="174"/>
      <c r="F279" s="174"/>
      <c r="G279" s="174"/>
      <c r="V279" s="447">
        <f>countifs(Melee!$M:$M,"W",Melee!D:D,U279)</f>
        <v>0</v>
      </c>
      <c r="W279" s="446">
        <f>countifs(Melee!M:M,"L",Melee!D:D,U279)</f>
        <v>0</v>
      </c>
      <c r="X279">
        <f t="shared" si="1"/>
        <v>0</v>
      </c>
      <c r="Y279">
        <f t="shared" si="2"/>
        <v>0.5354035674</v>
      </c>
    </row>
    <row r="280">
      <c r="A280" s="174"/>
      <c r="D280" s="174"/>
      <c r="E280" s="174"/>
      <c r="F280" s="174"/>
      <c r="G280" s="174"/>
      <c r="V280" s="447">
        <f>countifs(Melee!$M:$M,"W",Melee!D:D,U280)</f>
        <v>0</v>
      </c>
      <c r="W280" s="446">
        <f>countifs(Melee!M:M,"L",Melee!D:D,U280)</f>
        <v>0</v>
      </c>
      <c r="X280">
        <f t="shared" si="1"/>
        <v>0</v>
      </c>
      <c r="Y280">
        <f t="shared" si="2"/>
        <v>0.5710082491</v>
      </c>
    </row>
    <row r="281">
      <c r="A281" s="174"/>
      <c r="D281" s="174"/>
      <c r="E281" s="174"/>
      <c r="F281" s="174"/>
      <c r="G281" s="174"/>
      <c r="V281" s="447">
        <f>countifs(Melee!$M:$M,"W",Melee!D:D,U281)</f>
        <v>0</v>
      </c>
      <c r="W281" s="446">
        <f>countifs(Melee!M:M,"L",Melee!D:D,U281)</f>
        <v>0</v>
      </c>
      <c r="X281">
        <f t="shared" si="1"/>
        <v>0</v>
      </c>
      <c r="Y281">
        <f t="shared" si="2"/>
        <v>0.3458338157</v>
      </c>
    </row>
    <row r="282">
      <c r="A282" s="174"/>
      <c r="D282" s="174"/>
      <c r="E282" s="174"/>
      <c r="F282" s="174"/>
      <c r="G282" s="174"/>
      <c r="V282" s="447">
        <f>countifs(Melee!$M:$M,"W",Melee!D:D,U282)</f>
        <v>0</v>
      </c>
      <c r="W282" s="446">
        <f>countifs(Melee!M:M,"L",Melee!D:D,U282)</f>
        <v>0</v>
      </c>
      <c r="X282">
        <f t="shared" si="1"/>
        <v>0</v>
      </c>
      <c r="Y282">
        <f t="shared" si="2"/>
        <v>0.6607207515</v>
      </c>
    </row>
    <row r="283">
      <c r="A283" s="174"/>
      <c r="D283" s="174"/>
      <c r="E283" s="174"/>
      <c r="F283" s="174"/>
      <c r="G283" s="174"/>
      <c r="V283" s="447">
        <f>countifs(Melee!$M:$M,"W",Melee!D:D,U283)</f>
        <v>0</v>
      </c>
      <c r="W283" s="446">
        <f>countifs(Melee!M:M,"L",Melee!D:D,U283)</f>
        <v>0</v>
      </c>
      <c r="X283">
        <f t="shared" si="1"/>
        <v>0</v>
      </c>
      <c r="Y283">
        <f t="shared" si="2"/>
        <v>0.6080464197</v>
      </c>
    </row>
    <row r="284">
      <c r="A284" s="174"/>
      <c r="D284" s="174"/>
      <c r="E284" s="174"/>
      <c r="F284" s="174"/>
      <c r="G284" s="174"/>
      <c r="V284" s="447">
        <f>countifs(Melee!$M:$M,"W",Melee!D:D,U284)</f>
        <v>0</v>
      </c>
      <c r="W284" s="446">
        <f>countifs(Melee!M:M,"L",Melee!D:D,U284)</f>
        <v>0</v>
      </c>
      <c r="X284">
        <f t="shared" si="1"/>
        <v>0</v>
      </c>
      <c r="Y284">
        <f t="shared" si="2"/>
        <v>0.3671703588</v>
      </c>
    </row>
    <row r="285">
      <c r="A285" s="174"/>
      <c r="D285" s="174"/>
      <c r="E285" s="174"/>
      <c r="F285" s="174"/>
      <c r="G285" s="174"/>
      <c r="V285" s="447">
        <f>countifs(Melee!$M:$M,"W",Melee!D:D,U285)</f>
        <v>0</v>
      </c>
      <c r="W285" s="446">
        <f>countifs(Melee!M:M,"L",Melee!D:D,U285)</f>
        <v>0</v>
      </c>
      <c r="X285">
        <f t="shared" si="1"/>
        <v>0</v>
      </c>
      <c r="Y285">
        <f t="shared" si="2"/>
        <v>0.2156356132</v>
      </c>
    </row>
    <row r="286">
      <c r="A286" s="174"/>
      <c r="D286" s="174"/>
      <c r="E286" s="174"/>
      <c r="F286" s="174"/>
      <c r="G286" s="174"/>
      <c r="V286" s="447">
        <f>countifs(Melee!$M:$M,"W",Melee!D:D,U286)</f>
        <v>0</v>
      </c>
      <c r="W286" s="446">
        <f>countifs(Melee!M:M,"L",Melee!D:D,U286)</f>
        <v>0</v>
      </c>
      <c r="X286">
        <f t="shared" si="1"/>
        <v>0</v>
      </c>
      <c r="Y286">
        <f t="shared" si="2"/>
        <v>0.4062751248</v>
      </c>
    </row>
    <row r="287">
      <c r="A287" s="174"/>
      <c r="D287" s="174"/>
      <c r="E287" s="174"/>
      <c r="F287" s="174"/>
      <c r="G287" s="174"/>
      <c r="V287" s="447">
        <f>countifs(Melee!$M:$M,"W",Melee!D:D,U287)</f>
        <v>0</v>
      </c>
      <c r="W287" s="446">
        <f>countifs(Melee!M:M,"L",Melee!D:D,U287)</f>
        <v>0</v>
      </c>
      <c r="X287">
        <f t="shared" si="1"/>
        <v>0</v>
      </c>
      <c r="Y287">
        <f t="shared" si="2"/>
        <v>0.4604782639</v>
      </c>
    </row>
    <row r="288">
      <c r="A288" s="174"/>
      <c r="D288" s="174"/>
      <c r="E288" s="174"/>
      <c r="F288" s="174"/>
      <c r="G288" s="174"/>
      <c r="V288" s="447">
        <f>countifs(Melee!$M:$M,"W",Melee!D:D,U288)</f>
        <v>0</v>
      </c>
      <c r="W288" s="446">
        <f>countifs(Melee!M:M,"L",Melee!D:D,U288)</f>
        <v>0</v>
      </c>
      <c r="X288">
        <f t="shared" si="1"/>
        <v>0</v>
      </c>
      <c r="Y288">
        <f t="shared" si="2"/>
        <v>0.05307436936</v>
      </c>
    </row>
    <row r="289">
      <c r="A289" s="174"/>
      <c r="D289" s="174"/>
      <c r="E289" s="174"/>
      <c r="F289" s="174"/>
      <c r="G289" s="174"/>
      <c r="V289" s="447">
        <f>countifs(Melee!$M:$M,"W",Melee!D:D,U289)</f>
        <v>0</v>
      </c>
      <c r="W289" s="446">
        <f>countifs(Melee!M:M,"L",Melee!D:D,U289)</f>
        <v>0</v>
      </c>
      <c r="X289">
        <f t="shared" si="1"/>
        <v>0</v>
      </c>
      <c r="Y289">
        <f t="shared" si="2"/>
        <v>0.4212514242</v>
      </c>
    </row>
    <row r="290">
      <c r="A290" s="174"/>
      <c r="D290" s="174"/>
      <c r="E290" s="174"/>
      <c r="F290" s="174"/>
      <c r="G290" s="174"/>
      <c r="V290" s="447">
        <f>countifs(Melee!$M:$M,"W",Melee!D:D,U290)</f>
        <v>0</v>
      </c>
      <c r="W290" s="446">
        <f>countifs(Melee!M:M,"L",Melee!D:D,U290)</f>
        <v>0</v>
      </c>
      <c r="X290">
        <f t="shared" si="1"/>
        <v>0</v>
      </c>
      <c r="Y290">
        <f t="shared" si="2"/>
        <v>0.8753861936</v>
      </c>
    </row>
    <row r="291">
      <c r="A291" s="174"/>
      <c r="D291" s="174"/>
      <c r="E291" s="174"/>
      <c r="F291" s="174"/>
      <c r="G291" s="174"/>
      <c r="V291" s="447">
        <f>countifs(Melee!$M:$M,"W",Melee!D:D,U291)</f>
        <v>0</v>
      </c>
      <c r="W291" s="446">
        <f>countifs(Melee!M:M,"L",Melee!D:D,U291)</f>
        <v>0</v>
      </c>
      <c r="X291">
        <f t="shared" si="1"/>
        <v>0</v>
      </c>
      <c r="Y291">
        <f t="shared" si="2"/>
        <v>0.2296119919</v>
      </c>
    </row>
    <row r="292">
      <c r="A292" s="174"/>
      <c r="D292" s="174"/>
      <c r="E292" s="174"/>
      <c r="F292" s="174"/>
      <c r="G292" s="174"/>
      <c r="V292" s="447">
        <f>countifs(Melee!$M:$M,"W",Melee!D:D,U292)</f>
        <v>0</v>
      </c>
      <c r="W292" s="446">
        <f>countifs(Melee!M:M,"L",Melee!D:D,U292)</f>
        <v>0</v>
      </c>
      <c r="X292">
        <f t="shared" si="1"/>
        <v>0</v>
      </c>
      <c r="Y292">
        <f t="shared" si="2"/>
        <v>0.2800167034</v>
      </c>
    </row>
    <row r="293">
      <c r="A293" s="174"/>
      <c r="D293" s="174"/>
      <c r="E293" s="174"/>
      <c r="F293" s="174"/>
      <c r="G293" s="174"/>
    </row>
    <row r="294">
      <c r="A294" s="174"/>
      <c r="D294" s="174"/>
      <c r="E294" s="174"/>
      <c r="F294" s="174"/>
      <c r="G294" s="174"/>
    </row>
    <row r="295">
      <c r="A295" s="174"/>
      <c r="D295" s="174"/>
      <c r="E295" s="174"/>
      <c r="F295" s="174"/>
      <c r="G295" s="174"/>
    </row>
    <row r="296">
      <c r="A296" s="174"/>
      <c r="D296" s="174"/>
      <c r="E296" s="174"/>
      <c r="F296" s="174"/>
      <c r="G296" s="174"/>
    </row>
    <row r="297">
      <c r="A297" s="174"/>
      <c r="D297" s="174"/>
      <c r="E297" s="174"/>
      <c r="F297" s="174"/>
      <c r="G297" s="174"/>
    </row>
    <row r="298">
      <c r="A298" s="174"/>
      <c r="D298" s="174"/>
      <c r="E298" s="174"/>
      <c r="F298" s="174"/>
      <c r="G298" s="174"/>
    </row>
    <row r="299">
      <c r="A299" s="174"/>
      <c r="D299" s="174"/>
      <c r="E299" s="174"/>
      <c r="F299" s="174"/>
      <c r="G299" s="174"/>
    </row>
    <row r="300">
      <c r="A300" s="174"/>
      <c r="D300" s="174"/>
      <c r="E300" s="174"/>
      <c r="F300" s="174"/>
      <c r="G300" s="174"/>
    </row>
    <row r="301">
      <c r="A301" s="174"/>
      <c r="D301" s="174"/>
      <c r="E301" s="174"/>
      <c r="F301" s="174"/>
      <c r="G301" s="174"/>
    </row>
    <row r="302">
      <c r="A302" s="174"/>
      <c r="D302" s="174"/>
      <c r="E302" s="174"/>
      <c r="F302" s="174"/>
      <c r="G302" s="174"/>
    </row>
    <row r="303">
      <c r="A303" s="174"/>
      <c r="D303" s="174"/>
      <c r="E303" s="174"/>
      <c r="F303" s="174"/>
      <c r="G303" s="174"/>
    </row>
    <row r="304">
      <c r="A304" s="174"/>
      <c r="D304" s="174"/>
      <c r="E304" s="174"/>
      <c r="F304" s="174"/>
      <c r="G304" s="174"/>
    </row>
    <row r="305">
      <c r="A305" s="174"/>
      <c r="D305" s="174"/>
      <c r="E305" s="174"/>
      <c r="F305" s="174"/>
      <c r="G305" s="174"/>
    </row>
    <row r="306">
      <c r="A306" s="174"/>
      <c r="D306" s="174"/>
      <c r="E306" s="174"/>
      <c r="F306" s="174"/>
      <c r="G306" s="174"/>
    </row>
    <row r="307">
      <c r="A307" s="174"/>
      <c r="D307" s="174"/>
      <c r="E307" s="174"/>
      <c r="F307" s="174"/>
      <c r="G307" s="174"/>
    </row>
    <row r="308">
      <c r="A308" s="174"/>
      <c r="D308" s="174"/>
      <c r="E308" s="174"/>
      <c r="F308" s="174"/>
      <c r="G308" s="174"/>
    </row>
    <row r="309">
      <c r="A309" s="174"/>
      <c r="D309" s="174"/>
      <c r="E309" s="174"/>
      <c r="F309" s="174"/>
      <c r="G309" s="174"/>
    </row>
    <row r="310">
      <c r="A310" s="174"/>
      <c r="D310" s="174"/>
      <c r="E310" s="174"/>
      <c r="F310" s="174"/>
      <c r="G310" s="174"/>
    </row>
    <row r="311">
      <c r="A311" s="174"/>
      <c r="D311" s="174"/>
      <c r="E311" s="174"/>
      <c r="F311" s="174"/>
      <c r="G311" s="174"/>
    </row>
    <row r="312">
      <c r="A312" s="174"/>
      <c r="D312" s="174"/>
      <c r="E312" s="174"/>
      <c r="F312" s="174"/>
      <c r="G312" s="174"/>
    </row>
    <row r="313">
      <c r="A313" s="174"/>
      <c r="D313" s="174"/>
      <c r="E313" s="174"/>
      <c r="F313" s="174"/>
      <c r="G313" s="174"/>
    </row>
    <row r="314">
      <c r="A314" s="174"/>
      <c r="D314" s="174"/>
      <c r="E314" s="174"/>
      <c r="F314" s="174"/>
      <c r="G314" s="174"/>
    </row>
    <row r="315">
      <c r="A315" s="174"/>
      <c r="D315" s="174"/>
      <c r="E315" s="174"/>
      <c r="F315" s="174"/>
      <c r="G315" s="174"/>
    </row>
    <row r="316">
      <c r="A316" s="174"/>
      <c r="D316" s="174"/>
      <c r="E316" s="174"/>
      <c r="F316" s="174"/>
      <c r="G316" s="174"/>
    </row>
    <row r="317">
      <c r="A317" s="174"/>
      <c r="D317" s="174"/>
      <c r="E317" s="174"/>
      <c r="F317" s="174"/>
      <c r="G317" s="174"/>
    </row>
    <row r="318">
      <c r="A318" s="174"/>
      <c r="D318" s="174"/>
      <c r="E318" s="174"/>
      <c r="F318" s="174"/>
      <c r="G318" s="174"/>
    </row>
    <row r="319">
      <c r="A319" s="174"/>
      <c r="D319" s="174"/>
      <c r="E319" s="174"/>
      <c r="F319" s="174"/>
      <c r="G319" s="174"/>
    </row>
    <row r="320">
      <c r="A320" s="174"/>
      <c r="D320" s="174"/>
      <c r="E320" s="174"/>
      <c r="F320" s="174"/>
      <c r="G320" s="174"/>
    </row>
    <row r="321">
      <c r="A321" s="174"/>
      <c r="D321" s="174"/>
      <c r="E321" s="174"/>
      <c r="F321" s="174"/>
      <c r="G321" s="174"/>
    </row>
    <row r="322">
      <c r="A322" s="174"/>
      <c r="D322" s="174"/>
      <c r="E322" s="174"/>
      <c r="F322" s="174"/>
      <c r="G322" s="174"/>
    </row>
    <row r="323">
      <c r="A323" s="174"/>
      <c r="D323" s="174"/>
      <c r="E323" s="174"/>
      <c r="F323" s="174"/>
      <c r="G323" s="174"/>
    </row>
    <row r="324">
      <c r="A324" s="174"/>
      <c r="D324" s="174"/>
      <c r="E324" s="174"/>
      <c r="F324" s="174"/>
      <c r="G324" s="174"/>
    </row>
    <row r="325">
      <c r="A325" s="174"/>
      <c r="D325" s="174"/>
      <c r="E325" s="174"/>
      <c r="F325" s="174"/>
      <c r="G325" s="174"/>
    </row>
    <row r="326">
      <c r="A326" s="174"/>
      <c r="D326" s="174"/>
      <c r="E326" s="174"/>
      <c r="F326" s="174"/>
      <c r="G326" s="174"/>
    </row>
    <row r="327">
      <c r="A327" s="174"/>
      <c r="D327" s="174"/>
      <c r="E327" s="174"/>
      <c r="F327" s="174"/>
      <c r="G327" s="174"/>
    </row>
    <row r="328">
      <c r="A328" s="174"/>
      <c r="D328" s="174"/>
      <c r="E328" s="174"/>
      <c r="F328" s="174"/>
      <c r="G328" s="174"/>
    </row>
    <row r="329">
      <c r="A329" s="174"/>
      <c r="D329" s="174"/>
      <c r="E329" s="174"/>
      <c r="F329" s="174"/>
      <c r="G329" s="174"/>
    </row>
    <row r="330">
      <c r="A330" s="174"/>
      <c r="D330" s="174"/>
      <c r="E330" s="174"/>
      <c r="F330" s="174"/>
      <c r="G330" s="174"/>
    </row>
    <row r="331">
      <c r="A331" s="174"/>
      <c r="D331" s="174"/>
      <c r="E331" s="174"/>
      <c r="F331" s="174"/>
      <c r="G331" s="174"/>
    </row>
    <row r="332">
      <c r="A332" s="174"/>
      <c r="D332" s="174"/>
      <c r="E332" s="174"/>
      <c r="F332" s="174"/>
      <c r="G332" s="174"/>
    </row>
    <row r="333">
      <c r="A333" s="174"/>
      <c r="D333" s="174"/>
      <c r="E333" s="174"/>
      <c r="F333" s="174"/>
      <c r="G333" s="174"/>
    </row>
    <row r="334">
      <c r="A334" s="174"/>
      <c r="D334" s="174"/>
      <c r="E334" s="174"/>
      <c r="F334" s="174"/>
      <c r="G334" s="174"/>
    </row>
    <row r="335">
      <c r="A335" s="174"/>
      <c r="D335" s="174"/>
      <c r="E335" s="174"/>
      <c r="F335" s="174"/>
      <c r="G335" s="174"/>
    </row>
    <row r="336">
      <c r="A336" s="174"/>
      <c r="D336" s="174"/>
      <c r="E336" s="174"/>
      <c r="F336" s="174"/>
      <c r="G336" s="174"/>
    </row>
    <row r="337">
      <c r="A337" s="174"/>
      <c r="D337" s="174"/>
      <c r="E337" s="174"/>
      <c r="F337" s="174"/>
      <c r="G337" s="174"/>
    </row>
    <row r="338">
      <c r="A338" s="174"/>
      <c r="D338" s="174"/>
      <c r="E338" s="174"/>
      <c r="F338" s="174"/>
      <c r="G338" s="174"/>
    </row>
    <row r="339">
      <c r="A339" s="174"/>
      <c r="D339" s="174"/>
      <c r="E339" s="174"/>
      <c r="F339" s="174"/>
      <c r="G339" s="174"/>
    </row>
    <row r="340">
      <c r="A340" s="174"/>
      <c r="D340" s="174"/>
      <c r="E340" s="174"/>
      <c r="F340" s="174"/>
      <c r="G340" s="174"/>
    </row>
    <row r="341">
      <c r="A341" s="174"/>
      <c r="D341" s="174"/>
      <c r="E341" s="174"/>
      <c r="F341" s="174"/>
      <c r="G341" s="174"/>
    </row>
    <row r="342">
      <c r="A342" s="174"/>
      <c r="D342" s="174"/>
      <c r="E342" s="174"/>
      <c r="F342" s="174"/>
      <c r="G342" s="174"/>
    </row>
    <row r="343">
      <c r="A343" s="174"/>
      <c r="D343" s="174"/>
      <c r="E343" s="174"/>
      <c r="F343" s="174"/>
      <c r="G343" s="174"/>
    </row>
    <row r="344">
      <c r="A344" s="174"/>
      <c r="D344" s="174"/>
      <c r="E344" s="174"/>
      <c r="F344" s="174"/>
      <c r="G344" s="174"/>
    </row>
    <row r="345">
      <c r="A345" s="174"/>
      <c r="D345" s="174"/>
      <c r="E345" s="174"/>
      <c r="F345" s="174"/>
      <c r="G345" s="174"/>
    </row>
    <row r="346">
      <c r="A346" s="174"/>
      <c r="D346" s="174"/>
      <c r="E346" s="174"/>
      <c r="F346" s="174"/>
      <c r="G346" s="174"/>
    </row>
    <row r="347">
      <c r="A347" s="174"/>
      <c r="D347" s="174"/>
      <c r="E347" s="174"/>
      <c r="F347" s="174"/>
      <c r="G347" s="174"/>
    </row>
    <row r="348">
      <c r="A348" s="174"/>
      <c r="D348" s="174"/>
      <c r="E348" s="174"/>
      <c r="F348" s="174"/>
      <c r="G348" s="174"/>
    </row>
    <row r="349">
      <c r="A349" s="174"/>
      <c r="D349" s="174"/>
      <c r="E349" s="174"/>
      <c r="F349" s="174"/>
      <c r="G349" s="174"/>
    </row>
    <row r="350">
      <c r="A350" s="174"/>
      <c r="D350" s="174"/>
      <c r="E350" s="174"/>
      <c r="F350" s="174"/>
      <c r="G350" s="174"/>
    </row>
    <row r="351">
      <c r="A351" s="174"/>
      <c r="D351" s="174"/>
      <c r="E351" s="174"/>
      <c r="F351" s="174"/>
      <c r="G351" s="174"/>
    </row>
    <row r="352">
      <c r="A352" s="174"/>
      <c r="D352" s="174"/>
      <c r="E352" s="174"/>
      <c r="F352" s="174"/>
      <c r="G352" s="174"/>
    </row>
    <row r="353">
      <c r="A353" s="174"/>
      <c r="D353" s="174"/>
      <c r="E353" s="174"/>
      <c r="F353" s="174"/>
      <c r="G353" s="174"/>
    </row>
    <row r="354">
      <c r="A354" s="174"/>
      <c r="D354" s="174"/>
      <c r="E354" s="174"/>
      <c r="F354" s="174"/>
      <c r="G354" s="174"/>
    </row>
    <row r="355">
      <c r="A355" s="174"/>
      <c r="D355" s="174"/>
      <c r="E355" s="174"/>
      <c r="F355" s="174"/>
      <c r="G355" s="174"/>
    </row>
    <row r="356">
      <c r="A356" s="174"/>
      <c r="D356" s="174"/>
      <c r="E356" s="174"/>
      <c r="F356" s="174"/>
      <c r="G356" s="174"/>
    </row>
    <row r="357">
      <c r="A357" s="174"/>
      <c r="D357" s="174"/>
      <c r="E357" s="174"/>
      <c r="F357" s="174"/>
      <c r="G357" s="174"/>
    </row>
    <row r="358">
      <c r="A358" s="174"/>
      <c r="D358" s="174"/>
      <c r="E358" s="174"/>
      <c r="F358" s="174"/>
      <c r="G358" s="174"/>
    </row>
    <row r="359">
      <c r="A359" s="174"/>
      <c r="D359" s="174"/>
      <c r="E359" s="174"/>
      <c r="F359" s="174"/>
      <c r="G359" s="174"/>
    </row>
    <row r="360">
      <c r="A360" s="174"/>
      <c r="D360" s="174"/>
      <c r="E360" s="174"/>
      <c r="F360" s="174"/>
      <c r="G360" s="174"/>
    </row>
    <row r="361">
      <c r="A361" s="174"/>
      <c r="D361" s="174"/>
      <c r="E361" s="174"/>
      <c r="F361" s="174"/>
      <c r="G361" s="174"/>
    </row>
    <row r="362">
      <c r="A362" s="174"/>
      <c r="D362" s="174"/>
      <c r="E362" s="174"/>
      <c r="F362" s="174"/>
      <c r="G362" s="174"/>
    </row>
    <row r="363">
      <c r="A363" s="174"/>
      <c r="D363" s="174"/>
      <c r="E363" s="174"/>
      <c r="F363" s="174"/>
      <c r="G363" s="174"/>
    </row>
    <row r="364">
      <c r="A364" s="174"/>
      <c r="D364" s="174"/>
      <c r="E364" s="174"/>
      <c r="F364" s="174"/>
      <c r="G364" s="174"/>
    </row>
    <row r="365">
      <c r="A365" s="174"/>
      <c r="D365" s="174"/>
      <c r="E365" s="174"/>
      <c r="F365" s="174"/>
      <c r="G365" s="174"/>
    </row>
    <row r="366">
      <c r="A366" s="174"/>
      <c r="D366" s="174"/>
      <c r="E366" s="174"/>
      <c r="F366" s="174"/>
      <c r="G366" s="174"/>
    </row>
    <row r="367">
      <c r="A367" s="174"/>
      <c r="D367" s="174"/>
      <c r="E367" s="174"/>
      <c r="F367" s="174"/>
      <c r="G367" s="174"/>
    </row>
    <row r="368">
      <c r="A368" s="174"/>
      <c r="D368" s="174"/>
      <c r="E368" s="174"/>
      <c r="F368" s="174"/>
      <c r="G368" s="174"/>
    </row>
    <row r="369">
      <c r="A369" s="174"/>
      <c r="D369" s="174"/>
      <c r="E369" s="174"/>
      <c r="F369" s="174"/>
      <c r="G369" s="174"/>
    </row>
    <row r="370">
      <c r="A370" s="174"/>
      <c r="D370" s="174"/>
      <c r="E370" s="174"/>
      <c r="F370" s="174"/>
      <c r="G370" s="174"/>
    </row>
    <row r="371">
      <c r="A371" s="174"/>
      <c r="D371" s="174"/>
      <c r="E371" s="174"/>
      <c r="F371" s="174"/>
      <c r="G371" s="174"/>
    </row>
    <row r="372">
      <c r="A372" s="174"/>
      <c r="D372" s="174"/>
      <c r="E372" s="174"/>
      <c r="F372" s="174"/>
      <c r="G372" s="174"/>
    </row>
    <row r="373">
      <c r="A373" s="174"/>
      <c r="D373" s="174"/>
      <c r="E373" s="174"/>
      <c r="F373" s="174"/>
      <c r="G373" s="174"/>
    </row>
    <row r="374">
      <c r="A374" s="174"/>
      <c r="D374" s="174"/>
      <c r="E374" s="174"/>
      <c r="F374" s="174"/>
      <c r="G374" s="174"/>
    </row>
    <row r="375">
      <c r="A375" s="174"/>
      <c r="D375" s="174"/>
      <c r="E375" s="174"/>
      <c r="F375" s="174"/>
      <c r="G375" s="174"/>
    </row>
    <row r="376">
      <c r="A376" s="174"/>
      <c r="D376" s="174"/>
      <c r="E376" s="174"/>
      <c r="F376" s="174"/>
      <c r="G376" s="174"/>
    </row>
    <row r="377">
      <c r="A377" s="174"/>
      <c r="D377" s="174"/>
      <c r="E377" s="174"/>
      <c r="F377" s="174"/>
      <c r="G377" s="174"/>
    </row>
    <row r="378">
      <c r="A378" s="174"/>
      <c r="D378" s="174"/>
      <c r="E378" s="174"/>
      <c r="F378" s="174"/>
      <c r="G378" s="174"/>
    </row>
    <row r="379">
      <c r="A379" s="174"/>
      <c r="D379" s="174"/>
      <c r="E379" s="174"/>
      <c r="F379" s="174"/>
      <c r="G379" s="174"/>
    </row>
    <row r="380">
      <c r="A380" s="174"/>
      <c r="D380" s="174"/>
      <c r="E380" s="174"/>
      <c r="F380" s="174"/>
      <c r="G380" s="174"/>
    </row>
    <row r="381">
      <c r="A381" s="174"/>
      <c r="D381" s="174"/>
      <c r="E381" s="174"/>
      <c r="F381" s="174"/>
      <c r="G381" s="174"/>
    </row>
    <row r="382">
      <c r="A382" s="174"/>
      <c r="D382" s="174"/>
      <c r="E382" s="174"/>
      <c r="F382" s="174"/>
      <c r="G382" s="174"/>
    </row>
    <row r="383">
      <c r="A383" s="174"/>
      <c r="D383" s="174"/>
      <c r="E383" s="174"/>
      <c r="F383" s="174"/>
      <c r="G383" s="174"/>
    </row>
    <row r="384">
      <c r="A384" s="174"/>
      <c r="D384" s="174"/>
      <c r="E384" s="174"/>
      <c r="F384" s="174"/>
      <c r="G384" s="174"/>
    </row>
    <row r="385">
      <c r="A385" s="174"/>
      <c r="D385" s="174"/>
      <c r="E385" s="174"/>
      <c r="F385" s="174"/>
      <c r="G385" s="174"/>
    </row>
    <row r="386">
      <c r="A386" s="174"/>
      <c r="D386" s="174"/>
      <c r="E386" s="174"/>
      <c r="F386" s="174"/>
      <c r="G386" s="174"/>
    </row>
    <row r="387">
      <c r="A387" s="174"/>
      <c r="D387" s="174"/>
      <c r="E387" s="174"/>
      <c r="F387" s="174"/>
      <c r="G387" s="174"/>
    </row>
    <row r="388">
      <c r="A388" s="174"/>
      <c r="D388" s="174"/>
      <c r="E388" s="174"/>
      <c r="F388" s="174"/>
      <c r="G388" s="174"/>
    </row>
    <row r="389">
      <c r="A389" s="174"/>
      <c r="D389" s="174"/>
      <c r="E389" s="174"/>
      <c r="F389" s="174"/>
      <c r="G389" s="174"/>
    </row>
    <row r="390">
      <c r="A390" s="174"/>
      <c r="D390" s="174"/>
      <c r="E390" s="174"/>
      <c r="F390" s="174"/>
      <c r="G390" s="174"/>
    </row>
    <row r="391">
      <c r="A391" s="174"/>
      <c r="D391" s="174"/>
      <c r="E391" s="174"/>
      <c r="F391" s="174"/>
      <c r="G391" s="174"/>
    </row>
    <row r="392">
      <c r="A392" s="174"/>
      <c r="D392" s="174"/>
      <c r="E392" s="174"/>
      <c r="F392" s="174"/>
      <c r="G392" s="174"/>
    </row>
    <row r="393">
      <c r="A393" s="174"/>
      <c r="D393" s="174"/>
      <c r="E393" s="174"/>
      <c r="F393" s="174"/>
      <c r="G393" s="174"/>
    </row>
    <row r="394">
      <c r="A394" s="174"/>
      <c r="D394" s="174"/>
      <c r="E394" s="174"/>
      <c r="F394" s="174"/>
      <c r="G394" s="174"/>
    </row>
    <row r="395">
      <c r="A395" s="174"/>
      <c r="D395" s="174"/>
      <c r="E395" s="174"/>
      <c r="F395" s="174"/>
      <c r="G395" s="174"/>
    </row>
    <row r="396">
      <c r="A396" s="174"/>
      <c r="D396" s="174"/>
      <c r="E396" s="174"/>
      <c r="F396" s="174"/>
      <c r="G396" s="174"/>
    </row>
    <row r="397">
      <c r="A397" s="174"/>
      <c r="D397" s="174"/>
      <c r="E397" s="174"/>
      <c r="F397" s="174"/>
      <c r="G397" s="174"/>
    </row>
    <row r="398">
      <c r="A398" s="174"/>
      <c r="D398" s="174"/>
      <c r="E398" s="174"/>
      <c r="F398" s="174"/>
      <c r="G398" s="174"/>
    </row>
    <row r="399">
      <c r="A399" s="174"/>
      <c r="D399" s="174"/>
      <c r="E399" s="174"/>
      <c r="F399" s="174"/>
    </row>
  </sheetData>
  <mergeCells count="4">
    <mergeCell ref="B1:C1"/>
    <mergeCell ref="H1:I1"/>
    <mergeCell ref="L1:M1"/>
    <mergeCell ref="B14:C14"/>
  </mergeCells>
  <conditionalFormatting sqref="C3:C10">
    <cfRule type="colorScale" priority="1">
      <colorScale>
        <cfvo type="min"/>
        <cfvo type="percentile" val="50"/>
        <cfvo type="max"/>
        <color rgb="FF00FFFF"/>
        <color rgb="FF0080FF"/>
        <color rgb="FF0000FF"/>
      </colorScale>
    </cfRule>
  </conditionalFormatting>
  <conditionalFormatting sqref="M3:M12">
    <cfRule type="colorScale" priority="2">
      <colorScale>
        <cfvo type="min"/>
        <cfvo type="percentile" val="50"/>
        <cfvo type="max"/>
        <color rgb="FF00FFFF"/>
        <color rgb="FF0080FF"/>
        <color rgb="FF0000FF"/>
      </colorScale>
    </cfRule>
  </conditionalFormatting>
  <conditionalFormatting sqref="I3:I13 C29">
    <cfRule type="colorScale" priority="3">
      <colorScale>
        <cfvo type="min"/>
        <cfvo type="percentile" val="50"/>
        <cfvo type="max"/>
        <color rgb="FF00FFFF"/>
        <color rgb="FF0080FF"/>
        <color rgb="FF0000FF"/>
      </colorScale>
    </cfRule>
  </conditionalFormatting>
  <conditionalFormatting sqref="X1:Y399">
    <cfRule type="colorScale" priority="4">
      <colorScale>
        <cfvo type="min"/>
        <cfvo type="percentile" val="50"/>
        <cfvo type="max"/>
        <color rgb="FFFF0000"/>
        <color rgb="FFFFD666"/>
        <color rgb="FF00FF00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3.29"/>
    <col customWidth="1" min="2" max="2" width="15.14"/>
    <col customWidth="1" min="3" max="3" width="6.14"/>
    <col customWidth="1" min="4" max="4" width="7.57"/>
    <col customWidth="1" min="5" max="5" width="7.43"/>
  </cols>
  <sheetData>
    <row r="1">
      <c r="A1" s="469" t="s">
        <v>1404</v>
      </c>
    </row>
    <row r="2">
      <c r="A2" s="279" t="s">
        <v>12</v>
      </c>
      <c r="B2" s="279" t="s">
        <v>1349</v>
      </c>
      <c r="C2" s="279" t="s">
        <v>1405</v>
      </c>
      <c r="D2" s="279" t="s">
        <v>1351</v>
      </c>
      <c r="E2" s="279" t="s">
        <v>1352</v>
      </c>
    </row>
    <row r="3">
      <c r="A3" s="470" t="s">
        <v>1406</v>
      </c>
      <c r="B3" s="471">
        <f>COUNTIFS(Melee!$L:$L,"W",Melee!$N:$N, "bf")/countif(Melee!$N:$N,"bf")</f>
        <v>0.5222457627</v>
      </c>
      <c r="C3" s="472">
        <f>COUNTIFS(Melee!$L:$L,"W",Melee!$N:$N, "bf")</f>
        <v>493</v>
      </c>
      <c r="D3" s="472">
        <f t="shared" ref="D3:D8" si="1">E3-C3</f>
        <v>451</v>
      </c>
      <c r="E3" s="473">
        <f>countif(Melee!$N:$N,"bf")</f>
        <v>944</v>
      </c>
    </row>
    <row r="4">
      <c r="A4" s="470" t="s">
        <v>1407</v>
      </c>
      <c r="B4" s="471">
        <f>COUNTIFS(Melee!$L:$L,"W",Melee!$N:$N, "dl")/countif(Melee!$N:$N,"dl")</f>
        <v>0.5782608696</v>
      </c>
      <c r="C4" s="472">
        <f>COUNTIFS(Melee!$L:$L,"W",Melee!$N:$N, "dl")</f>
        <v>266</v>
      </c>
      <c r="D4" s="472">
        <f t="shared" si="1"/>
        <v>194</v>
      </c>
      <c r="E4" s="474">
        <f>countif(Melee!$N:$N,"dl")</f>
        <v>460</v>
      </c>
    </row>
    <row r="5">
      <c r="A5" s="470" t="s">
        <v>1408</v>
      </c>
      <c r="B5" s="471">
        <f>COUNTIFS(Melee!$L:$L,"W",Melee!$N:$N, "fd")/countif(Melee!$N:$N,"fd")</f>
        <v>0.530259366</v>
      </c>
      <c r="C5" s="472">
        <f>COUNTIFS(Melee!$L:$L,"W",Melee!$N:$N, "fd")</f>
        <v>184</v>
      </c>
      <c r="D5" s="472">
        <f t="shared" si="1"/>
        <v>163</v>
      </c>
      <c r="E5" s="475">
        <f>countif(Melee!$N:$N,"fd")</f>
        <v>347</v>
      </c>
    </row>
    <row r="6">
      <c r="A6" s="470" t="s">
        <v>1409</v>
      </c>
      <c r="B6" s="471">
        <f>COUNTIFS(Melee!$L:$L,"W",Melee!$N:$N, "fod")/countif(Melee!$N:$N,"fod")</f>
        <v>0.6012658228</v>
      </c>
      <c r="C6" s="472">
        <f>COUNTIFS(Melee!$L:$L,"W",Melee!$N:$N, "fod")</f>
        <v>285</v>
      </c>
      <c r="D6" s="472">
        <f t="shared" si="1"/>
        <v>189</v>
      </c>
      <c r="E6" s="476">
        <f>countif(Melee!$N:$N,"fod")</f>
        <v>474</v>
      </c>
    </row>
    <row r="7">
      <c r="A7" s="470" t="s">
        <v>1410</v>
      </c>
      <c r="B7" s="471">
        <f>COUNTIFS(Melee!$L:$L,"W",Melee!$N:$N, "ps")/countif(Melee!$N:$N,"ps")</f>
        <v>0.5297202797</v>
      </c>
      <c r="C7" s="472">
        <f>COUNTIFS(Melee!$L:$L,"W",Melee!$N:$N, "ps")</f>
        <v>303</v>
      </c>
      <c r="D7" s="472">
        <f t="shared" si="1"/>
        <v>269</v>
      </c>
      <c r="E7" s="477">
        <f>countif(Melee!$N:$N,"ps")</f>
        <v>572</v>
      </c>
    </row>
    <row r="8">
      <c r="A8" s="470" t="s">
        <v>1411</v>
      </c>
      <c r="B8" s="471">
        <f>COUNTIFS(Melee!$L:$L,"W",Melee!$N:$N, "ys")/countif(Melee!$N:$N,"ys")</f>
        <v>0.5729665072</v>
      </c>
      <c r="C8" s="472">
        <f>COUNTIFS(Melee!$L:$L,"W",Melee!$N:$N, "ys")</f>
        <v>479</v>
      </c>
      <c r="D8" s="472">
        <f t="shared" si="1"/>
        <v>357</v>
      </c>
      <c r="E8" s="478">
        <f>countif(Melee!$N:$N,"ys")</f>
        <v>836</v>
      </c>
    </row>
    <row r="10">
      <c r="E10" s="479"/>
    </row>
    <row r="11">
      <c r="B11" s="436"/>
      <c r="C11" s="479"/>
    </row>
  </sheetData>
  <mergeCells count="1">
    <mergeCell ref="A1:E1"/>
  </mergeCells>
  <conditionalFormatting sqref="B2:B8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conditionalFormatting sqref="C3:C8">
    <cfRule type="colorScale" priority="2">
      <colorScale>
        <cfvo type="min"/>
        <cfvo type="percent" val="50"/>
        <cfvo type="max"/>
        <color rgb="FFFF0000"/>
        <color rgb="FFFFFF00"/>
        <color rgb="FF00FFFF"/>
      </colorScale>
    </cfRule>
  </conditionalFormatting>
  <conditionalFormatting sqref="D12">
    <cfRule type="notContainsBlanks" dxfId="0" priority="3">
      <formula>LEN(TRIM(D12))&gt;0</formula>
    </cfRule>
  </conditionalFormatting>
  <conditionalFormatting sqref="E13">
    <cfRule type="notContainsBlanks" dxfId="0" priority="4">
      <formula>LEN(TRIM(E13))&gt;0</formula>
    </cfRule>
  </conditionalFormatting>
  <conditionalFormatting sqref="E8">
    <cfRule type="colorScale" priority="5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D3:D8">
    <cfRule type="colorScale" priority="6">
      <colorScale>
        <cfvo type="min"/>
        <cfvo type="percentile" val="50"/>
        <cfvo type="max"/>
        <color rgb="FFFF0000"/>
        <color rgb="FFFFFF00"/>
        <color rgb="FF00FFFF"/>
      </colorScale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29"/>
    <col customWidth="1" min="2" max="2" width="18.0"/>
    <col customWidth="1" min="3" max="3" width="9.71"/>
    <col customWidth="1" min="4" max="4" width="4.29"/>
    <col customWidth="1" min="5" max="5" width="17.71"/>
    <col customWidth="1" min="6" max="6" width="11.0"/>
    <col customWidth="1" min="7" max="7" width="4.57"/>
    <col customWidth="1" min="8" max="8" width="17.14"/>
    <col customWidth="1" min="9" max="9" width="11.43"/>
    <col customWidth="1" min="10" max="10" width="3.0"/>
    <col customWidth="1" min="11" max="11" width="18.43"/>
    <col customWidth="1" min="12" max="12" width="12.57"/>
    <col customWidth="1" min="13" max="13" width="3.57"/>
    <col customWidth="1" min="16" max="16" width="3.29"/>
    <col customWidth="1" min="19" max="19" width="3.71"/>
  </cols>
  <sheetData>
    <row r="1" ht="24.0" customHeight="1">
      <c r="A1" s="480" t="s">
        <v>1412</v>
      </c>
      <c r="N1" s="481"/>
      <c r="O1" s="481"/>
      <c r="P1" s="481"/>
      <c r="Q1" s="481"/>
      <c r="R1" s="481"/>
      <c r="S1" s="481"/>
    </row>
    <row r="2" ht="18.0" customHeight="1">
      <c r="A2" s="482"/>
      <c r="N2" s="481"/>
      <c r="O2" s="481"/>
      <c r="P2" s="481"/>
      <c r="Q2" s="481"/>
      <c r="R2" s="481"/>
      <c r="S2" s="481"/>
    </row>
    <row r="3" ht="83.25" customHeight="1">
      <c r="A3" s="483" t="s">
        <v>1413</v>
      </c>
      <c r="B3" s="484"/>
      <c r="D3" s="485"/>
      <c r="E3" s="484"/>
      <c r="G3" s="485"/>
      <c r="H3" s="484"/>
      <c r="J3" s="485"/>
      <c r="K3" s="484"/>
      <c r="M3" s="485"/>
      <c r="N3" s="486"/>
      <c r="O3" s="486"/>
      <c r="P3" s="486"/>
      <c r="Q3" s="486"/>
      <c r="R3" s="486"/>
      <c r="S3" s="486"/>
    </row>
    <row r="4">
      <c r="B4" s="487" t="s">
        <v>1406</v>
      </c>
      <c r="C4" s="488">
        <f>COUNTIFS(Melee!$J:$J,"Fox",Melee!$L:$L,"W",Melee!$N:$N, "bf")/countifs(Melee!$J:$J,"Fox",Melee!$N:$N, "bf")</f>
        <v>0.5078534031</v>
      </c>
      <c r="E4" s="487" t="s">
        <v>1406</v>
      </c>
      <c r="F4" s="488">
        <f>COUNTIFS(Melee!$J:$J,"Falco",Melee!$L:$L,"W",Melee!$N:$N, "bf")/countifs(Melee!$J:$J,"Falco",Melee!$N:$N, "bf")</f>
        <v>0.5139664804</v>
      </c>
      <c r="H4" s="487" t="s">
        <v>1406</v>
      </c>
      <c r="I4" s="488">
        <f>COUNTIFS(Melee!$J:$J,"Marth",Melee!$L:$L,"W",Melee!$N:$N, "bf")/countifs(Melee!$J:$J,"Marth",Melee!$N:$N, "bf")</f>
        <v>0.5931034483</v>
      </c>
      <c r="K4" s="487" t="s">
        <v>1406</v>
      </c>
      <c r="L4" s="488">
        <f>COUNTIFS(Melee!$J:$J,"Sheik",Melee!$L:$L,"W",Melee!$N:$N, "bf")/countifs(Melee!$J:$J,"Sheik",Melee!$N:$N, "bf")</f>
        <v>0.4736842105</v>
      </c>
      <c r="N4" s="387"/>
      <c r="O4" s="387"/>
      <c r="P4" s="387"/>
      <c r="Q4" s="387"/>
      <c r="R4" s="387"/>
      <c r="S4" s="387"/>
    </row>
    <row r="5">
      <c r="B5" s="487" t="s">
        <v>1407</v>
      </c>
      <c r="C5" s="488">
        <f>COUNTIFS(Melee!$J:$J,"Fox",Melee!$L:$L,"W",Melee!$N:$N, "dl")/countifs(Melee!$J:$J,"Fox",Melee!$N:$N, "dl")</f>
        <v>0.5912408759</v>
      </c>
      <c r="E5" s="487" t="s">
        <v>1407</v>
      </c>
      <c r="F5" s="488">
        <f>COUNTIFS(Melee!$J:$J,"Falco",Melee!$L:$L,"W",Melee!$N:$N, "dl")/countifs(Melee!$J:$J,"Falco",Melee!$N:$N, "dl")</f>
        <v>0.5294117647</v>
      </c>
      <c r="H5" s="487" t="s">
        <v>1407</v>
      </c>
      <c r="I5" s="488">
        <f>COUNTIFS(Melee!$J:$J,"Marth",Melee!$L:$L,"W",Melee!$N:$N, "dl")/countifs(Melee!$J:$J,"Marth",Melee!$N:$N, "dl")</f>
        <v>0.4444444444</v>
      </c>
      <c r="K5" s="487" t="s">
        <v>1407</v>
      </c>
      <c r="L5" s="488">
        <f>COUNTIFS(Melee!$J:$J,"Sheik",Melee!$L:$L,"W",Melee!$N:$N, "dl")/countifs(Melee!$J:$J,"Sheik",Melee!$N:$N, "dl")</f>
        <v>0.602739726</v>
      </c>
      <c r="N5" s="387"/>
      <c r="O5" s="387"/>
      <c r="P5" s="387"/>
      <c r="Q5" s="387"/>
      <c r="R5" s="387"/>
      <c r="S5" s="387"/>
    </row>
    <row r="6">
      <c r="B6" s="487" t="s">
        <v>1408</v>
      </c>
      <c r="C6" s="488">
        <f>COUNTIFS(Melee!$J:$J,"Fox",Melee!$L:$L,"W",Melee!$N:$N, "fd")/countifs(Melee!$J:$J,"Fox",Melee!$N:$N, "fd")</f>
        <v>0.5591397849</v>
      </c>
      <c r="E6" s="487" t="s">
        <v>1408</v>
      </c>
      <c r="F6" s="488">
        <f>COUNTIFS(Melee!$J:$J,"Falco",Melee!$L:$L,"W",Melee!$N:$N, "fd")/countifs(Melee!$J:$J,"Falco",Melee!$N:$N, "fd")</f>
        <v>0.5172413793</v>
      </c>
      <c r="H6" s="487" t="s">
        <v>1408</v>
      </c>
      <c r="I6" s="488">
        <f>COUNTIFS(Melee!$J:$J,"Marth",Melee!$L:$L,"W",Melee!$N:$N, "fd")/countifs(Melee!$J:$J,"Marth",Melee!$N:$N, "fd")</f>
        <v>0.4761904762</v>
      </c>
      <c r="K6" s="487" t="s">
        <v>1408</v>
      </c>
      <c r="L6" s="488">
        <f>COUNTIFS(Melee!$J:$J,"Sheik",Melee!$L:$L,"W",Melee!$N:$N, "fd")/countifs(Melee!$J:$J,"Sheik",Melee!$N:$N, "fd")</f>
        <v>0.5185185185</v>
      </c>
      <c r="N6" s="387"/>
      <c r="O6" s="387"/>
      <c r="P6" s="387"/>
      <c r="Q6" s="387"/>
      <c r="R6" s="387"/>
      <c r="S6" s="387"/>
    </row>
    <row r="7">
      <c r="B7" s="487" t="s">
        <v>1409</v>
      </c>
      <c r="C7" s="488">
        <f>COUNTIFS(Melee!$J:$J,"Fox",Melee!$L:$L,"W",Melee!$N:$N, "fod")/countifs(Melee!$J:$J,"Fox",Melee!$N:$N, "fod")</f>
        <v>0.64</v>
      </c>
      <c r="E7" s="487" t="s">
        <v>1409</v>
      </c>
      <c r="F7" s="488">
        <f>COUNTIFS(Melee!$J:$J,"Falco",Melee!$L:$L,"W",Melee!$N:$N, "fod")/countifs(Melee!$J:$J,"Falco",Melee!$N:$N, "fod")</f>
        <v>0.5352112676</v>
      </c>
      <c r="H7" s="487" t="s">
        <v>1409</v>
      </c>
      <c r="I7" s="488">
        <f>COUNTIFS(Melee!$J:$J,"Marth",Melee!$L:$L,"W",Melee!$N:$N, "fod")/countifs(Melee!$J:$J,"Marth",Melee!$N:$N, "fod")</f>
        <v>0.4893617021</v>
      </c>
      <c r="K7" s="487" t="s">
        <v>1409</v>
      </c>
      <c r="L7" s="488">
        <f>COUNTIFS(Melee!$J:$J,"Sheik",Melee!$L:$L,"W",Melee!$N:$N, "fod")/countifs(Melee!$J:$J,"Sheik",Melee!$N:$N, "fod")</f>
        <v>0.66</v>
      </c>
      <c r="N7" s="387"/>
      <c r="O7" s="387"/>
      <c r="P7" s="387"/>
      <c r="Q7" s="387"/>
      <c r="R7" s="387"/>
      <c r="S7" s="387"/>
    </row>
    <row r="8">
      <c r="B8" s="487" t="s">
        <v>1410</v>
      </c>
      <c r="C8" s="488">
        <f>COUNTIFS(Melee!$J:$J,"Fox",Melee!$L:$L,"W",Melee!$N:$N, "ps")/countifs(Melee!$J:$J,"Fox",Melee!$N:$N, "ps")</f>
        <v>0.5786163522</v>
      </c>
      <c r="E8" s="487" t="s">
        <v>1410</v>
      </c>
      <c r="F8" s="488">
        <f>COUNTIFS(Melee!$J:$J,"Falco",Melee!$L:$L,"W",Melee!$N:$N, "ps")/countifs(Melee!$J:$J,"Falco",Melee!$N:$N, "ps")</f>
        <v>0.4725274725</v>
      </c>
      <c r="H8" s="487" t="s">
        <v>1410</v>
      </c>
      <c r="I8" s="488">
        <f>COUNTIFS(Melee!$J:$J,"Marth",Melee!$L:$L,"W",Melee!$N:$N, "ps")/countifs(Melee!$J:$J,"Marth",Melee!$N:$N, "ps")</f>
        <v>0.5294117647</v>
      </c>
      <c r="K8" s="487" t="s">
        <v>1410</v>
      </c>
      <c r="L8" s="488">
        <f>COUNTIFS(Melee!$J:$J,"Sheik",Melee!$L:$L,"W",Melee!$N:$N, "ps")/countifs(Melee!$J:$J,"Sheik",Melee!$N:$N, "ps")</f>
        <v>0.4444444444</v>
      </c>
      <c r="N8" s="387"/>
      <c r="O8" s="387"/>
      <c r="P8" s="387"/>
      <c r="Q8" s="387"/>
      <c r="R8" s="387"/>
      <c r="S8" s="387"/>
    </row>
    <row r="9">
      <c r="B9" s="487" t="s">
        <v>1411</v>
      </c>
      <c r="C9" s="488">
        <f>COUNTIFS(Melee!$J:$J,"Fox",Melee!$L:$L,"W",Melee!$N:$N, "ys")/countifs(Melee!$J:$J,"Fox",Melee!$N:$N, "ys")</f>
        <v>0.599009901</v>
      </c>
      <c r="E9" s="487" t="s">
        <v>1411</v>
      </c>
      <c r="F9" s="488">
        <f>COUNTIFS(Melee!$J:$J,"Falco",Melee!$L:$L,"W",Melee!$N:$N, "ys")/countifs(Melee!$J:$J,"Falco",Melee!$N:$N, "ys")</f>
        <v>0.5310734463</v>
      </c>
      <c r="H9" s="487" t="s">
        <v>1411</v>
      </c>
      <c r="I9" s="488">
        <f>COUNTIFS(Melee!$J:$J,"Marth",Melee!$L:$L,"W",Melee!$N:$N, "ys")/countifs(Melee!$J:$J,"Marth",Melee!$N:$N, "ys")</f>
        <v>0.6052631579</v>
      </c>
      <c r="K9" s="487" t="s">
        <v>1411</v>
      </c>
      <c r="L9" s="488">
        <f>COUNTIFS(Melee!$J:$J,"Sheik",Melee!$L:$L,"W",Melee!$N:$N, "ys")/countifs(Melee!$J:$J,"Sheik",Melee!$N:$N, "ys")</f>
        <v>0.5490196078</v>
      </c>
      <c r="N9" s="387"/>
      <c r="O9" s="387"/>
      <c r="P9" s="387"/>
      <c r="Q9" s="387"/>
      <c r="R9" s="387"/>
      <c r="S9" s="387"/>
    </row>
    <row r="10">
      <c r="A10" s="483"/>
      <c r="N10" s="387"/>
      <c r="O10" s="387"/>
      <c r="P10" s="387"/>
      <c r="Q10" s="387"/>
      <c r="R10" s="387"/>
      <c r="S10" s="387"/>
    </row>
    <row r="11">
      <c r="A11" s="489"/>
      <c r="K11" s="490"/>
      <c r="L11" s="490"/>
      <c r="M11" s="490"/>
      <c r="N11" s="387"/>
      <c r="O11" s="387"/>
      <c r="P11" s="387"/>
      <c r="Q11" s="387"/>
      <c r="R11" s="387"/>
      <c r="S11" s="387"/>
    </row>
    <row r="12" ht="81.75" customHeight="1">
      <c r="A12" s="489" t="s">
        <v>1414</v>
      </c>
      <c r="B12" s="491"/>
      <c r="D12" s="492"/>
      <c r="E12" s="491"/>
      <c r="G12" s="492"/>
      <c r="H12" s="493"/>
      <c r="I12" s="166"/>
      <c r="J12" s="492"/>
      <c r="K12" s="387"/>
      <c r="L12" s="387"/>
      <c r="M12" s="387"/>
      <c r="N12" s="387"/>
      <c r="O12" s="387"/>
      <c r="P12" s="387"/>
      <c r="Q12" s="387"/>
      <c r="R12" s="387"/>
      <c r="S12" s="387"/>
    </row>
    <row r="13">
      <c r="B13" s="487" t="s">
        <v>1406</v>
      </c>
      <c r="C13" s="488">
        <f>COUNTIFS(Melee!$J:$J,"Puff",Melee!$L:$L,"W",Melee!$N:$N, "bf")/countifs(Melee!$J:$J,"Puff",Melee!$N:$N, "bf")</f>
        <v>0.5319148936</v>
      </c>
      <c r="E13" s="487" t="s">
        <v>1406</v>
      </c>
      <c r="F13" s="488">
        <f>COUNTIFS(Melee!$J:$J,"Peach",Melee!$L:$L,"W",Melee!$N:$N, "bf")/countifs(Melee!$J:$J,"Peach",Melee!$N:$N, "bf")</f>
        <v>0.5526315789</v>
      </c>
      <c r="H13" s="494" t="s">
        <v>1406</v>
      </c>
      <c r="I13" s="495">
        <f>COUNTIFS(Melee!$J:$J,"Falcon",Melee!$L:$L,"W",Melee!$N:$N, "bf")/countifs(Melee!$J:$J,"Falcon",Melee!$N:$N, "bf")</f>
        <v>0.5544554455</v>
      </c>
      <c r="K13" s="486"/>
      <c r="L13" s="486"/>
      <c r="M13" s="387"/>
      <c r="N13" s="387"/>
      <c r="O13" s="387"/>
      <c r="P13" s="387"/>
      <c r="Q13" s="387"/>
      <c r="R13" s="387"/>
      <c r="S13" s="387"/>
    </row>
    <row r="14">
      <c r="B14" s="487" t="s">
        <v>1407</v>
      </c>
      <c r="C14" s="488">
        <f>COUNTIFS(Melee!$J:$J,"Puff",Melee!$L:$L,"W",Melee!$N:$N, "dl")/countifs(Melee!$J:$J,"Puff",Melee!$N:$N, "dl")</f>
        <v>0.6363636364</v>
      </c>
      <c r="E14" s="487" t="s">
        <v>1407</v>
      </c>
      <c r="F14" s="488">
        <f>COUNTIFS(Melee!$J:$J,"Peach",Melee!$L:$L,"W",Melee!$N:$N, "dl")/countifs(Melee!$J:$J,"Peach",Melee!$N:$N, "dl")</f>
        <v>0.5428571429</v>
      </c>
      <c r="H14" s="494" t="s">
        <v>1407</v>
      </c>
      <c r="I14" s="495">
        <f>COUNTIFS(Melee!$J:$J,"Falcon",Melee!$L:$L,"W",Melee!$N:$N, "dl")/countifs(Melee!$J:$J,"Falcon",Melee!$N:$N, "dl")</f>
        <v>0.55</v>
      </c>
      <c r="K14" s="486"/>
      <c r="L14" s="486"/>
      <c r="M14" s="387"/>
      <c r="N14" s="387"/>
      <c r="O14" s="387"/>
      <c r="P14" s="387"/>
      <c r="Q14" s="387"/>
      <c r="R14" s="387"/>
      <c r="S14" s="387"/>
    </row>
    <row r="15">
      <c r="B15" s="487" t="s">
        <v>1408</v>
      </c>
      <c r="C15" s="488">
        <f>COUNTIFS(Melee!$J:$J,"Puff",Melee!$L:$L,"W",Melee!$N:$N, "fd")/countifs(Melee!$J:$J,"Puff",Melee!$N:$N, "fd")</f>
        <v>0.5714285714</v>
      </c>
      <c r="E15" s="487" t="s">
        <v>1408</v>
      </c>
      <c r="F15" s="488">
        <f>COUNTIFS(Melee!$J:$J,"Peach",Melee!$L:$L,"W",Melee!$N:$N, "fd")/countifs(Melee!$J:$J,"Peach",Melee!$N:$N, "fd")</f>
        <v>0.3333333333</v>
      </c>
      <c r="H15" s="494" t="s">
        <v>1408</v>
      </c>
      <c r="I15" s="495">
        <f>COUNTIFS(Melee!$J:$J,"Falcon",Melee!$L:$L,"W",Melee!$N:$N, "fd")/countifs(Melee!$J:$J,"Falcon",Melee!$N:$N, "fd")</f>
        <v>0.5308641975</v>
      </c>
      <c r="K15" s="486"/>
      <c r="L15" s="486"/>
      <c r="M15" s="387"/>
      <c r="N15" s="387"/>
      <c r="O15" s="387"/>
      <c r="P15" s="387"/>
      <c r="Q15" s="387"/>
      <c r="R15" s="387"/>
      <c r="S15" s="387"/>
    </row>
    <row r="16">
      <c r="B16" s="487" t="s">
        <v>1409</v>
      </c>
      <c r="C16" s="488">
        <f>COUNTIFS(Melee!$J:$J,"Puff",Melee!$L:$L,"W",Melee!$N:$N, "fod")/countifs(Melee!$J:$J,"Puff",Melee!$N:$N, "fod")</f>
        <v>0.5</v>
      </c>
      <c r="E16" s="487" t="s">
        <v>1409</v>
      </c>
      <c r="F16" s="488">
        <f>COUNTIFS(Melee!$J:$J,"Peach",Melee!$L:$L,"W",Melee!$N:$N, "fod")/countifs(Melee!$J:$J,"Peach",Melee!$N:$N, "fod")</f>
        <v>0.606557377</v>
      </c>
      <c r="H16" s="494" t="s">
        <v>1409</v>
      </c>
      <c r="I16" s="495">
        <f>COUNTIFS(Melee!$J:$J,"Falcon",Melee!$L:$L,"W",Melee!$N:$N, "fod")/countifs(Melee!$J:$J,"Falcon",Melee!$N:$N, "fod")</f>
        <v>0.6111111111</v>
      </c>
      <c r="K16" s="486"/>
      <c r="L16" s="486"/>
      <c r="M16" s="387"/>
      <c r="N16" s="387"/>
      <c r="O16" s="387"/>
      <c r="P16" s="387"/>
      <c r="Q16" s="387"/>
      <c r="R16" s="387"/>
      <c r="S16" s="387"/>
    </row>
    <row r="17">
      <c r="B17" s="487" t="s">
        <v>1410</v>
      </c>
      <c r="C17" s="488">
        <f>COUNTIFS(Melee!$J:$J,"Puff",Melee!$L:$L,"W",Melee!$N:$N, "ps")/countifs(Melee!$J:$J,"Puff",Melee!$N:$N, "ps")</f>
        <v>0.5185185185</v>
      </c>
      <c r="E17" s="487" t="s">
        <v>1410</v>
      </c>
      <c r="F17" s="488">
        <f>COUNTIFS(Melee!$J:$J,"Peach",Melee!$L:$L,"W",Melee!$N:$N, "ps")/countifs(Melee!$J:$J,"Peach",Melee!$N:$N, "ps")</f>
        <v>0.3103448276</v>
      </c>
      <c r="H17" s="494" t="s">
        <v>1410</v>
      </c>
      <c r="I17" s="495">
        <f>COUNTIFS(Melee!$J:$J,"Falcon",Melee!$L:$L,"W",Melee!$N:$N, "ps")/countifs(Melee!$J:$J,"Falcon",Melee!$N:$N, "ps")</f>
        <v>0.5652173913</v>
      </c>
      <c r="K17" s="486"/>
      <c r="L17" s="486"/>
      <c r="M17" s="387"/>
      <c r="N17" s="387"/>
      <c r="O17" s="387"/>
      <c r="P17" s="387"/>
      <c r="Q17" s="387"/>
      <c r="R17" s="387"/>
      <c r="S17" s="387"/>
    </row>
    <row r="18">
      <c r="B18" s="487" t="s">
        <v>1411</v>
      </c>
      <c r="C18" s="488">
        <f>COUNTIFS(Melee!$J:$J,"Puff",Melee!$L:$L,"W",Melee!$N:$N, "ys")/countifs(Melee!$J:$J,"Puff",Melee!$N:$N, "ys")</f>
        <v>0.3333333333</v>
      </c>
      <c r="E18" s="487" t="s">
        <v>1411</v>
      </c>
      <c r="F18" s="488">
        <f>COUNTIFS(Melee!$J:$J,"Peach",Melee!$L:$L,"W",Melee!$N:$N, "ys")/countifs(Melee!$J:$J,"Peach",Melee!$N:$N, "ys")</f>
        <v>0.3928571429</v>
      </c>
      <c r="H18" s="496" t="s">
        <v>1411</v>
      </c>
      <c r="I18" s="497">
        <f>COUNTIFS(Melee!$J:$J,"Falcon",Melee!$L:$L,"W",Melee!$N:$N, "ys")/countifs(Melee!$J:$J,"Falcon",Melee!$N:$N, "ys")</f>
        <v>0.544</v>
      </c>
      <c r="K18" s="486"/>
      <c r="L18" s="486"/>
      <c r="M18" s="387"/>
      <c r="N18" s="387"/>
      <c r="O18" s="387"/>
      <c r="P18" s="387"/>
      <c r="Q18" s="387"/>
      <c r="R18" s="387"/>
      <c r="S18" s="387"/>
    </row>
    <row r="19">
      <c r="A19" s="492"/>
      <c r="K19" s="387"/>
      <c r="L19" s="387"/>
      <c r="M19" s="387"/>
      <c r="N19" s="387"/>
      <c r="O19" s="387"/>
      <c r="P19" s="387"/>
      <c r="Q19" s="387"/>
      <c r="R19" s="387"/>
      <c r="S19" s="387"/>
    </row>
    <row r="20">
      <c r="A20" s="498"/>
    </row>
    <row r="21" ht="81.75" customHeight="1">
      <c r="A21" s="498" t="s">
        <v>1415</v>
      </c>
      <c r="B21" s="491"/>
      <c r="D21" s="499"/>
      <c r="E21" s="491"/>
      <c r="G21" s="499"/>
      <c r="H21" s="493"/>
      <c r="I21" s="166"/>
      <c r="J21" s="499"/>
      <c r="K21" s="493"/>
      <c r="L21" s="166"/>
      <c r="M21" s="499"/>
      <c r="N21" s="493"/>
      <c r="O21" s="166"/>
      <c r="P21" s="499"/>
      <c r="Q21" s="493"/>
      <c r="R21" s="166"/>
      <c r="S21" s="499"/>
    </row>
    <row r="22">
      <c r="B22" s="487" t="s">
        <v>1406</v>
      </c>
      <c r="C22" s="488">
        <f>COUNTIFS(Melee!$J:$J,"IC's",Melee!$L:$L,"W",Melee!$N:$N, "bf")/countifs(Melee!$J:$J,"IC's",Melee!$N:$N, "bf")</f>
        <v>0.170212766</v>
      </c>
      <c r="E22" s="487" t="s">
        <v>1406</v>
      </c>
      <c r="F22" s="488">
        <f>COUNTIFS(Melee!$J:$J,"Samus",Melee!$L:$L,"W",Melee!$N:$N, "bf")/countifs(Melee!$J:$J,"Samus",Melee!$N:$N, "bf")</f>
        <v>0.6756756757</v>
      </c>
      <c r="H22" s="494" t="s">
        <v>1406</v>
      </c>
      <c r="I22" s="495">
        <f>COUNTIFS(Melee!$J:$J,"Pikachu",Melee!$L:$L,"W",Melee!$N:$N, "bf")/countifs(Melee!$J:$J,"Pikachu",Melee!$N:$N, "bf")</f>
        <v>0.5333333333</v>
      </c>
      <c r="K22" s="494" t="s">
        <v>1406</v>
      </c>
      <c r="L22" s="495">
        <f>COUNTIFS(Melee!$J:$J,"Luigi",Melee!$L:$L,"W",Melee!$N:$N, "bf")/countifs(Melee!$J:$J,"Luigi",Melee!$N:$N, "bf")</f>
        <v>0.4705882353</v>
      </c>
      <c r="N22" s="494" t="s">
        <v>1406</v>
      </c>
      <c r="O22" s="495">
        <f>COUNTIFS(Melee!$J:$J,"Yoshi",Melee!$L:$L,"W",Melee!$N:$N, "bf")/countifs(Melee!$J:$J,"Yoshi",Melee!$N:$N, "bf")</f>
        <v>1</v>
      </c>
      <c r="Q22" s="494" t="s">
        <v>1406</v>
      </c>
      <c r="R22" s="495">
        <f>COUNTIFS(Melee!$J:$J,"Doc",Melee!$L:$L,"W",Melee!$N:$N, "bf")/countifs(Melee!$J:$J,"Doc",Melee!$N:$N, "bf")</f>
        <v>0.7142857143</v>
      </c>
    </row>
    <row r="23">
      <c r="B23" s="487" t="s">
        <v>1407</v>
      </c>
      <c r="C23" s="488">
        <f>COUNTIFS(Melee!$J:$J,"IC's",Melee!$L:$L,"W",Melee!$N:$N, "dl")/countifs(Melee!$J:$J,"IC's",Melee!$N:$N, "dl")</f>
        <v>0.5833333333</v>
      </c>
      <c r="E23" s="487" t="s">
        <v>1407</v>
      </c>
      <c r="F23" s="488">
        <f>COUNTIFS(Melee!$J:$J,"Samus",Melee!$L:$L,"W",Melee!$N:$N, "dl")/countifs(Melee!$J:$J,"Samus",Melee!$N:$N, "dl")</f>
        <v>0.6923076923</v>
      </c>
      <c r="H23" s="494" t="s">
        <v>1407</v>
      </c>
      <c r="I23" s="495">
        <f>COUNTIFS(Melee!$J:$J,"Pikachu",Melee!$L:$L,"W",Melee!$N:$N, "dl")/countifs(Melee!$J:$J,"Pikachu",Melee!$N:$N, "dl")</f>
        <v>0.5714285714</v>
      </c>
      <c r="K23" s="494" t="s">
        <v>1407</v>
      </c>
      <c r="L23" s="495">
        <f>COUNTIFS(Melee!$J:$J,"Luigi",Melee!$L:$L,"W",Melee!$N:$N, "dl")/countifs(Melee!$J:$J,"Luigi",Melee!$N:$N, "dl")</f>
        <v>0.6666666667</v>
      </c>
      <c r="N23" s="494" t="s">
        <v>1407</v>
      </c>
      <c r="O23" s="495">
        <f>COUNTIFS(Melee!$J:$J,"Yoshi",Melee!$L:$L,"W",Melee!$N:$N, "dl")/countifs(Melee!$J:$J,"Yoshi",Melee!$N:$N, "dl")</f>
        <v>0</v>
      </c>
      <c r="Q23" s="494" t="s">
        <v>1407</v>
      </c>
      <c r="R23" s="495">
        <f>COUNTIFS(Melee!$J:$J,"Doc",Melee!$L:$L,"W",Melee!$N:$N, "dl")/countifs(Melee!$J:$J,"Doc",Melee!$N:$N, "dl")</f>
        <v>0.5714285714</v>
      </c>
    </row>
    <row r="24">
      <c r="B24" s="487" t="s">
        <v>1408</v>
      </c>
      <c r="C24" s="488">
        <f>COUNTIFS(Melee!$J:$J,"IC's",Melee!$L:$L,"W",Melee!$N:$N, "fd")/countifs(Melee!$J:$J,"IC's",Melee!$N:$N, "fd")</f>
        <v>0.4444444444</v>
      </c>
      <c r="E24" s="487" t="s">
        <v>1408</v>
      </c>
      <c r="F24" s="488">
        <f>COUNTIFS(Melee!$J:$J,"Samus",Melee!$L:$L,"W",Melee!$N:$N, "fd")/countifs(Melee!$J:$J,"Samus",Melee!$N:$N, "fd")</f>
        <v>0.5</v>
      </c>
      <c r="H24" s="494" t="s">
        <v>1408</v>
      </c>
      <c r="I24" s="495">
        <f>COUNTIFS(Melee!$J:$J,"Pikachu",Melee!$L:$L,"W",Melee!$N:$N, "fd")/countifs(Melee!$J:$J,"Pikachu",Melee!$N:$N, "fd")</f>
        <v>0.7</v>
      </c>
      <c r="K24" s="494" t="s">
        <v>1408</v>
      </c>
      <c r="L24" s="495">
        <f>COUNTIFS(Melee!$J:$J,"Luigi",Melee!$L:$L,"W",Melee!$N:$N, "fd")/countifs(Melee!$J:$J,"Luigi",Melee!$N:$N, "fd")</f>
        <v>0.5555555556</v>
      </c>
      <c r="N24" s="494" t="s">
        <v>1408</v>
      </c>
      <c r="O24" s="495" t="str">
        <f>COUNTIFS(Melee!$J:$J,"Yoshi",Melee!$L:$L,"W",Melee!$N:$N, "fd")/countifs(Melee!$J:$J,"Yoshi",Melee!$N:$N, "fd")</f>
        <v>#DIV/0!</v>
      </c>
      <c r="Q24" s="494" t="s">
        <v>1408</v>
      </c>
      <c r="R24" s="495">
        <f>COUNTIFS(Melee!$J:$J,"Doc",Melee!$L:$L,"W",Melee!$N:$N, "fd")/countifs(Melee!$J:$J,"Doc",Melee!$N:$N, "fd")</f>
        <v>0</v>
      </c>
    </row>
    <row r="25">
      <c r="B25" s="487" t="s">
        <v>1409</v>
      </c>
      <c r="C25" s="488">
        <f>COUNTIFS(Melee!$J:$J,"IC's",Melee!$L:$L,"W",Melee!$N:$N, "fod")/countifs(Melee!$J:$J,"IC's",Melee!$N:$N, "fod")</f>
        <v>0.7407407407</v>
      </c>
      <c r="E25" s="487" t="s">
        <v>1409</v>
      </c>
      <c r="F25" s="488">
        <f>COUNTIFS(Melee!$J:$J,"Samus",Melee!$L:$L,"W",Melee!$N:$N, "fod")/countifs(Melee!$J:$J,"Samus",Melee!$N:$N, "fod")</f>
        <v>0.6923076923</v>
      </c>
      <c r="H25" s="494" t="s">
        <v>1409</v>
      </c>
      <c r="I25" s="495">
        <f>COUNTIFS(Melee!$J:$J,"Pikachu",Melee!$L:$L,"W",Melee!$N:$N, "fod")/countifs(Melee!$J:$J,"Pikachu",Melee!$N:$N, "fod")</f>
        <v>0.8181818182</v>
      </c>
      <c r="K25" s="494" t="s">
        <v>1409</v>
      </c>
      <c r="L25" s="495">
        <f>COUNTIFS(Melee!$J:$J,"Luigi",Melee!$L:$L,"W",Melee!$N:$N, "fod")/countifs(Melee!$J:$J,"Luigi",Melee!$N:$N, "fod")</f>
        <v>0.5555555556</v>
      </c>
      <c r="N25" s="494" t="s">
        <v>1409</v>
      </c>
      <c r="O25" s="495" t="str">
        <f>COUNTIFS(Melee!$J:$J,"Yoshi",Melee!$L:$L,"W",Melee!$N:$N, "fod")/countifs(Melee!$J:$J,"Yoshi",Melee!$N:$N, "fod")</f>
        <v>#DIV/0!</v>
      </c>
      <c r="Q25" s="494" t="s">
        <v>1409</v>
      </c>
      <c r="R25" s="495">
        <f>COUNTIFS(Melee!$J:$J,"Doc",Melee!$L:$L,"W",Melee!$N:$N, "fod")/countifs(Melee!$J:$J,"Doc",Melee!$N:$N, "fod")</f>
        <v>0.6666666667</v>
      </c>
    </row>
    <row r="26">
      <c r="B26" s="487" t="s">
        <v>1410</v>
      </c>
      <c r="C26" s="488">
        <f>COUNTIFS(Melee!$J:$J,"IC's",Melee!$L:$L,"W",Melee!$N:$N, "ps")/countifs(Melee!$J:$J,"IC's",Melee!$N:$N, "ps")</f>
        <v>0.56</v>
      </c>
      <c r="E26" s="487" t="s">
        <v>1410</v>
      </c>
      <c r="F26" s="488">
        <f>COUNTIFS(Melee!$J:$J,"Samus",Melee!$L:$L,"W",Melee!$N:$N, "ps")/countifs(Melee!$J:$J,"Samus",Melee!$N:$N, "ps")</f>
        <v>0.6666666667</v>
      </c>
      <c r="H26" s="494" t="s">
        <v>1410</v>
      </c>
      <c r="I26" s="495">
        <f>COUNTIFS(Melee!$J:$J,"Pikachu",Melee!$L:$L,"W",Melee!$N:$N, "ps")/countifs(Melee!$J:$J,"Pikachu",Melee!$N:$N, "ps")</f>
        <v>0.6</v>
      </c>
      <c r="K26" s="494" t="s">
        <v>1410</v>
      </c>
      <c r="L26" s="495">
        <f>COUNTIFS(Melee!$J:$J,"Luigi",Melee!$L:$L,"W",Melee!$N:$N, "ps")/countifs(Melee!$J:$J,"Luigi",Melee!$N:$N, "ps")</f>
        <v>0.5238095238</v>
      </c>
      <c r="N26" s="494" t="s">
        <v>1410</v>
      </c>
      <c r="O26" s="495">
        <f>COUNTIFS(Melee!$J:$J,"Yoshi",Melee!$L:$L,"W",Melee!$N:$N, "ps")/countifs(Melee!$J:$J,"Yoshi",Melee!$N:$N, "ps")</f>
        <v>1</v>
      </c>
      <c r="Q26" s="494" t="s">
        <v>1410</v>
      </c>
      <c r="R26" s="495">
        <f>COUNTIFS(Melee!$J:$J,"Doc",Melee!$L:$L,"W",Melee!$N:$N, "ps")/countifs(Melee!$J:$J,"Doc",Melee!$N:$N, "ps")</f>
        <v>0.5</v>
      </c>
    </row>
    <row r="27">
      <c r="B27" s="487" t="s">
        <v>1411</v>
      </c>
      <c r="C27" s="488">
        <f>COUNTIFS(Melee!$J:$J,"IC's",Melee!$L:$L,"W",Melee!$N:$N, "ys")/countifs(Melee!$J:$J,"IC's",Melee!$N:$N, "ys")</f>
        <v>0.65</v>
      </c>
      <c r="E27" s="487" t="s">
        <v>1411</v>
      </c>
      <c r="F27" s="488">
        <f>COUNTIFS(Melee!$J:$J,"Samus",Melee!$L:$L,"W",Melee!$N:$N, "ys")/countifs(Melee!$J:$J,"Samus",Melee!$N:$N, "ys")</f>
        <v>0.7142857143</v>
      </c>
      <c r="H27" s="496" t="s">
        <v>1411</v>
      </c>
      <c r="I27" s="497">
        <f>COUNTIFS(Melee!$J:$J,"Pikachu",Melee!$L:$L,"W",Melee!$N:$N, "ys")/countifs(Melee!$J:$J,"Pikachu",Melee!$N:$N, "ys")</f>
        <v>1</v>
      </c>
      <c r="K27" s="496" t="s">
        <v>1411</v>
      </c>
      <c r="L27" s="497">
        <f>COUNTIFS(Melee!$J:$J,"Luigi",Melee!$L:$L,"W",Melee!$N:$N, "ys")/countifs(Melee!$J:$J,"Luigi",Melee!$N:$N, "ys")</f>
        <v>0.6315789474</v>
      </c>
      <c r="N27" s="496" t="s">
        <v>1411</v>
      </c>
      <c r="O27" s="497">
        <f>COUNTIFS(Melee!$J:$J,"Yoshi",Melee!$L:$L,"W",Melee!$N:$N, "ys")/countifs(Melee!$J:$J,"Yoshi",Melee!$N:$N, "ys")</f>
        <v>1</v>
      </c>
      <c r="Q27" s="496" t="s">
        <v>1411</v>
      </c>
      <c r="R27" s="497">
        <f>COUNTIFS(Melee!$J:$J,"Doc",Melee!$L:$L,"W",Melee!$N:$N, "ys")/countifs(Melee!$J:$J,"Doc",Melee!$N:$N, "ys")</f>
        <v>0.75</v>
      </c>
    </row>
    <row r="28">
      <c r="A28" s="499"/>
    </row>
    <row r="29">
      <c r="A29" s="387"/>
      <c r="B29" s="387"/>
      <c r="C29" s="387"/>
      <c r="D29" s="387"/>
      <c r="E29" s="387"/>
      <c r="F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</row>
  </sheetData>
  <mergeCells count="36">
    <mergeCell ref="H3:I3"/>
    <mergeCell ref="J3:J9"/>
    <mergeCell ref="K3:L3"/>
    <mergeCell ref="M3:M9"/>
    <mergeCell ref="A1:M1"/>
    <mergeCell ref="A2:M2"/>
    <mergeCell ref="A3:A9"/>
    <mergeCell ref="B3:C3"/>
    <mergeCell ref="D3:D9"/>
    <mergeCell ref="E3:F3"/>
    <mergeCell ref="G3:G9"/>
    <mergeCell ref="H12:I12"/>
    <mergeCell ref="J12:J18"/>
    <mergeCell ref="H21:I21"/>
    <mergeCell ref="J21:J27"/>
    <mergeCell ref="A19:J19"/>
    <mergeCell ref="A20:S20"/>
    <mergeCell ref="K21:L21"/>
    <mergeCell ref="N21:O21"/>
    <mergeCell ref="Q21:R21"/>
    <mergeCell ref="A10:M10"/>
    <mergeCell ref="A11:J11"/>
    <mergeCell ref="A12:A18"/>
    <mergeCell ref="B12:C12"/>
    <mergeCell ref="D12:D18"/>
    <mergeCell ref="E12:F12"/>
    <mergeCell ref="G12:G18"/>
    <mergeCell ref="S21:S27"/>
    <mergeCell ref="A28:S28"/>
    <mergeCell ref="A21:A27"/>
    <mergeCell ref="B21:C21"/>
    <mergeCell ref="D21:D27"/>
    <mergeCell ref="E21:F21"/>
    <mergeCell ref="G21:G27"/>
    <mergeCell ref="M21:M27"/>
    <mergeCell ref="P21:P27"/>
  </mergeCells>
  <conditionalFormatting sqref="C4:C9 F4:F9 I4:I9 L4:L9 C13:C18 F13:F18 I13:I18 C22:C27 F22:F27 I22:I27 L22:L27 O22:O27 R22:R27 C29">
    <cfRule type="colorScale" priority="1">
      <colorScale>
        <cfvo type="formula" val="0"/>
        <cfvo type="formula" val="0.5"/>
        <cfvo type="formula" val="1"/>
        <color rgb="FFFF0000"/>
        <color rgb="FFFFFF00"/>
        <color rgb="FF00FFFF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57"/>
    <col customWidth="1" min="2" max="2" width="20.86"/>
    <col customWidth="1" min="7" max="7" width="13.86"/>
    <col customWidth="1" min="8" max="8" width="14.43"/>
  </cols>
  <sheetData>
    <row r="1">
      <c r="A1" s="500"/>
      <c r="B1" s="501"/>
      <c r="C1" s="500" t="s">
        <v>1353</v>
      </c>
      <c r="D1" s="502"/>
      <c r="E1" s="503"/>
      <c r="F1" s="500" t="s">
        <v>1354</v>
      </c>
      <c r="G1" s="502"/>
      <c r="H1" s="503"/>
    </row>
    <row r="2">
      <c r="A2" s="504" t="s">
        <v>1416</v>
      </c>
      <c r="B2" s="505" t="s">
        <v>1417</v>
      </c>
      <c r="C2" s="506" t="s">
        <v>1349</v>
      </c>
      <c r="D2" s="507" t="s">
        <v>1352</v>
      </c>
      <c r="E2" s="508" t="s">
        <v>1418</v>
      </c>
      <c r="F2" s="506" t="s">
        <v>1349</v>
      </c>
      <c r="G2" s="507" t="s">
        <v>1346</v>
      </c>
      <c r="H2" s="508" t="s">
        <v>1419</v>
      </c>
    </row>
    <row r="3">
      <c r="A3" s="509">
        <v>1.0</v>
      </c>
      <c r="B3" s="510" t="str">
        <f t="array" ref="B3">INDEX(Melee!I:I,MODE(IF((Melee!I:I&lt;&gt;"")*ISNA(MATCH(Melee!I:I,$B$2:$B2,0)),MATCH(Melee!I:I,Melee!I:I,0))))</f>
        <v>Joka</v>
      </c>
      <c r="C3" s="511">
        <f>COUNTIFS(Melee!$I:$I,B3,Melee!$L:$L,"W")/(COUNTIFS(Melee!$I:$I,$B3,Melee!$L:$L,"W")+COUNTIFS(Melee!$I:$I,$B3,Melee!$L:$L,"L"))</f>
        <v>0.4102564103</v>
      </c>
      <c r="D3" s="512">
        <f>sum(COUNTIFS(Melee!$I:$I,$B3,Melee!$L:$L,"W"),COUNTIFS(Melee!$I:$I,$B3,Melee!$L:$L,"L"))</f>
        <v>78</v>
      </c>
      <c r="E3" s="513" t="str">
        <f>concatenate(COUNTIFS(Melee!$I:$I,$B3,Melee!$L:$L,"W")," - ",COUNTIFS(Melee!$I:$I,$B3,Melee!$L:$L,"L"))</f>
        <v>32 - 46</v>
      </c>
      <c r="F3" s="514">
        <f>COUNTIFS(Melee!$I:$I,B3,Melee!$M:$M,"W")/(COUNTIFS(Melee!$I:$I,$B3,Melee!$M:$M,"W")+COUNTIFS(Melee!$I:$I,$B3,Melee!$M:$M,"L"))</f>
        <v>0.3181818182</v>
      </c>
      <c r="G3" s="512">
        <f>sum(COUNTIFS(Melee!$I:$I,$B3,Melee!$M:$M,"W"),COUNTIFS(Melee!$I:$I,$B3,Melee!$M:$M,"L"))</f>
        <v>22</v>
      </c>
      <c r="H3" s="515" t="str">
        <f>concatenate(COUNTIFS(Melee!$I:$I,$B3,Melee!$M:$M,"W")," - ",COUNTIFS(Melee!$I:$I,$B3,Melee!$M:$M,"L"))</f>
        <v>7 - 15</v>
      </c>
    </row>
    <row r="4">
      <c r="A4" s="509">
        <v>2.0</v>
      </c>
      <c r="B4" s="510" t="str">
        <f t="array" ref="B4">INDEX(Melee!I:I,MODE(IF((Melee!I:I&lt;&gt;"")*ISNA(MATCH(Melee!I:I,$B$2:$B3,0)),MATCH(Melee!I:I,Melee!I:I,0))))</f>
        <v>Coin</v>
      </c>
      <c r="C4" s="511">
        <f>COUNTIFS(Melee!$I:$I,B4,Melee!$L:$L,"W")/(COUNTIFS(Melee!$I:$I,$B4,Melee!$L:$L,"W")+COUNTIFS(Melee!$I:$I,$B4,Melee!$L:$L,"L"))</f>
        <v>0.564516129</v>
      </c>
      <c r="D4" s="512">
        <f>sum(COUNTIFS(Melee!$I:$I,$B4,Melee!$L:$L,"W"),COUNTIFS(Melee!$I:$I,$B4,Melee!$L:$L,"L"))</f>
        <v>62</v>
      </c>
      <c r="E4" s="513" t="str">
        <f>concatenate(COUNTIFS(Melee!$I:$I,$B4,Melee!$L:$L,"W")," - ",COUNTIFS(Melee!$I:$I,$B4,Melee!$L:$L,"L"))</f>
        <v>35 - 27</v>
      </c>
      <c r="F4" s="514">
        <f>COUNTIFS(Melee!$I:$I,B4,Melee!$M:$M,"W")/(COUNTIFS(Melee!$I:$I,$B4,Melee!$M:$M,"W")+COUNTIFS(Melee!$I:$I,$B4,Melee!$M:$M,"L"))</f>
        <v>0.6666666667</v>
      </c>
      <c r="G4" s="512">
        <f>sum(COUNTIFS(Melee!$I:$I,$B4,Melee!$M:$M,"W"),COUNTIFS(Melee!$I:$I,$B4,Melee!$M:$M,"L"))</f>
        <v>21</v>
      </c>
      <c r="H4" s="515" t="str">
        <f>concatenate(COUNTIFS(Melee!$I:$I,$B4,Melee!$M:$M,"W")," - ",COUNTIFS(Melee!$I:$I,$B4,Melee!$M:$M,"L"))</f>
        <v>14 - 7</v>
      </c>
    </row>
    <row r="5">
      <c r="A5" s="509">
        <v>3.0</v>
      </c>
      <c r="B5" s="510" t="str">
        <f t="array" ref="B5">INDEX(Melee!I:I,MODE(IF((Melee!I:I&lt;&gt;"")*ISNA(MATCH(Melee!I:I,$B$2:$B4,0)),MATCH(Melee!I:I,Melee!I:I,0))))</f>
        <v>Paul Lee</v>
      </c>
      <c r="C5" s="511">
        <f>COUNTIFS(Melee!$I:$I,B5,Melee!$L:$L,"W")/(COUNTIFS(Melee!$I:$I,$B5,Melee!$L:$L,"W")+COUNTIFS(Melee!$I:$I,$B5,Melee!$L:$L,"L"))</f>
        <v>0.3620689655</v>
      </c>
      <c r="D5" s="512">
        <f>sum(COUNTIFS(Melee!$I:$I,$B5,Melee!$L:$L,"W"),COUNTIFS(Melee!$I:$I,$B5,Melee!$L:$L,"L"))</f>
        <v>58</v>
      </c>
      <c r="E5" s="513" t="str">
        <f>concatenate(COUNTIFS(Melee!$I:$I,$B5,Melee!$L:$L,"W")," - ",COUNTIFS(Melee!$I:$I,$B5,Melee!$L:$L,"L"))</f>
        <v>21 - 37</v>
      </c>
      <c r="F5" s="514">
        <f>COUNTIFS(Melee!$I:$I,B5,Melee!$M:$M,"W")/(COUNTIFS(Melee!$I:$I,$B5,Melee!$M:$M,"W")+COUNTIFS(Melee!$I:$I,$B5,Melee!$M:$M,"L"))</f>
        <v>0.3157894737</v>
      </c>
      <c r="G5" s="512">
        <f>sum(COUNTIFS(Melee!$I:$I,$B5,Melee!$M:$M,"W"),COUNTIFS(Melee!$I:$I,$B5,Melee!$M:$M,"L"))</f>
        <v>19</v>
      </c>
      <c r="H5" s="515" t="str">
        <f>concatenate(COUNTIFS(Melee!$I:$I,$B5,Melee!$M:$M,"W")," - ",COUNTIFS(Melee!$I:$I,$B5,Melee!$M:$M,"L"))</f>
        <v>6 - 13</v>
      </c>
    </row>
    <row r="6">
      <c r="A6" s="509">
        <v>4.0</v>
      </c>
      <c r="B6" s="510" t="str">
        <f t="array" ref="B6">INDEX(Melee!I:I,MODE(IF((Melee!I:I&lt;&gt;"")*ISNA(MATCH(Melee!I:I,$B$2:$B5,0)),MATCH(Melee!I:I,Melee!I:I,0))))</f>
        <v>Mars</v>
      </c>
      <c r="C6" s="511">
        <f>COUNTIFS(Melee!$I:$I,B6,Melee!$L:$L,"W")/(COUNTIFS(Melee!$I:$I,$B6,Melee!$L:$L,"W")+COUNTIFS(Melee!$I:$I,$B6,Melee!$L:$L,"L"))</f>
        <v>0.5636363636</v>
      </c>
      <c r="D6" s="512">
        <f>sum(COUNTIFS(Melee!$I:$I,$B6,Melee!$L:$L,"W"),COUNTIFS(Melee!$I:$I,$B6,Melee!$L:$L,"L"))</f>
        <v>55</v>
      </c>
      <c r="E6" s="513" t="str">
        <f>concatenate(COUNTIFS(Melee!$I:$I,$B6,Melee!$L:$L,"W")," - ",COUNTIFS(Melee!$I:$I,$B6,Melee!$L:$L,"L"))</f>
        <v>31 - 24</v>
      </c>
      <c r="F6" s="514">
        <f>COUNTIFS(Melee!$I:$I,B6,Melee!$M:$M,"W")/(COUNTIFS(Melee!$I:$I,$B6,Melee!$M:$M,"W")+COUNTIFS(Melee!$I:$I,$B6,Melee!$M:$M,"L"))</f>
        <v>0.5789473684</v>
      </c>
      <c r="G6" s="512">
        <f>sum(COUNTIFS(Melee!$I:$I,$B6,Melee!$M:$M,"W"),COUNTIFS(Melee!$I:$I,$B6,Melee!$M:$M,"L"))</f>
        <v>19</v>
      </c>
      <c r="H6" s="515" t="str">
        <f>concatenate(COUNTIFS(Melee!$I:$I,$B6,Melee!$M:$M,"W")," - ",COUNTIFS(Melee!$I:$I,$B6,Melee!$M:$M,"L"))</f>
        <v>11 - 8</v>
      </c>
    </row>
    <row r="7">
      <c r="A7" s="509">
        <v>5.0</v>
      </c>
      <c r="B7" s="510" t="str">
        <f t="array" ref="B7">INDEX(Melee!I:I,MODE(IF((Melee!I:I&lt;&gt;"")*ISNA(MATCH(Melee!I:I,$B$2:$B6,0)),MATCH(Melee!I:I,Melee!I:I,0))))</f>
        <v>Heartstrings</v>
      </c>
      <c r="C7" s="511">
        <f>COUNTIFS(Melee!$I:$I,B7,Melee!$L:$L,"W")/(COUNTIFS(Melee!$I:$I,$B7,Melee!$L:$L,"W")+COUNTIFS(Melee!$I:$I,$B7,Melee!$L:$L,"L"))</f>
        <v>0.07272727273</v>
      </c>
      <c r="D7" s="512">
        <f>sum(COUNTIFS(Melee!$I:$I,$B7,Melee!$L:$L,"W"),COUNTIFS(Melee!$I:$I,$B7,Melee!$L:$L,"L"))</f>
        <v>55</v>
      </c>
      <c r="E7" s="513" t="str">
        <f>concatenate(COUNTIFS(Melee!$I:$I,$B7,Melee!$L:$L,"W")," - ",COUNTIFS(Melee!$I:$I,$B7,Melee!$L:$L,"L"))</f>
        <v>4 - 51</v>
      </c>
      <c r="F7" s="514">
        <f>COUNTIFS(Melee!$I:$I,B7,Melee!$M:$M,"W")/(COUNTIFS(Melee!$I:$I,$B7,Melee!$M:$M,"W")+COUNTIFS(Melee!$I:$I,$B7,Melee!$M:$M,"L"))</f>
        <v>0</v>
      </c>
      <c r="G7" s="512">
        <f>sum(COUNTIFS(Melee!$I:$I,$B7,Melee!$M:$M,"W"),COUNTIFS(Melee!$I:$I,$B7,Melee!$M:$M,"L"))</f>
        <v>23</v>
      </c>
      <c r="H7" s="515" t="str">
        <f>concatenate(COUNTIFS(Melee!$I:$I,$B7,Melee!$M:$M,"W")," - ",COUNTIFS(Melee!$I:$I,$B7,Melee!$M:$M,"L"))</f>
        <v>0 - 23</v>
      </c>
    </row>
    <row r="8">
      <c r="A8" s="509">
        <v>6.0</v>
      </c>
      <c r="B8" s="510" t="str">
        <f t="array" ref="B8">INDEX(Melee!I:I,MODE(IF((Melee!I:I&lt;&gt;"")*ISNA(MATCH(Melee!I:I,$B$2:$B7,0)),MATCH(Melee!I:I,Melee!I:I,0))))</f>
        <v>Techboy</v>
      </c>
      <c r="C8" s="511">
        <f>COUNTIFS(Melee!$I:$I,B8,Melee!$L:$L,"W")/(COUNTIFS(Melee!$I:$I,$B8,Melee!$L:$L,"W")+COUNTIFS(Melee!$I:$I,$B8,Melee!$L:$L,"L"))</f>
        <v>0.2222222222</v>
      </c>
      <c r="D8" s="512">
        <f>sum(COUNTIFS(Melee!$I:$I,$B8,Melee!$L:$L,"W"),COUNTIFS(Melee!$I:$I,$B8,Melee!$L:$L,"L"))</f>
        <v>54</v>
      </c>
      <c r="E8" s="513" t="str">
        <f>concatenate(COUNTIFS(Melee!$I:$I,$B8,Melee!$L:$L,"W")," - ",COUNTIFS(Melee!$I:$I,$B8,Melee!$L:$L,"L"))</f>
        <v>12 - 42</v>
      </c>
      <c r="F8" s="514">
        <f>COUNTIFS(Melee!$I:$I,B8,Melee!$M:$M,"W")/(COUNTIFS(Melee!$I:$I,$B8,Melee!$M:$M,"W")+COUNTIFS(Melee!$I:$I,$B8,Melee!$M:$M,"L"))</f>
        <v>0.1739130435</v>
      </c>
      <c r="G8" s="512">
        <f>sum(COUNTIFS(Melee!$I:$I,$B8,Melee!$M:$M,"W"),COUNTIFS(Melee!$I:$I,$B8,Melee!$M:$M,"L"))</f>
        <v>23</v>
      </c>
      <c r="H8" s="515" t="str">
        <f>concatenate(COUNTIFS(Melee!$I:$I,$B8,Melee!$M:$M,"W")," - ",COUNTIFS(Melee!$I:$I,$B8,Melee!$M:$M,"L"))</f>
        <v>4 - 19</v>
      </c>
    </row>
    <row r="9">
      <c r="A9" s="509">
        <v>7.0</v>
      </c>
      <c r="B9" s="510" t="str">
        <f t="array" ref="B9">INDEX(Melee!I:I,MODE(IF((Melee!I:I&lt;&gt;"")*ISNA(MATCH(Melee!I:I,$B$2:$B8,0)),MATCH(Melee!I:I,Melee!I:I,0))))</f>
        <v>Sacredtwin</v>
      </c>
      <c r="C9" s="511">
        <f>COUNTIFS(Melee!$I:$I,B9,Melee!$L:$L,"W")/(COUNTIFS(Melee!$I:$I,$B9,Melee!$L:$L,"W")+COUNTIFS(Melee!$I:$I,$B9,Melee!$L:$L,"L"))</f>
        <v>0.4705882353</v>
      </c>
      <c r="D9" s="512">
        <f>sum(COUNTIFS(Melee!$I:$I,$B9,Melee!$L:$L,"W"),COUNTIFS(Melee!$I:$I,$B9,Melee!$L:$L,"L"))</f>
        <v>51</v>
      </c>
      <c r="E9" s="513" t="str">
        <f>concatenate(COUNTIFS(Melee!$I:$I,$B9,Melee!$L:$L,"W")," - ",COUNTIFS(Melee!$I:$I,$B9,Melee!$L:$L,"L"))</f>
        <v>24 - 27</v>
      </c>
      <c r="F9" s="514">
        <f>COUNTIFS(Melee!$I:$I,B9,Melee!$M:$M,"W")/(COUNTIFS(Melee!$I:$I,$B9,Melee!$M:$M,"W")+COUNTIFS(Melee!$I:$I,$B9,Melee!$M:$M,"L"))</f>
        <v>0.4375</v>
      </c>
      <c r="G9" s="512">
        <f>sum(COUNTIFS(Melee!$I:$I,$B9,Melee!$M:$M,"W"),COUNTIFS(Melee!$I:$I,$B9,Melee!$M:$M,"L"))</f>
        <v>16</v>
      </c>
      <c r="H9" s="515" t="str">
        <f>concatenate(COUNTIFS(Melee!$I:$I,$B9,Melee!$M:$M,"W")," - ",COUNTIFS(Melee!$I:$I,$B9,Melee!$M:$M,"L"))</f>
        <v>7 - 9</v>
      </c>
    </row>
    <row r="10">
      <c r="A10" s="509">
        <v>8.0</v>
      </c>
      <c r="B10" s="510" t="str">
        <f t="array" ref="B10">INDEX(Melee!I:I,MODE(IF((Melee!I:I&lt;&gt;"")*ISNA(MATCH(Melee!I:I,$B$2:$B9,0)),MATCH(Melee!I:I,Melee!I:I,0))))</f>
        <v>D_Lidz</v>
      </c>
      <c r="C10" s="511">
        <f>COUNTIFS(Melee!$I:$I,B10,Melee!$L:$L,"W")/(COUNTIFS(Melee!$I:$I,$B10,Melee!$L:$L,"W")+COUNTIFS(Melee!$I:$I,$B10,Melee!$L:$L,"L"))</f>
        <v>0.7</v>
      </c>
      <c r="D10" s="512">
        <f>sum(COUNTIFS(Melee!$I:$I,$B10,Melee!$L:$L,"W"),COUNTIFS(Melee!$I:$I,$B10,Melee!$L:$L,"L"))</f>
        <v>50</v>
      </c>
      <c r="E10" s="513" t="str">
        <f>concatenate(COUNTIFS(Melee!$I:$I,$B10,Melee!$L:$L,"W")," - ",COUNTIFS(Melee!$I:$I,$B10,Melee!$L:$L,"L"))</f>
        <v>35 - 15</v>
      </c>
      <c r="F10" s="514">
        <f>COUNTIFS(Melee!$I:$I,B10,Melee!$M:$M,"W")/(COUNTIFS(Melee!$I:$I,$B10,Melee!$M:$M,"W")+COUNTIFS(Melee!$I:$I,$B10,Melee!$M:$M,"L"))</f>
        <v>0.7777777778</v>
      </c>
      <c r="G10" s="512">
        <f>sum(COUNTIFS(Melee!$I:$I,$B10,Melee!$M:$M,"W"),COUNTIFS(Melee!$I:$I,$B10,Melee!$M:$M,"L"))</f>
        <v>18</v>
      </c>
      <c r="H10" s="515" t="str">
        <f>concatenate(COUNTIFS(Melee!$I:$I,$B10,Melee!$M:$M,"W")," - ",COUNTIFS(Melee!$I:$I,$B10,Melee!$M:$M,"L"))</f>
        <v>14 - 4</v>
      </c>
    </row>
    <row r="11">
      <c r="A11" s="509">
        <v>9.0</v>
      </c>
      <c r="B11" s="510" t="str">
        <f t="array" ref="B11">INDEX(Melee!I:I,MODE(IF((Melee!I:I&lt;&gt;"")*ISNA(MATCH(Melee!I:I,$B$2:$B10,0)),MATCH(Melee!I:I,Melee!I:I,0))))</f>
        <v>Sheep</v>
      </c>
      <c r="C11" s="511">
        <f>COUNTIFS(Melee!$I:$I,B11,Melee!$L:$L,"W")/(COUNTIFS(Melee!$I:$I,$B11,Melee!$L:$L,"W")+COUNTIFS(Melee!$I:$I,$B11,Melee!$L:$L,"L"))</f>
        <v>0.2978723404</v>
      </c>
      <c r="D11" s="512">
        <f>sum(COUNTIFS(Melee!$I:$I,$B11,Melee!$L:$L,"W"),COUNTIFS(Melee!$I:$I,$B11,Melee!$L:$L,"L"))</f>
        <v>47</v>
      </c>
      <c r="E11" s="513" t="str">
        <f>concatenate(COUNTIFS(Melee!$I:$I,$B11,Melee!$L:$L,"W")," - ",COUNTIFS(Melee!$I:$I,$B11,Melee!$L:$L,"L"))</f>
        <v>14 - 33</v>
      </c>
      <c r="F11" s="514">
        <f>COUNTIFS(Melee!$I:$I,B11,Melee!$M:$M,"W")/(COUNTIFS(Melee!$I:$I,$B11,Melee!$M:$M,"W")+COUNTIFS(Melee!$I:$I,$B11,Melee!$M:$M,"L"))</f>
        <v>0.1764705882</v>
      </c>
      <c r="G11" s="512">
        <f>sum(COUNTIFS(Melee!$I:$I,$B11,Melee!$M:$M,"W"),COUNTIFS(Melee!$I:$I,$B11,Melee!$M:$M,"L"))</f>
        <v>17</v>
      </c>
      <c r="H11" s="515" t="str">
        <f>concatenate(COUNTIFS(Melee!$I:$I,$B11,Melee!$M:$M,"W")," - ",COUNTIFS(Melee!$I:$I,$B11,Melee!$M:$M,"L"))</f>
        <v>3 - 14</v>
      </c>
    </row>
    <row r="12">
      <c r="A12" s="509">
        <v>10.0</v>
      </c>
      <c r="B12" s="510" t="str">
        <f t="array" ref="B12">INDEX(Melee!I:I,MODE(IF((Melee!I:I&lt;&gt;"")*ISNA(MATCH(Melee!I:I,$B$2:$B11,0)),MATCH(Melee!I:I,Melee!I:I,0))))</f>
        <v>HAM</v>
      </c>
      <c r="C12" s="511">
        <f>COUNTIFS(Melee!$I:$I,B12,Melee!$L:$L,"W")/(COUNTIFS(Melee!$I:$I,$B12,Melee!$L:$L,"W")+COUNTIFS(Melee!$I:$I,$B12,Melee!$L:$L,"L"))</f>
        <v>0.7173913043</v>
      </c>
      <c r="D12" s="512">
        <f>sum(COUNTIFS(Melee!$I:$I,$B12,Melee!$L:$L,"W"),COUNTIFS(Melee!$I:$I,$B12,Melee!$L:$L,"L"))</f>
        <v>46</v>
      </c>
      <c r="E12" s="513" t="str">
        <f>concatenate(COUNTIFS(Melee!$I:$I,$B12,Melee!$L:$L,"W")," - ",COUNTIFS(Melee!$I:$I,$B12,Melee!$L:$L,"L"))</f>
        <v>33 - 13</v>
      </c>
      <c r="F12" s="514">
        <f>COUNTIFS(Melee!$I:$I,B12,Melee!$M:$M,"W")/(COUNTIFS(Melee!$I:$I,$B12,Melee!$M:$M,"W")+COUNTIFS(Melee!$I:$I,$B12,Melee!$M:$M,"L"))</f>
        <v>0.8333333333</v>
      </c>
      <c r="G12" s="512">
        <f>sum(COUNTIFS(Melee!$I:$I,$B12,Melee!$M:$M,"W"),COUNTIFS(Melee!$I:$I,$B12,Melee!$M:$M,"L"))</f>
        <v>18</v>
      </c>
      <c r="H12" s="515" t="str">
        <f>concatenate(COUNTIFS(Melee!$I:$I,$B12,Melee!$M:$M,"W")," - ",COUNTIFS(Melee!$I:$I,$B12,Melee!$M:$M,"L"))</f>
        <v>15 - 3</v>
      </c>
    </row>
    <row r="13">
      <c r="A13" s="509">
        <v>11.0</v>
      </c>
      <c r="B13" s="510" t="str">
        <f t="array" ref="B13">INDEX(Melee!I:I,MODE(IF((Melee!I:I&lt;&gt;"")*ISNA(MATCH(Melee!I:I,$B$2:$B12,0)),MATCH(Melee!I:I,Melee!I:I,0))))</f>
        <v>Mushu</v>
      </c>
      <c r="C13" s="511">
        <f>COUNTIFS(Melee!$I:$I,B13,Melee!$L:$L,"W")/(COUNTIFS(Melee!$I:$I,$B13,Melee!$L:$L,"W")+COUNTIFS(Melee!$I:$I,$B13,Melee!$L:$L,"L"))</f>
        <v>0.5111111111</v>
      </c>
      <c r="D13" s="512">
        <f>sum(COUNTIFS(Melee!$I:$I,$B13,Melee!$L:$L,"W"),COUNTIFS(Melee!$I:$I,$B13,Melee!$L:$L,"L"))</f>
        <v>45</v>
      </c>
      <c r="E13" s="513" t="str">
        <f>concatenate(COUNTIFS(Melee!$I:$I,$B13,Melee!$L:$L,"W")," - ",COUNTIFS(Melee!$I:$I,$B13,Melee!$L:$L,"L"))</f>
        <v>23 - 22</v>
      </c>
      <c r="F13" s="514">
        <f>COUNTIFS(Melee!$I:$I,B13,Melee!$M:$M,"W")/(COUNTIFS(Melee!$I:$I,$B13,Melee!$M:$M,"W")+COUNTIFS(Melee!$I:$I,$B13,Melee!$M:$M,"L"))</f>
        <v>0.4666666667</v>
      </c>
      <c r="G13" s="512">
        <f>sum(COUNTIFS(Melee!$I:$I,$B13,Melee!$M:$M,"W"),COUNTIFS(Melee!$I:$I,$B13,Melee!$M:$M,"L"))</f>
        <v>15</v>
      </c>
      <c r="H13" s="515" t="str">
        <f>concatenate(COUNTIFS(Melee!$I:$I,$B13,Melee!$M:$M,"W")," - ",COUNTIFS(Melee!$I:$I,$B13,Melee!$M:$M,"L"))</f>
        <v>7 - 8</v>
      </c>
    </row>
    <row r="14">
      <c r="A14" s="509">
        <v>12.0</v>
      </c>
      <c r="B14" s="510" t="str">
        <f t="array" ref="B14">INDEX(Melee!I:I,MODE(IF((Melee!I:I&lt;&gt;"")*ISNA(MATCH(Melee!I:I,$B$2:$B13,0)),MATCH(Melee!I:I,Melee!I:I,0))))</f>
        <v>Jcubez</v>
      </c>
      <c r="C14" s="511">
        <f>COUNTIFS(Melee!$I:$I,B14,Melee!$L:$L,"W")/(COUNTIFS(Melee!$I:$I,$B14,Melee!$L:$L,"W")+COUNTIFS(Melee!$I:$I,$B14,Melee!$L:$L,"L"))</f>
        <v>0.1463414634</v>
      </c>
      <c r="D14" s="512">
        <f>sum(COUNTIFS(Melee!$I:$I,$B14,Melee!$L:$L,"W"),COUNTIFS(Melee!$I:$I,$B14,Melee!$L:$L,"L"))</f>
        <v>41</v>
      </c>
      <c r="E14" s="513" t="str">
        <f>concatenate(COUNTIFS(Melee!$I:$I,$B14,Melee!$L:$L,"W")," - ",COUNTIFS(Melee!$I:$I,$B14,Melee!$L:$L,"L"))</f>
        <v>6 - 35</v>
      </c>
      <c r="F14" s="514">
        <f>COUNTIFS(Melee!$I:$I,B14,Melee!$M:$M,"W")/(COUNTIFS(Melee!$I:$I,$B14,Melee!$M:$M,"W")+COUNTIFS(Melee!$I:$I,$B14,Melee!$M:$M,"L"))</f>
        <v>0</v>
      </c>
      <c r="G14" s="512">
        <f>sum(COUNTIFS(Melee!$I:$I,$B14,Melee!$M:$M,"W"),COUNTIFS(Melee!$I:$I,$B14,Melee!$M:$M,"L"))</f>
        <v>15</v>
      </c>
      <c r="H14" s="515" t="str">
        <f>concatenate(COUNTIFS(Melee!$I:$I,$B14,Melee!$M:$M,"W")," - ",COUNTIFS(Melee!$I:$I,$B14,Melee!$M:$M,"L"))</f>
        <v>0 - 15</v>
      </c>
    </row>
    <row r="15">
      <c r="A15" s="509">
        <v>13.0</v>
      </c>
      <c r="B15" s="510" t="str">
        <f t="array" ref="B15">INDEX(Melee!I:I,MODE(IF((Melee!I:I&lt;&gt;"")*ISNA(MATCH(Melee!I:I,$B$2:$B14,0)),MATCH(Melee!I:I,Melee!I:I,0))))</f>
        <v>Duo</v>
      </c>
      <c r="C15" s="511">
        <f>COUNTIFS(Melee!$I:$I,B15,Melee!$L:$L,"W")/(COUNTIFS(Melee!$I:$I,$B15,Melee!$L:$L,"W")+COUNTIFS(Melee!$I:$I,$B15,Melee!$L:$L,"L"))</f>
        <v>0.3333333333</v>
      </c>
      <c r="D15" s="512">
        <f>sum(COUNTIFS(Melee!$I:$I,$B15,Melee!$L:$L,"W"),COUNTIFS(Melee!$I:$I,$B15,Melee!$L:$L,"L"))</f>
        <v>42</v>
      </c>
      <c r="E15" s="513" t="str">
        <f>concatenate(COUNTIFS(Melee!$I:$I,$B15,Melee!$L:$L,"W")," - ",COUNTIFS(Melee!$I:$I,$B15,Melee!$L:$L,"L"))</f>
        <v>14 - 28</v>
      </c>
      <c r="F15" s="514">
        <f>COUNTIFS(Melee!$I:$I,B15,Melee!$M:$M,"W")/(COUNTIFS(Melee!$I:$I,$B15,Melee!$M:$M,"W")+COUNTIFS(Melee!$I:$I,$B15,Melee!$M:$M,"L"))</f>
        <v>0.3333333333</v>
      </c>
      <c r="G15" s="512">
        <f>sum(COUNTIFS(Melee!$I:$I,$B15,Melee!$M:$M,"W"),COUNTIFS(Melee!$I:$I,$B15,Melee!$M:$M,"L"))</f>
        <v>15</v>
      </c>
      <c r="H15" s="515" t="str">
        <f>concatenate(COUNTIFS(Melee!$I:$I,$B15,Melee!$M:$M,"W")," - ",COUNTIFS(Melee!$I:$I,$B15,Melee!$M:$M,"L"))</f>
        <v>5 - 10</v>
      </c>
    </row>
    <row r="16">
      <c r="A16" s="509">
        <v>14.0</v>
      </c>
      <c r="B16" s="510" t="str">
        <f t="array" ref="B16">INDEX(Melee!I:I,MODE(IF((Melee!I:I&lt;&gt;"")*ISNA(MATCH(Melee!I:I,$B$2:$B15,0)),MATCH(Melee!I:I,Melee!I:I,0))))</f>
        <v>Zam</v>
      </c>
      <c r="C16" s="511">
        <f>COUNTIFS(Melee!$I:$I,B16,Melee!$L:$L,"W")/(COUNTIFS(Melee!$I:$I,$B16,Melee!$L:$L,"W")+COUNTIFS(Melee!$I:$I,$B16,Melee!$L:$L,"L"))</f>
        <v>0.65</v>
      </c>
      <c r="D16" s="512">
        <f>sum(COUNTIFS(Melee!$I:$I,$B16,Melee!$L:$L,"W"),COUNTIFS(Melee!$I:$I,$B16,Melee!$L:$L,"L"))</f>
        <v>40</v>
      </c>
      <c r="E16" s="513" t="str">
        <f>concatenate(COUNTIFS(Melee!$I:$I,$B16,Melee!$L:$L,"W")," - ",COUNTIFS(Melee!$I:$I,$B16,Melee!$L:$L,"L"))</f>
        <v>26 - 14</v>
      </c>
      <c r="F16" s="514">
        <f>COUNTIFS(Melee!$I:$I,B16,Melee!$M:$M,"W")/(COUNTIFS(Melee!$I:$I,$B16,Melee!$M:$M,"W")+COUNTIFS(Melee!$I:$I,$B16,Melee!$M:$M,"L"))</f>
        <v>0.7142857143</v>
      </c>
      <c r="G16" s="512">
        <f>sum(COUNTIFS(Melee!$I:$I,$B16,Melee!$M:$M,"W"),COUNTIFS(Melee!$I:$I,$B16,Melee!$M:$M,"L"))</f>
        <v>14</v>
      </c>
      <c r="H16" s="515" t="str">
        <f>concatenate(COUNTIFS(Melee!$I:$I,$B16,Melee!$M:$M,"W")," - ",COUNTIFS(Melee!$I:$I,$B16,Melee!$M:$M,"L"))</f>
        <v>10 - 4</v>
      </c>
    </row>
    <row r="17">
      <c r="A17" s="509">
        <v>15.0</v>
      </c>
      <c r="B17" s="510" t="str">
        <f t="array" ref="B17">INDEX(Melee!I:I,MODE(IF((Melee!I:I&lt;&gt;"")*ISNA(MATCH(Melee!I:I,$B$2:$B16,0)),MATCH(Melee!I:I,Melee!I:I,0))))</f>
        <v>QBaby</v>
      </c>
      <c r="C17" s="511">
        <f>COUNTIFS(Melee!$I:$I,B17,Melee!$L:$L,"W")/(COUNTIFS(Melee!$I:$I,$B17,Melee!$L:$L,"W")+COUNTIFS(Melee!$I:$I,$B17,Melee!$L:$L,"L"))</f>
        <v>0.9210526316</v>
      </c>
      <c r="D17" s="512">
        <f>sum(COUNTIFS(Melee!$I:$I,$B17,Melee!$L:$L,"W"),COUNTIFS(Melee!$I:$I,$B17,Melee!$L:$L,"L"))</f>
        <v>38</v>
      </c>
      <c r="E17" s="513" t="str">
        <f>concatenate(COUNTIFS(Melee!$I:$I,$B17,Melee!$L:$L,"W")," - ",COUNTIFS(Melee!$I:$I,$B17,Melee!$L:$L,"L"))</f>
        <v>35 - 3</v>
      </c>
      <c r="F17" s="514">
        <f>COUNTIFS(Melee!$I:$I,B17,Melee!$M:$M,"W")/(COUNTIFS(Melee!$I:$I,$B17,Melee!$M:$M,"W")+COUNTIFS(Melee!$I:$I,$B17,Melee!$M:$M,"L"))</f>
        <v>1</v>
      </c>
      <c r="G17" s="512">
        <f>sum(COUNTIFS(Melee!$I:$I,$B17,Melee!$M:$M,"W"),COUNTIFS(Melee!$I:$I,$B17,Melee!$M:$M,"L"))</f>
        <v>17</v>
      </c>
      <c r="H17" s="515" t="str">
        <f>concatenate(COUNTIFS(Melee!$I:$I,$B17,Melee!$M:$M,"W")," - ",COUNTIFS(Melee!$I:$I,$B17,Melee!$M:$M,"L"))</f>
        <v>17 - 0</v>
      </c>
    </row>
    <row r="18">
      <c r="A18" s="509">
        <v>16.0</v>
      </c>
      <c r="B18" s="510" t="str">
        <f t="array" ref="B18">INDEX(Melee!I:I,MODE(IF((Melee!I:I&lt;&gt;"")*ISNA(MATCH(Melee!I:I,$B$2:$B17,0)),MATCH(Melee!I:I,Melee!I:I,0))))</f>
        <v>Beckett</v>
      </c>
      <c r="C18" s="511">
        <f>COUNTIFS(Melee!$I:$I,B18,Melee!$L:$L,"W")/(COUNTIFS(Melee!$I:$I,$B18,Melee!$L:$L,"W")+COUNTIFS(Melee!$I:$I,$B18,Melee!$L:$L,"L"))</f>
        <v>0.6756756757</v>
      </c>
      <c r="D18" s="512">
        <f>sum(COUNTIFS(Melee!$I:$I,$B18,Melee!$L:$L,"W"),COUNTIFS(Melee!$I:$I,$B18,Melee!$L:$L,"L"))</f>
        <v>37</v>
      </c>
      <c r="E18" s="513" t="str">
        <f>concatenate(COUNTIFS(Melee!$I:$I,$B18,Melee!$L:$L,"W")," - ",COUNTIFS(Melee!$I:$I,$B18,Melee!$L:$L,"L"))</f>
        <v>25 - 12</v>
      </c>
      <c r="F18" s="514">
        <f>COUNTIFS(Melee!$I:$I,B18,Melee!$M:$M,"W")/(COUNTIFS(Melee!$I:$I,$B18,Melee!$M:$M,"W")+COUNTIFS(Melee!$I:$I,$B18,Melee!$M:$M,"L"))</f>
        <v>0.7692307692</v>
      </c>
      <c r="G18" s="512">
        <f>sum(COUNTIFS(Melee!$I:$I,$B18,Melee!$M:$M,"W"),COUNTIFS(Melee!$I:$I,$B18,Melee!$M:$M,"L"))</f>
        <v>13</v>
      </c>
      <c r="H18" s="515" t="str">
        <f>concatenate(COUNTIFS(Melee!$I:$I,$B18,Melee!$M:$M,"W")," - ",COUNTIFS(Melee!$I:$I,$B18,Melee!$M:$M,"L"))</f>
        <v>10 - 3</v>
      </c>
    </row>
    <row r="19">
      <c r="A19" s="509">
        <v>17.0</v>
      </c>
      <c r="B19" s="510" t="str">
        <f t="array" ref="B19">INDEX(Melee!I:I,MODE(IF((Melee!I:I&lt;&gt;"")*ISNA(MATCH(Melee!I:I,$B$2:$B18,0)),MATCH(Melee!I:I,Melee!I:I,0))))</f>
        <v>Lain</v>
      </c>
      <c r="C19" s="511">
        <f>COUNTIFS(Melee!$I:$I,B19,Melee!$L:$L,"W")/(COUNTIFS(Melee!$I:$I,$B19,Melee!$L:$L,"W")+COUNTIFS(Melee!$I:$I,$B19,Melee!$L:$L,"L"))</f>
        <v>0.3888888889</v>
      </c>
      <c r="D19" s="512">
        <f>sum(COUNTIFS(Melee!$I:$I,$B19,Melee!$L:$L,"W"),COUNTIFS(Melee!$I:$I,$B19,Melee!$L:$L,"L"))</f>
        <v>36</v>
      </c>
      <c r="E19" s="513" t="str">
        <f>concatenate(COUNTIFS(Melee!$I:$I,$B19,Melee!$L:$L,"W")," - ",COUNTIFS(Melee!$I:$I,$B19,Melee!$L:$L,"L"))</f>
        <v>14 - 22</v>
      </c>
      <c r="F19" s="514">
        <f>COUNTIFS(Melee!$I:$I,B19,Melee!$M:$M,"W")/(COUNTIFS(Melee!$I:$I,$B19,Melee!$M:$M,"W")+COUNTIFS(Melee!$I:$I,$B19,Melee!$M:$M,"L"))</f>
        <v>0.2307692308</v>
      </c>
      <c r="G19" s="512">
        <f>sum(COUNTIFS(Melee!$I:$I,$B19,Melee!$M:$M,"W"),COUNTIFS(Melee!$I:$I,$B19,Melee!$M:$M,"L"))</f>
        <v>13</v>
      </c>
      <c r="H19" s="515" t="str">
        <f>concatenate(COUNTIFS(Melee!$I:$I,$B19,Melee!$M:$M,"W")," - ",COUNTIFS(Melee!$I:$I,$B19,Melee!$M:$M,"L"))</f>
        <v>3 - 10</v>
      </c>
    </row>
    <row r="20">
      <c r="A20" s="509">
        <v>18.0</v>
      </c>
      <c r="B20" s="510" t="str">
        <f t="array" ref="B20">INDEX(Melee!I:I,MODE(IF((Melee!I:I&lt;&gt;"")*ISNA(MATCH(Melee!I:I,$B$2:$B19,0)),MATCH(Melee!I:I,Melee!I:I,0))))</f>
        <v>Beach</v>
      </c>
      <c r="C20" s="511">
        <f>COUNTIFS(Melee!$I:$I,B20,Melee!$L:$L,"W")/(COUNTIFS(Melee!$I:$I,$B20,Melee!$L:$L,"W")+COUNTIFS(Melee!$I:$I,$B20,Melee!$L:$L,"L"))</f>
        <v>0.4285714286</v>
      </c>
      <c r="D20" s="512">
        <f>sum(COUNTIFS(Melee!$I:$I,$B20,Melee!$L:$L,"W"),COUNTIFS(Melee!$I:$I,$B20,Melee!$L:$L,"L"))</f>
        <v>35</v>
      </c>
      <c r="E20" s="513" t="str">
        <f>concatenate(COUNTIFS(Melee!$I:$I,$B20,Melee!$L:$L,"W")," - ",COUNTIFS(Melee!$I:$I,$B20,Melee!$L:$L,"L"))</f>
        <v>15 - 20</v>
      </c>
      <c r="F20" s="514">
        <f>COUNTIFS(Melee!$I:$I,B20,Melee!$M:$M,"W")/(COUNTIFS(Melee!$I:$I,$B20,Melee!$M:$M,"W")+COUNTIFS(Melee!$I:$I,$B20,Melee!$M:$M,"L"))</f>
        <v>0.4166666667</v>
      </c>
      <c r="G20" s="512">
        <f>sum(COUNTIFS(Melee!$I:$I,$B20,Melee!$M:$M,"W"),COUNTIFS(Melee!$I:$I,$B20,Melee!$M:$M,"L"))</f>
        <v>12</v>
      </c>
      <c r="H20" s="515" t="str">
        <f>concatenate(COUNTIFS(Melee!$I:$I,$B20,Melee!$M:$M,"W")," - ",COUNTIFS(Melee!$I:$I,$B20,Melee!$M:$M,"L"))</f>
        <v>5 - 7</v>
      </c>
    </row>
    <row r="21">
      <c r="A21" s="509">
        <v>19.0</v>
      </c>
      <c r="B21" s="510" t="str">
        <f t="array" ref="B21">INDEX(Melee!I:I,MODE(IF((Melee!I:I&lt;&gt;"")*ISNA(MATCH(Melee!I:I,$B$2:$B20,0)),MATCH(Melee!I:I,Melee!I:I,0))))</f>
        <v>i4n</v>
      </c>
      <c r="C21" s="511">
        <f>COUNTIFS(Melee!$I:$I,B21,Melee!$L:$L,"W")/(COUNTIFS(Melee!$I:$I,$B21,Melee!$L:$L,"W")+COUNTIFS(Melee!$I:$I,$B21,Melee!$L:$L,"L"))</f>
        <v>0.1428571429</v>
      </c>
      <c r="D21" s="512">
        <f>sum(COUNTIFS(Melee!$I:$I,$B21,Melee!$L:$L,"W"),COUNTIFS(Melee!$I:$I,$B21,Melee!$L:$L,"L"))</f>
        <v>35</v>
      </c>
      <c r="E21" s="513" t="str">
        <f>concatenate(COUNTIFS(Melee!$I:$I,$B21,Melee!$L:$L,"W")," - ",COUNTIFS(Melee!$I:$I,$B21,Melee!$L:$L,"L"))</f>
        <v>5 - 30</v>
      </c>
      <c r="F21" s="514">
        <f>COUNTIFS(Melee!$I:$I,B21,Melee!$M:$M,"W")/(COUNTIFS(Melee!$I:$I,$B21,Melee!$M:$M,"W")+COUNTIFS(Melee!$I:$I,$B21,Melee!$M:$M,"L"))</f>
        <v>0</v>
      </c>
      <c r="G21" s="512">
        <f>sum(COUNTIFS(Melee!$I:$I,$B21,Melee!$M:$M,"W"),COUNTIFS(Melee!$I:$I,$B21,Melee!$M:$M,"L"))</f>
        <v>14</v>
      </c>
      <c r="H21" s="515" t="str">
        <f>concatenate(COUNTIFS(Melee!$I:$I,$B21,Melee!$M:$M,"W")," - ",COUNTIFS(Melee!$I:$I,$B21,Melee!$M:$M,"L"))</f>
        <v>0 - 14</v>
      </c>
    </row>
    <row r="22">
      <c r="A22" s="509">
        <v>20.0</v>
      </c>
      <c r="B22" s="510" t="str">
        <f t="array" ref="B22">INDEX(Melee!I:I,MODE(IF((Melee!I:I&lt;&gt;"")*ISNA(MATCH(Melee!I:I,$B$2:$B21,0)),MATCH(Melee!I:I,Melee!I:I,0))))</f>
        <v>Mingee</v>
      </c>
      <c r="C22" s="511">
        <f>COUNTIFS(Melee!$I:$I,B22,Melee!$L:$L,"W")/(COUNTIFS(Melee!$I:$I,$B22,Melee!$L:$L,"W")+COUNTIFS(Melee!$I:$I,$B22,Melee!$L:$L,"L"))</f>
        <v>0.2352941176</v>
      </c>
      <c r="D22" s="512">
        <f>sum(COUNTIFS(Melee!$I:$I,$B22,Melee!$L:$L,"W"),COUNTIFS(Melee!$I:$I,$B22,Melee!$L:$L,"L"))</f>
        <v>34</v>
      </c>
      <c r="E22" s="513" t="str">
        <f>concatenate(COUNTIFS(Melee!$I:$I,$B22,Melee!$L:$L,"W")," - ",COUNTIFS(Melee!$I:$I,$B22,Melee!$L:$L,"L"))</f>
        <v>8 - 26</v>
      </c>
      <c r="F22" s="514">
        <f>COUNTIFS(Melee!$I:$I,B22,Melee!$M:$M,"W")/(COUNTIFS(Melee!$I:$I,$B22,Melee!$M:$M,"W")+COUNTIFS(Melee!$I:$I,$B22,Melee!$M:$M,"L"))</f>
        <v>0</v>
      </c>
      <c r="G22" s="512">
        <f>sum(COUNTIFS(Melee!$I:$I,$B22,Melee!$M:$M,"W"),COUNTIFS(Melee!$I:$I,$B22,Melee!$M:$M,"L"))</f>
        <v>10</v>
      </c>
      <c r="H22" s="515" t="str">
        <f>concatenate(COUNTIFS(Melee!$I:$I,$B22,Melee!$M:$M,"W")," - ",COUNTIFS(Melee!$I:$I,$B22,Melee!$M:$M,"L"))</f>
        <v>0 - 10</v>
      </c>
    </row>
    <row r="23">
      <c r="A23" s="509">
        <v>21.0</v>
      </c>
      <c r="B23" s="510" t="str">
        <f t="array" ref="B23">INDEX(Melee!I:I,MODE(IF((Melee!I:I&lt;&gt;"")*ISNA(MATCH(Melee!I:I,$B$2:$B22,0)),MATCH(Melee!I:I,Melee!I:I,0))))</f>
        <v>KJH</v>
      </c>
      <c r="C23" s="511">
        <f>COUNTIFS(Melee!$I:$I,B23,Melee!$L:$L,"W")/(COUNTIFS(Melee!$I:$I,$B23,Melee!$L:$L,"W")+COUNTIFS(Melee!$I:$I,$B23,Melee!$L:$L,"L"))</f>
        <v>0</v>
      </c>
      <c r="D23" s="512">
        <f>sum(COUNTIFS(Melee!$I:$I,$B23,Melee!$L:$L,"W"),COUNTIFS(Melee!$I:$I,$B23,Melee!$L:$L,"L"))</f>
        <v>34</v>
      </c>
      <c r="E23" s="513" t="str">
        <f>concatenate(COUNTIFS(Melee!$I:$I,$B23,Melee!$L:$L,"W")," - ",COUNTIFS(Melee!$I:$I,$B23,Melee!$L:$L,"L"))</f>
        <v>0 - 34</v>
      </c>
      <c r="F23" s="514">
        <f>COUNTIFS(Melee!$I:$I,B23,Melee!$M:$M,"W")/(COUNTIFS(Melee!$I:$I,$B23,Melee!$M:$M,"W")+COUNTIFS(Melee!$I:$I,$B23,Melee!$M:$M,"L"))</f>
        <v>0</v>
      </c>
      <c r="G23" s="512">
        <f>sum(COUNTIFS(Melee!$I:$I,$B23,Melee!$M:$M,"W"),COUNTIFS(Melee!$I:$I,$B23,Melee!$M:$M,"L"))</f>
        <v>17</v>
      </c>
      <c r="H23" s="515" t="str">
        <f>concatenate(COUNTIFS(Melee!$I:$I,$B23,Melee!$M:$M,"W")," - ",COUNTIFS(Melee!$I:$I,$B23,Melee!$M:$M,"L"))</f>
        <v>0 - 17</v>
      </c>
    </row>
    <row r="24">
      <c r="A24" s="509">
        <v>22.0</v>
      </c>
      <c r="B24" s="510" t="str">
        <f t="array" ref="B24">INDEX(Melee!I:I,MODE(IF((Melee!I:I&lt;&gt;"")*ISNA(MATCH(Melee!I:I,$B$2:$B23,0)),MATCH(Melee!I:I,Melee!I:I,0))))</f>
        <v>Jakpox</v>
      </c>
      <c r="C24" s="511">
        <f>COUNTIFS(Melee!$I:$I,B24,Melee!$L:$L,"W")/(COUNTIFS(Melee!$I:$I,$B24,Melee!$L:$L,"W")+COUNTIFS(Melee!$I:$I,$B24,Melee!$L:$L,"L"))</f>
        <v>0.5483870968</v>
      </c>
      <c r="D24" s="512">
        <f>sum(COUNTIFS(Melee!$I:$I,$B24,Melee!$L:$L,"W"),COUNTIFS(Melee!$I:$I,$B24,Melee!$L:$L,"L"))</f>
        <v>31</v>
      </c>
      <c r="E24" s="513" t="str">
        <f>concatenate(COUNTIFS(Melee!$I:$I,$B24,Melee!$L:$L,"W")," - ",COUNTIFS(Melee!$I:$I,$B24,Melee!$L:$L,"L"))</f>
        <v>17 - 14</v>
      </c>
      <c r="F24" s="514">
        <f>COUNTIFS(Melee!$I:$I,B24,Melee!$M:$M,"W")/(COUNTIFS(Melee!$I:$I,$B24,Melee!$M:$M,"W")+COUNTIFS(Melee!$I:$I,$B24,Melee!$M:$M,"L"))</f>
        <v>0.625</v>
      </c>
      <c r="G24" s="512">
        <f>sum(COUNTIFS(Melee!$I:$I,$B24,Melee!$M:$M,"W"),COUNTIFS(Melee!$I:$I,$B24,Melee!$M:$M,"L"))</f>
        <v>8</v>
      </c>
      <c r="H24" s="515" t="str">
        <f>concatenate(COUNTIFS(Melee!$I:$I,$B24,Melee!$M:$M,"W")," - ",COUNTIFS(Melee!$I:$I,$B24,Melee!$M:$M,"L"))</f>
        <v>5 - 3</v>
      </c>
    </row>
    <row r="25">
      <c r="A25" s="509">
        <v>23.0</v>
      </c>
      <c r="B25" s="510" t="str">
        <f t="array" ref="B25">INDEX(Melee!I:I,MODE(IF((Melee!I:I&lt;&gt;"")*ISNA(MATCH(Melee!I:I,$B$2:$B24,0)),MATCH(Melee!I:I,Melee!I:I,0))))</f>
        <v>Charlie Harper</v>
      </c>
      <c r="C25" s="511">
        <f>COUNTIFS(Melee!$I:$I,B25,Melee!$L:$L,"W")/(COUNTIFS(Melee!$I:$I,$B25,Melee!$L:$L,"W")+COUNTIFS(Melee!$I:$I,$B25,Melee!$L:$L,"L"))</f>
        <v>0.5625</v>
      </c>
      <c r="D25" s="512">
        <f>sum(COUNTIFS(Melee!$I:$I,$B25,Melee!$L:$L,"W"),COUNTIFS(Melee!$I:$I,$B25,Melee!$L:$L,"L"))</f>
        <v>32</v>
      </c>
      <c r="E25" s="513" t="str">
        <f>concatenate(COUNTIFS(Melee!$I:$I,$B25,Melee!$L:$L,"W")," - ",COUNTIFS(Melee!$I:$I,$B25,Melee!$L:$L,"L"))</f>
        <v>18 - 14</v>
      </c>
      <c r="F25" s="514">
        <f>COUNTIFS(Melee!$I:$I,B25,Melee!$M:$M,"W")/(COUNTIFS(Melee!$I:$I,$B25,Melee!$M:$M,"W")+COUNTIFS(Melee!$I:$I,$B25,Melee!$M:$M,"L"))</f>
        <v>0.6153846154</v>
      </c>
      <c r="G25" s="512">
        <f>sum(COUNTIFS(Melee!$I:$I,$B25,Melee!$M:$M,"W"),COUNTIFS(Melee!$I:$I,$B25,Melee!$M:$M,"L"))</f>
        <v>13</v>
      </c>
      <c r="H25" s="515" t="str">
        <f>concatenate(COUNTIFS(Melee!$I:$I,$B25,Melee!$M:$M,"W")," - ",COUNTIFS(Melee!$I:$I,$B25,Melee!$M:$M,"L"))</f>
        <v>8 - 5</v>
      </c>
    </row>
    <row r="26">
      <c r="A26" s="509">
        <v>24.0</v>
      </c>
      <c r="B26" s="510" t="str">
        <f t="array" ref="B26">INDEX(Melee!I:I,MODE(IF((Melee!I:I&lt;&gt;"")*ISNA(MATCH(Melee!I:I,$B$2:$B25,0)),MATCH(Melee!I:I,Melee!I:I,0))))</f>
        <v>Kuyashi</v>
      </c>
      <c r="C26" s="511">
        <f>COUNTIFS(Melee!$I:$I,B26,Melee!$L:$L,"W")/(COUNTIFS(Melee!$I:$I,$B26,Melee!$L:$L,"W")+COUNTIFS(Melee!$I:$I,$B26,Melee!$L:$L,"L"))</f>
        <v>0.1</v>
      </c>
      <c r="D26" s="512">
        <f>sum(COUNTIFS(Melee!$I:$I,$B26,Melee!$L:$L,"W"),COUNTIFS(Melee!$I:$I,$B26,Melee!$L:$L,"L"))</f>
        <v>30</v>
      </c>
      <c r="E26" s="513" t="str">
        <f>concatenate(COUNTIFS(Melee!$I:$I,$B26,Melee!$L:$L,"W")," - ",COUNTIFS(Melee!$I:$I,$B26,Melee!$L:$L,"L"))</f>
        <v>3 - 27</v>
      </c>
      <c r="F26" s="514">
        <f>COUNTIFS(Melee!$I:$I,B26,Melee!$M:$M,"W")/(COUNTIFS(Melee!$I:$I,$B26,Melee!$M:$M,"W")+COUNTIFS(Melee!$I:$I,$B26,Melee!$M:$M,"L"))</f>
        <v>0.08333333333</v>
      </c>
      <c r="G26" s="512">
        <f>sum(COUNTIFS(Melee!$I:$I,$B26,Melee!$M:$M,"W"),COUNTIFS(Melee!$I:$I,$B26,Melee!$M:$M,"L"))</f>
        <v>12</v>
      </c>
      <c r="H26" s="515" t="str">
        <f>concatenate(COUNTIFS(Melee!$I:$I,$B26,Melee!$M:$M,"W")," - ",COUNTIFS(Melee!$I:$I,$B26,Melee!$M:$M,"L"))</f>
        <v>1 - 11</v>
      </c>
    </row>
    <row r="27">
      <c r="A27" s="509">
        <v>25.0</v>
      </c>
      <c r="B27" s="510" t="str">
        <f t="array" ref="B27">INDEX(Melee!I:I,MODE(IF((Melee!I:I&lt;&gt;"")*ISNA(MATCH(Melee!I:I,$B$2:$B26,0)),MATCH(Melee!I:I,Melee!I:I,0))))</f>
        <v>Cday</v>
      </c>
      <c r="C27" s="511">
        <f>COUNTIFS(Melee!$I:$I,B27,Melee!$L:$L,"W")/(COUNTIFS(Melee!$I:$I,$B27,Melee!$L:$L,"W")+COUNTIFS(Melee!$I:$I,$B27,Melee!$L:$L,"L"))</f>
        <v>0.5666666667</v>
      </c>
      <c r="D27" s="512">
        <f>sum(COUNTIFS(Melee!$I:$I,$B27,Melee!$L:$L,"W"),COUNTIFS(Melee!$I:$I,$B27,Melee!$L:$L,"L"))</f>
        <v>30</v>
      </c>
      <c r="E27" s="513" t="str">
        <f>concatenate(COUNTIFS(Melee!$I:$I,$B27,Melee!$L:$L,"W")," - ",COUNTIFS(Melee!$I:$I,$B27,Melee!$L:$L,"L"))</f>
        <v>17 - 13</v>
      </c>
      <c r="F27" s="514">
        <f>COUNTIFS(Melee!$I:$I,B27,Melee!$M:$M,"W")/(COUNTIFS(Melee!$I:$I,$B27,Melee!$M:$M,"W")+COUNTIFS(Melee!$I:$I,$B27,Melee!$M:$M,"L"))</f>
        <v>0.6666666667</v>
      </c>
      <c r="G27" s="512">
        <f>sum(COUNTIFS(Melee!$I:$I,$B27,Melee!$M:$M,"W"),COUNTIFS(Melee!$I:$I,$B27,Melee!$M:$M,"L"))</f>
        <v>9</v>
      </c>
      <c r="H27" s="515" t="str">
        <f>concatenate(COUNTIFS(Melee!$I:$I,$B27,Melee!$M:$M,"W")," - ",COUNTIFS(Melee!$I:$I,$B27,Melee!$M:$M,"L"))</f>
        <v>6 - 3</v>
      </c>
    </row>
    <row r="28">
      <c r="A28" s="509">
        <v>26.0</v>
      </c>
      <c r="B28" s="510" t="str">
        <f t="array" ref="B28">INDEX(Melee!I:I,MODE(IF((Melee!I:I&lt;&gt;"")*ISNA(MATCH(Melee!I:I,$B$2:$B27,0)),MATCH(Melee!I:I,Melee!I:I,0))))</f>
        <v>DyMg</v>
      </c>
      <c r="C28" s="511">
        <f>COUNTIFS(Melee!$I:$I,B28,Melee!$L:$L,"W")/(COUNTIFS(Melee!$I:$I,$B28,Melee!$L:$L,"W")+COUNTIFS(Melee!$I:$I,$B28,Melee!$L:$L,"L"))</f>
        <v>0.6</v>
      </c>
      <c r="D28" s="512">
        <f>sum(COUNTIFS(Melee!$I:$I,$B28,Melee!$L:$L,"W"),COUNTIFS(Melee!$I:$I,$B28,Melee!$L:$L,"L"))</f>
        <v>30</v>
      </c>
      <c r="E28" s="513" t="str">
        <f>concatenate(COUNTIFS(Melee!$I:$I,$B28,Melee!$L:$L,"W")," - ",COUNTIFS(Melee!$I:$I,$B28,Melee!$L:$L,"L"))</f>
        <v>18 - 12</v>
      </c>
      <c r="F28" s="514">
        <f>COUNTIFS(Melee!$I:$I,B28,Melee!$M:$M,"W")/(COUNTIFS(Melee!$I:$I,$B28,Melee!$M:$M,"W")+COUNTIFS(Melee!$I:$I,$B28,Melee!$M:$M,"L"))</f>
        <v>0.6666666667</v>
      </c>
      <c r="G28" s="512">
        <f>sum(COUNTIFS(Melee!$I:$I,$B28,Melee!$M:$M,"W"),COUNTIFS(Melee!$I:$I,$B28,Melee!$M:$M,"L"))</f>
        <v>9</v>
      </c>
      <c r="H28" s="515" t="str">
        <f>concatenate(COUNTIFS(Melee!$I:$I,$B28,Melee!$M:$M,"W")," - ",COUNTIFS(Melee!$I:$I,$B28,Melee!$M:$M,"L"))</f>
        <v>6 - 3</v>
      </c>
    </row>
    <row r="29">
      <c r="A29" s="509">
        <v>27.0</v>
      </c>
      <c r="B29" s="510" t="str">
        <f t="array" ref="B29">INDEX(Melee!I:I,MODE(IF((Melee!I:I&lt;&gt;"")*ISNA(MATCH(Melee!I:I,$B$2:$B28,0)),MATCH(Melee!I:I,Melee!I:I,0))))</f>
        <v>Rose</v>
      </c>
      <c r="C29" s="511">
        <f>COUNTIFS(Melee!$I:$I,B29,Melee!$L:$L,"W")/(COUNTIFS(Melee!$I:$I,$B29,Melee!$L:$L,"W")+COUNTIFS(Melee!$I:$I,$B29,Melee!$L:$L,"L"))</f>
        <v>0.5172413793</v>
      </c>
      <c r="D29" s="512">
        <f>sum(COUNTIFS(Melee!$I:$I,$B29,Melee!$L:$L,"W"),COUNTIFS(Melee!$I:$I,$B29,Melee!$L:$L,"L"))</f>
        <v>29</v>
      </c>
      <c r="E29" s="513" t="str">
        <f>concatenate(COUNTIFS(Melee!$I:$I,$B29,Melee!$L:$L,"W")," - ",COUNTIFS(Melee!$I:$I,$B29,Melee!$L:$L,"L"))</f>
        <v>15 - 14</v>
      </c>
      <c r="F29" s="514">
        <f>COUNTIFS(Melee!$I:$I,B29,Melee!$M:$M,"W")/(COUNTIFS(Melee!$I:$I,$B29,Melee!$M:$M,"W")+COUNTIFS(Melee!$I:$I,$B29,Melee!$M:$M,"L"))</f>
        <v>0.5</v>
      </c>
      <c r="G29" s="512">
        <f>sum(COUNTIFS(Melee!$I:$I,$B29,Melee!$M:$M,"W"),COUNTIFS(Melee!$I:$I,$B29,Melee!$M:$M,"L"))</f>
        <v>12</v>
      </c>
      <c r="H29" s="515" t="str">
        <f>concatenate(COUNTIFS(Melee!$I:$I,$B29,Melee!$M:$M,"W")," - ",COUNTIFS(Melee!$I:$I,$B29,Melee!$M:$M,"L"))</f>
        <v>6 - 6</v>
      </c>
    </row>
    <row r="30">
      <c r="A30" s="509">
        <v>28.0</v>
      </c>
      <c r="B30" s="510" t="str">
        <f t="array" ref="B30">INDEX(Melee!I:I,MODE(IF((Melee!I:I&lt;&gt;"")*ISNA(MATCH(Melee!I:I,$B$2:$B29,0)),MATCH(Melee!I:I,Melee!I:I,0))))</f>
        <v>IDCrisis</v>
      </c>
      <c r="C30" s="511">
        <f>COUNTIFS(Melee!$I:$I,B30,Melee!$L:$L,"W")/(COUNTIFS(Melee!$I:$I,$B30,Melee!$L:$L,"W")+COUNTIFS(Melee!$I:$I,$B30,Melee!$L:$L,"L"))</f>
        <v>0.2068965517</v>
      </c>
      <c r="D30" s="512">
        <f>sum(COUNTIFS(Melee!$I:$I,$B30,Melee!$L:$L,"W"),COUNTIFS(Melee!$I:$I,$B30,Melee!$L:$L,"L"))</f>
        <v>29</v>
      </c>
      <c r="E30" s="513" t="str">
        <f>concatenate(COUNTIFS(Melee!$I:$I,$B30,Melee!$L:$L,"W")," - ",COUNTIFS(Melee!$I:$I,$B30,Melee!$L:$L,"L"))</f>
        <v>6 - 23</v>
      </c>
      <c r="F30" s="514">
        <f>COUNTIFS(Melee!$I:$I,B30,Melee!$M:$M,"W")/(COUNTIFS(Melee!$I:$I,$B30,Melee!$M:$M,"W")+COUNTIFS(Melee!$I:$I,$B30,Melee!$M:$M,"L"))</f>
        <v>0</v>
      </c>
      <c r="G30" s="512">
        <f>sum(COUNTIFS(Melee!$I:$I,$B30,Melee!$M:$M,"W"),COUNTIFS(Melee!$I:$I,$B30,Melee!$M:$M,"L"))</f>
        <v>10</v>
      </c>
      <c r="H30" s="515" t="str">
        <f>concatenate(COUNTIFS(Melee!$I:$I,$B30,Melee!$M:$M,"W")," - ",COUNTIFS(Melee!$I:$I,$B30,Melee!$M:$M,"L"))</f>
        <v>0 - 10</v>
      </c>
    </row>
    <row r="31">
      <c r="A31" s="509">
        <v>29.0</v>
      </c>
      <c r="B31" s="510" t="str">
        <f t="array" ref="B31">INDEX(Melee!I:I,MODE(IF((Melee!I:I&lt;&gt;"")*ISNA(MATCH(Melee!I:I,$B$2:$B30,0)),MATCH(Melee!I:I,Melee!I:I,0))))</f>
        <v>Hunt</v>
      </c>
      <c r="C31" s="511">
        <f>COUNTIFS(Melee!$I:$I,B31,Melee!$L:$L,"W")/(COUNTIFS(Melee!$I:$I,$B31,Melee!$L:$L,"W")+COUNTIFS(Melee!$I:$I,$B31,Melee!$L:$L,"L"))</f>
        <v>0.2857142857</v>
      </c>
      <c r="D31" s="512">
        <f>sum(COUNTIFS(Melee!$I:$I,$B31,Melee!$L:$L,"W"),COUNTIFS(Melee!$I:$I,$B31,Melee!$L:$L,"L"))</f>
        <v>28</v>
      </c>
      <c r="E31" s="513" t="str">
        <f>concatenate(COUNTIFS(Melee!$I:$I,$B31,Melee!$L:$L,"W")," - ",COUNTIFS(Melee!$I:$I,$B31,Melee!$L:$L,"L"))</f>
        <v>8 - 20</v>
      </c>
      <c r="F31" s="514">
        <f>COUNTIFS(Melee!$I:$I,B31,Melee!$M:$M,"W")/(COUNTIFS(Melee!$I:$I,$B31,Melee!$M:$M,"W")+COUNTIFS(Melee!$I:$I,$B31,Melee!$M:$M,"L"))</f>
        <v>0.25</v>
      </c>
      <c r="G31" s="512">
        <f>sum(COUNTIFS(Melee!$I:$I,$B31,Melee!$M:$M,"W"),COUNTIFS(Melee!$I:$I,$B31,Melee!$M:$M,"L"))</f>
        <v>12</v>
      </c>
      <c r="H31" s="515" t="str">
        <f>concatenate(COUNTIFS(Melee!$I:$I,$B31,Melee!$M:$M,"W")," - ",COUNTIFS(Melee!$I:$I,$B31,Melee!$M:$M,"L"))</f>
        <v>3 - 9</v>
      </c>
    </row>
    <row r="32">
      <c r="A32" s="509">
        <v>30.0</v>
      </c>
      <c r="B32" s="510" t="str">
        <f t="array" ref="B32">INDEX(Melee!I:I,MODE(IF((Melee!I:I&lt;&gt;"")*ISNA(MATCH(Melee!I:I,$B$2:$B31,0)),MATCH(Melee!I:I,Melee!I:I,0))))</f>
        <v>Parzival</v>
      </c>
      <c r="C32" s="511">
        <f>COUNTIFS(Melee!$I:$I,B32,Melee!$L:$L,"W")/(COUNTIFS(Melee!$I:$I,$B32,Melee!$L:$L,"W")+COUNTIFS(Melee!$I:$I,$B32,Melee!$L:$L,"L"))</f>
        <v>0.25</v>
      </c>
      <c r="D32" s="512">
        <f>sum(COUNTIFS(Melee!$I:$I,$B32,Melee!$L:$L,"W"),COUNTIFS(Melee!$I:$I,$B32,Melee!$L:$L,"L"))</f>
        <v>28</v>
      </c>
      <c r="E32" s="513" t="str">
        <f>concatenate(COUNTIFS(Melee!$I:$I,$B32,Melee!$L:$L,"W")," - ",COUNTIFS(Melee!$I:$I,$B32,Melee!$L:$L,"L"))</f>
        <v>7 - 21</v>
      </c>
      <c r="F32" s="514">
        <f>COUNTIFS(Melee!$I:$I,B32,Melee!$M:$M,"W")/(COUNTIFS(Melee!$I:$I,$B32,Melee!$M:$M,"W")+COUNTIFS(Melee!$I:$I,$B32,Melee!$M:$M,"L"))</f>
        <v>0.1818181818</v>
      </c>
      <c r="G32" s="512">
        <f>sum(COUNTIFS(Melee!$I:$I,$B32,Melee!$M:$M,"W"),COUNTIFS(Melee!$I:$I,$B32,Melee!$M:$M,"L"))</f>
        <v>11</v>
      </c>
      <c r="H32" s="515" t="str">
        <f>concatenate(COUNTIFS(Melee!$I:$I,$B32,Melee!$M:$M,"W")," - ",COUNTIFS(Melee!$I:$I,$B32,Melee!$M:$M,"L"))</f>
        <v>2 - 9</v>
      </c>
    </row>
    <row r="33">
      <c r="A33" s="509">
        <v>31.0</v>
      </c>
      <c r="B33" s="510" t="str">
        <f t="array" ref="B33">INDEX(Melee!I:I,MODE(IF((Melee!I:I&lt;&gt;"")*ISNA(MATCH(Melee!I:I,$B$2:$B32,0)),MATCH(Melee!I:I,Melee!I:I,0))))</f>
        <v>Nexic</v>
      </c>
      <c r="C33" s="511">
        <f>COUNTIFS(Melee!$I:$I,B33,Melee!$L:$L,"W")/(COUNTIFS(Melee!$I:$I,$B33,Melee!$L:$L,"W")+COUNTIFS(Melee!$I:$I,$B33,Melee!$L:$L,"L"))</f>
        <v>0.1481481481</v>
      </c>
      <c r="D33" s="512">
        <f>sum(COUNTIFS(Melee!$I:$I,$B33,Melee!$L:$L,"W"),COUNTIFS(Melee!$I:$I,$B33,Melee!$L:$L,"L"))</f>
        <v>27</v>
      </c>
      <c r="E33" s="513" t="str">
        <f>concatenate(COUNTIFS(Melee!$I:$I,$B33,Melee!$L:$L,"W")," - ",COUNTIFS(Melee!$I:$I,$B33,Melee!$L:$L,"L"))</f>
        <v>4 - 23</v>
      </c>
      <c r="F33" s="514">
        <f>COUNTIFS(Melee!$I:$I,B33,Melee!$M:$M,"W")/(COUNTIFS(Melee!$I:$I,$B33,Melee!$M:$M,"W")+COUNTIFS(Melee!$I:$I,$B33,Melee!$M:$M,"L"))</f>
        <v>0</v>
      </c>
      <c r="G33" s="512">
        <f>sum(COUNTIFS(Melee!$I:$I,$B33,Melee!$M:$M,"W"),COUNTIFS(Melee!$I:$I,$B33,Melee!$M:$M,"L"))</f>
        <v>11</v>
      </c>
      <c r="H33" s="515" t="str">
        <f>concatenate(COUNTIFS(Melee!$I:$I,$B33,Melee!$M:$M,"W")," - ",COUNTIFS(Melee!$I:$I,$B33,Melee!$M:$M,"L"))</f>
        <v>0 - 11</v>
      </c>
    </row>
    <row r="34">
      <c r="A34" s="509">
        <v>32.0</v>
      </c>
      <c r="B34" s="510" t="str">
        <f t="array" ref="B34">INDEX(Melee!I:I,MODE(IF((Melee!I:I&lt;&gt;"")*ISNA(MATCH(Melee!I:I,$B$2:$B33,0)),MATCH(Melee!I:I,Melee!I:I,0))))</f>
        <v>Jasper</v>
      </c>
      <c r="C34" s="511">
        <f>COUNTIFS(Melee!$I:$I,B34,Melee!$L:$L,"W")/(COUNTIFS(Melee!$I:$I,$B34,Melee!$L:$L,"W")+COUNTIFS(Melee!$I:$I,$B34,Melee!$L:$L,"L"))</f>
        <v>0.6666666667</v>
      </c>
      <c r="D34" s="512">
        <f>sum(COUNTIFS(Melee!$I:$I,$B34,Melee!$L:$L,"W"),COUNTIFS(Melee!$I:$I,$B34,Melee!$L:$L,"L"))</f>
        <v>27</v>
      </c>
      <c r="E34" s="513" t="str">
        <f>concatenate(COUNTIFS(Melee!$I:$I,$B34,Melee!$L:$L,"W")," - ",COUNTIFS(Melee!$I:$I,$B34,Melee!$L:$L,"L"))</f>
        <v>18 - 9</v>
      </c>
      <c r="F34" s="514">
        <f>COUNTIFS(Melee!$I:$I,B34,Melee!$M:$M,"W")/(COUNTIFS(Melee!$I:$I,$B34,Melee!$M:$M,"W")+COUNTIFS(Melee!$I:$I,$B34,Melee!$M:$M,"L"))</f>
        <v>0.7272727273</v>
      </c>
      <c r="G34" s="512">
        <f>sum(COUNTIFS(Melee!$I:$I,$B34,Melee!$M:$M,"W"),COUNTIFS(Melee!$I:$I,$B34,Melee!$M:$M,"L"))</f>
        <v>11</v>
      </c>
      <c r="H34" s="515" t="str">
        <f>concatenate(COUNTIFS(Melee!$I:$I,$B34,Melee!$M:$M,"W")," - ",COUNTIFS(Melee!$I:$I,$B34,Melee!$M:$M,"L"))</f>
        <v>8 - 3</v>
      </c>
    </row>
    <row r="35">
      <c r="A35" s="509">
        <v>33.0</v>
      </c>
      <c r="B35" s="510" t="str">
        <f t="array" ref="B35">INDEX(Melee!I:I,MODE(IF((Melee!I:I&lt;&gt;"")*ISNA(MATCH(Melee!I:I,$B$2:$B34,0)),MATCH(Melee!I:I,Melee!I:I,0))))</f>
        <v>Cobb</v>
      </c>
      <c r="C35" s="511">
        <f>COUNTIFS(Melee!$I:$I,B35,Melee!$L:$L,"W")/(COUNTIFS(Melee!$I:$I,$B35,Melee!$L:$L,"W")+COUNTIFS(Melee!$I:$I,$B35,Melee!$L:$L,"L"))</f>
        <v>0.3703703704</v>
      </c>
      <c r="D35" s="512">
        <f>sum(COUNTIFS(Melee!$I:$I,$B35,Melee!$L:$L,"W"),COUNTIFS(Melee!$I:$I,$B35,Melee!$L:$L,"L"))</f>
        <v>27</v>
      </c>
      <c r="E35" s="513" t="str">
        <f>concatenate(COUNTIFS(Melee!$I:$I,$B35,Melee!$L:$L,"W")," - ",COUNTIFS(Melee!$I:$I,$B35,Melee!$L:$L,"L"))</f>
        <v>10 - 17</v>
      </c>
      <c r="F35" s="514">
        <f>COUNTIFS(Melee!$I:$I,B35,Melee!$M:$M,"W")/(COUNTIFS(Melee!$I:$I,$B35,Melee!$M:$M,"W")+COUNTIFS(Melee!$I:$I,$B35,Melee!$M:$M,"L"))</f>
        <v>0.2222222222</v>
      </c>
      <c r="G35" s="512">
        <f>sum(COUNTIFS(Melee!$I:$I,$B35,Melee!$M:$M,"W"),COUNTIFS(Melee!$I:$I,$B35,Melee!$M:$M,"L"))</f>
        <v>9</v>
      </c>
      <c r="H35" s="515" t="str">
        <f>concatenate(COUNTIFS(Melee!$I:$I,$B35,Melee!$M:$M,"W")," - ",COUNTIFS(Melee!$I:$I,$B35,Melee!$M:$M,"L"))</f>
        <v>2 - 7</v>
      </c>
    </row>
    <row r="36">
      <c r="A36" s="509">
        <v>34.0</v>
      </c>
      <c r="B36" s="510" t="str">
        <f t="array" ref="B36">INDEX(Melee!I:I,MODE(IF((Melee!I:I&lt;&gt;"")*ISNA(MATCH(Melee!I:I,$B$2:$B35,0)),MATCH(Melee!I:I,Melee!I:I,0))))</f>
        <v>Papyrus</v>
      </c>
      <c r="C36" s="511">
        <f>COUNTIFS(Melee!$I:$I,B36,Melee!$L:$L,"W")/(COUNTIFS(Melee!$I:$I,$B36,Melee!$L:$L,"W")+COUNTIFS(Melee!$I:$I,$B36,Melee!$L:$L,"L"))</f>
        <v>0.1923076923</v>
      </c>
      <c r="D36" s="512">
        <f>sum(COUNTIFS(Melee!$I:$I,$B36,Melee!$L:$L,"W"),COUNTIFS(Melee!$I:$I,$B36,Melee!$L:$L,"L"))</f>
        <v>26</v>
      </c>
      <c r="E36" s="513" t="str">
        <f>concatenate(COUNTIFS(Melee!$I:$I,$B36,Melee!$L:$L,"W")," - ",COUNTIFS(Melee!$I:$I,$B36,Melee!$L:$L,"L"))</f>
        <v>5 - 21</v>
      </c>
      <c r="F36" s="514">
        <f>COUNTIFS(Melee!$I:$I,B36,Melee!$M:$M,"W")/(COUNTIFS(Melee!$I:$I,$B36,Melee!$M:$M,"W")+COUNTIFS(Melee!$I:$I,$B36,Melee!$M:$M,"L"))</f>
        <v>0.09090909091</v>
      </c>
      <c r="G36" s="512">
        <f>sum(COUNTIFS(Melee!$I:$I,$B36,Melee!$M:$M,"W"),COUNTIFS(Melee!$I:$I,$B36,Melee!$M:$M,"L"))</f>
        <v>11</v>
      </c>
      <c r="H36" s="515" t="str">
        <f>concatenate(COUNTIFS(Melee!$I:$I,$B36,Melee!$M:$M,"W")," - ",COUNTIFS(Melee!$I:$I,$B36,Melee!$M:$M,"L"))</f>
        <v>1 - 10</v>
      </c>
    </row>
    <row r="37">
      <c r="A37" s="509">
        <v>35.0</v>
      </c>
      <c r="B37" s="510" t="str">
        <f t="array" ref="B37">INDEX(Melee!I:I,MODE(IF((Melee!I:I&lt;&gt;"")*ISNA(MATCH(Melee!I:I,$B$2:$B36,0)),MATCH(Melee!I:I,Melee!I:I,0))))</f>
        <v>Pops</v>
      </c>
      <c r="C37" s="511">
        <f>COUNTIFS(Melee!$I:$I,B37,Melee!$L:$L,"W")/(COUNTIFS(Melee!$I:$I,$B37,Melee!$L:$L,"W")+COUNTIFS(Melee!$I:$I,$B37,Melee!$L:$L,"L"))</f>
        <v>0.28</v>
      </c>
      <c r="D37" s="512">
        <f>sum(COUNTIFS(Melee!$I:$I,$B37,Melee!$L:$L,"W"),COUNTIFS(Melee!$I:$I,$B37,Melee!$L:$L,"L"))</f>
        <v>25</v>
      </c>
      <c r="E37" s="513" t="str">
        <f>concatenate(COUNTIFS(Melee!$I:$I,$B37,Melee!$L:$L,"W")," - ",COUNTIFS(Melee!$I:$I,$B37,Melee!$L:$L,"L"))</f>
        <v>7 - 18</v>
      </c>
      <c r="F37" s="514">
        <f>COUNTIFS(Melee!$I:$I,B37,Melee!$M:$M,"W")/(COUNTIFS(Melee!$I:$I,$B37,Melee!$M:$M,"W")+COUNTIFS(Melee!$I:$I,$B37,Melee!$M:$M,"L"))</f>
        <v>0</v>
      </c>
      <c r="G37" s="512">
        <f>sum(COUNTIFS(Melee!$I:$I,$B37,Melee!$M:$M,"W"),COUNTIFS(Melee!$I:$I,$B37,Melee!$M:$M,"L"))</f>
        <v>8</v>
      </c>
      <c r="H37" s="515" t="str">
        <f>concatenate(COUNTIFS(Melee!$I:$I,$B37,Melee!$M:$M,"W")," - ",COUNTIFS(Melee!$I:$I,$B37,Melee!$M:$M,"L"))</f>
        <v>0 - 8</v>
      </c>
    </row>
    <row r="38">
      <c r="A38" s="509">
        <v>36.0</v>
      </c>
      <c r="B38" s="510" t="str">
        <f t="array" ref="B38">INDEX(Melee!I:I,MODE(IF((Melee!I:I&lt;&gt;"")*ISNA(MATCH(Melee!I:I,$B$2:$B37,0)),MATCH(Melee!I:I,Melee!I:I,0))))</f>
        <v>Maclo4</v>
      </c>
      <c r="C38" s="511">
        <f>COUNTIFS(Melee!$I:$I,B38,Melee!$L:$L,"W")/(COUNTIFS(Melee!$I:$I,$B38,Melee!$L:$L,"W")+COUNTIFS(Melee!$I:$I,$B38,Melee!$L:$L,"L"))</f>
        <v>0.44</v>
      </c>
      <c r="D38" s="512">
        <f>sum(COUNTIFS(Melee!$I:$I,$B38,Melee!$L:$L,"W"),COUNTIFS(Melee!$I:$I,$B38,Melee!$L:$L,"L"))</f>
        <v>25</v>
      </c>
      <c r="E38" s="513" t="str">
        <f>concatenate(COUNTIFS(Melee!$I:$I,$B38,Melee!$L:$L,"W")," - ",COUNTIFS(Melee!$I:$I,$B38,Melee!$L:$L,"L"))</f>
        <v>11 - 14</v>
      </c>
      <c r="F38" s="514">
        <f>COUNTIFS(Melee!$I:$I,B38,Melee!$M:$M,"W")/(COUNTIFS(Melee!$I:$I,$B38,Melee!$M:$M,"W")+COUNTIFS(Melee!$I:$I,$B38,Melee!$M:$M,"L"))</f>
        <v>0.2857142857</v>
      </c>
      <c r="G38" s="512">
        <f>sum(COUNTIFS(Melee!$I:$I,$B38,Melee!$M:$M,"W"),COUNTIFS(Melee!$I:$I,$B38,Melee!$M:$M,"L"))</f>
        <v>7</v>
      </c>
      <c r="H38" s="515" t="str">
        <f>concatenate(COUNTIFS(Melee!$I:$I,$B38,Melee!$M:$M,"W")," - ",COUNTIFS(Melee!$I:$I,$B38,Melee!$M:$M,"L"))</f>
        <v>2 - 5</v>
      </c>
    </row>
    <row r="39">
      <c r="A39" s="509">
        <v>37.0</v>
      </c>
      <c r="B39" s="510" t="str">
        <f t="array" ref="B39">INDEX(Melee!I:I,MODE(IF((Melee!I:I&lt;&gt;"")*ISNA(MATCH(Melee!I:I,$B$2:$B38,0)),MATCH(Melee!I:I,Melee!I:I,0))))</f>
        <v>Lokemer</v>
      </c>
      <c r="C39" s="511">
        <f>COUNTIFS(Melee!$I:$I,B39,Melee!$L:$L,"W")/(COUNTIFS(Melee!$I:$I,$B39,Melee!$L:$L,"W")+COUNTIFS(Melee!$I:$I,$B39,Melee!$L:$L,"L"))</f>
        <v>0.72</v>
      </c>
      <c r="D39" s="512">
        <f>sum(COUNTIFS(Melee!$I:$I,$B39,Melee!$L:$L,"W"),COUNTIFS(Melee!$I:$I,$B39,Melee!$L:$L,"L"))</f>
        <v>25</v>
      </c>
      <c r="E39" s="513" t="str">
        <f>concatenate(COUNTIFS(Melee!$I:$I,$B39,Melee!$L:$L,"W")," - ",COUNTIFS(Melee!$I:$I,$B39,Melee!$L:$L,"L"))</f>
        <v>18 - 7</v>
      </c>
      <c r="F39" s="514">
        <f>COUNTIFS(Melee!$I:$I,B39,Melee!$M:$M,"W")/(COUNTIFS(Melee!$I:$I,$B39,Melee!$M:$M,"W")+COUNTIFS(Melee!$I:$I,$B39,Melee!$M:$M,"L"))</f>
        <v>0.8888888889</v>
      </c>
      <c r="G39" s="512">
        <f>sum(COUNTIFS(Melee!$I:$I,$B39,Melee!$M:$M,"W"),COUNTIFS(Melee!$I:$I,$B39,Melee!$M:$M,"L"))</f>
        <v>9</v>
      </c>
      <c r="H39" s="515" t="str">
        <f>concatenate(COUNTIFS(Melee!$I:$I,$B39,Melee!$M:$M,"W")," - ",COUNTIFS(Melee!$I:$I,$B39,Melee!$M:$M,"L"))</f>
        <v>8 - 1</v>
      </c>
    </row>
    <row r="40">
      <c r="A40" s="509">
        <v>38.0</v>
      </c>
      <c r="B40" s="510" t="str">
        <f t="array" ref="B40">INDEX(Melee!I:I,MODE(IF((Melee!I:I&lt;&gt;"")*ISNA(MATCH(Melee!I:I,$B$2:$B39,0)),MATCH(Melee!I:I,Melee!I:I,0))))</f>
        <v>Karils</v>
      </c>
      <c r="C40" s="511">
        <f>COUNTIFS(Melee!$I:$I,B40,Melee!$L:$L,"W")/(COUNTIFS(Melee!$I:$I,$B40,Melee!$L:$L,"W")+COUNTIFS(Melee!$I:$I,$B40,Melee!$L:$L,"L"))</f>
        <v>0.5217391304</v>
      </c>
      <c r="D40" s="512">
        <f>sum(COUNTIFS(Melee!$I:$I,$B40,Melee!$L:$L,"W"),COUNTIFS(Melee!$I:$I,$B40,Melee!$L:$L,"L"))</f>
        <v>23</v>
      </c>
      <c r="E40" s="513" t="str">
        <f>concatenate(COUNTIFS(Melee!$I:$I,$B40,Melee!$L:$L,"W")," - ",COUNTIFS(Melee!$I:$I,$B40,Melee!$L:$L,"L"))</f>
        <v>12 - 11</v>
      </c>
      <c r="F40" s="514">
        <f>COUNTIFS(Melee!$I:$I,B40,Melee!$M:$M,"W")/(COUNTIFS(Melee!$I:$I,$B40,Melee!$M:$M,"W")+COUNTIFS(Melee!$I:$I,$B40,Melee!$M:$M,"L"))</f>
        <v>0.5</v>
      </c>
      <c r="G40" s="512">
        <f>sum(COUNTIFS(Melee!$I:$I,$B40,Melee!$M:$M,"W"),COUNTIFS(Melee!$I:$I,$B40,Melee!$M:$M,"L"))</f>
        <v>8</v>
      </c>
      <c r="H40" s="515" t="str">
        <f>concatenate(COUNTIFS(Melee!$I:$I,$B40,Melee!$M:$M,"W")," - ",COUNTIFS(Melee!$I:$I,$B40,Melee!$M:$M,"L"))</f>
        <v>4 - 4</v>
      </c>
    </row>
    <row r="41">
      <c r="A41" s="509">
        <v>39.0</v>
      </c>
      <c r="B41" s="510" t="str">
        <f t="array" ref="B41">INDEX(Melee!I:I,MODE(IF((Melee!I:I&lt;&gt;"")*ISNA(MATCH(Melee!I:I,$B$2:$B40,0)),MATCH(Melee!I:I,Melee!I:I,0))))</f>
        <v>Noro</v>
      </c>
      <c r="C41" s="511">
        <f>COUNTIFS(Melee!$I:$I,B41,Melee!$L:$L,"W")/(COUNTIFS(Melee!$I:$I,$B41,Melee!$L:$L,"W")+COUNTIFS(Melee!$I:$I,$B41,Melee!$L:$L,"L"))</f>
        <v>0.7619047619</v>
      </c>
      <c r="D41" s="512">
        <f>sum(COUNTIFS(Melee!$I:$I,$B41,Melee!$L:$L,"W"),COUNTIFS(Melee!$I:$I,$B41,Melee!$L:$L,"L"))</f>
        <v>21</v>
      </c>
      <c r="E41" s="513" t="str">
        <f>concatenate(COUNTIFS(Melee!$I:$I,$B41,Melee!$L:$L,"W")," - ",COUNTIFS(Melee!$I:$I,$B41,Melee!$L:$L,"L"))</f>
        <v>16 - 5</v>
      </c>
      <c r="F41" s="514">
        <f>COUNTIFS(Melee!$I:$I,B41,Melee!$M:$M,"W")/(COUNTIFS(Melee!$I:$I,$B41,Melee!$M:$M,"W")+COUNTIFS(Melee!$I:$I,$B41,Melee!$M:$M,"L"))</f>
        <v>0.7777777778</v>
      </c>
      <c r="G41" s="512">
        <f>sum(COUNTIFS(Melee!$I:$I,$B41,Melee!$M:$M,"W"),COUNTIFS(Melee!$I:$I,$B41,Melee!$M:$M,"L"))</f>
        <v>9</v>
      </c>
      <c r="H41" s="515" t="str">
        <f>concatenate(COUNTIFS(Melee!$I:$I,$B41,Melee!$M:$M,"W")," - ",COUNTIFS(Melee!$I:$I,$B41,Melee!$M:$M,"L"))</f>
        <v>7 - 2</v>
      </c>
    </row>
    <row r="42">
      <c r="A42" s="509">
        <v>40.0</v>
      </c>
      <c r="B42" s="510" t="str">
        <f t="array" ref="B42">INDEX(Melee!I:I,MODE(IF((Melee!I:I&lt;&gt;"")*ISNA(MATCH(Melee!I:I,$B$2:$B41,0)),MATCH(Melee!I:I,Melee!I:I,0))))</f>
        <v>Pouch</v>
      </c>
      <c r="C42" s="511">
        <f>COUNTIFS(Melee!$I:$I,B42,Melee!$L:$L,"W")/(COUNTIFS(Melee!$I:$I,$B42,Melee!$L:$L,"W")+COUNTIFS(Melee!$I:$I,$B42,Melee!$L:$L,"L"))</f>
        <v>0.5217391304</v>
      </c>
      <c r="D42" s="512">
        <f>sum(COUNTIFS(Melee!$I:$I,$B42,Melee!$L:$L,"W"),COUNTIFS(Melee!$I:$I,$B42,Melee!$L:$L,"L"))</f>
        <v>23</v>
      </c>
      <c r="E42" s="513" t="str">
        <f>concatenate(COUNTIFS(Melee!$I:$I,$B42,Melee!$L:$L,"W")," - ",COUNTIFS(Melee!$I:$I,$B42,Melee!$L:$L,"L"))</f>
        <v>12 - 11</v>
      </c>
      <c r="F42" s="514">
        <f>COUNTIFS(Melee!$I:$I,B42,Melee!$M:$M,"W")/(COUNTIFS(Melee!$I:$I,$B42,Melee!$M:$M,"W")+COUNTIFS(Melee!$I:$I,$B42,Melee!$M:$M,"L"))</f>
        <v>0.5</v>
      </c>
      <c r="G42" s="512">
        <f>sum(COUNTIFS(Melee!$I:$I,$B42,Melee!$M:$M,"W"),COUNTIFS(Melee!$I:$I,$B42,Melee!$M:$M,"L"))</f>
        <v>8</v>
      </c>
      <c r="H42" s="515" t="str">
        <f>concatenate(COUNTIFS(Melee!$I:$I,$B42,Melee!$M:$M,"W")," - ",COUNTIFS(Melee!$I:$I,$B42,Melee!$M:$M,"L"))</f>
        <v>4 - 4</v>
      </c>
    </row>
    <row r="43">
      <c r="A43" s="509">
        <v>41.0</v>
      </c>
      <c r="B43" s="510" t="str">
        <f t="array" ref="B43">INDEX(Melee!I:I,MODE(IF((Melee!I:I&lt;&gt;"")*ISNA(MATCH(Melee!I:I,$B$2:$B42,0)),MATCH(Melee!I:I,Melee!I:I,0))))</f>
        <v>Rayboyp</v>
      </c>
      <c r="C43" s="511">
        <f>COUNTIFS(Melee!$I:$I,B43,Melee!$L:$L,"W")/(COUNTIFS(Melee!$I:$I,$B43,Melee!$L:$L,"W")+COUNTIFS(Melee!$I:$I,$B43,Melee!$L:$L,"L"))</f>
        <v>0.3636363636</v>
      </c>
      <c r="D43" s="512">
        <f>sum(COUNTIFS(Melee!$I:$I,$B43,Melee!$L:$L,"W"),COUNTIFS(Melee!$I:$I,$B43,Melee!$L:$L,"L"))</f>
        <v>22</v>
      </c>
      <c r="E43" s="513" t="str">
        <f>concatenate(COUNTIFS(Melee!$I:$I,$B43,Melee!$L:$L,"W")," - ",COUNTIFS(Melee!$I:$I,$B43,Melee!$L:$L,"L"))</f>
        <v>8 - 14</v>
      </c>
      <c r="F43" s="514">
        <f>COUNTIFS(Melee!$I:$I,B43,Melee!$M:$M,"W")/(COUNTIFS(Melee!$I:$I,$B43,Melee!$M:$M,"W")+COUNTIFS(Melee!$I:$I,$B43,Melee!$M:$M,"L"))</f>
        <v>0.1666666667</v>
      </c>
      <c r="G43" s="512">
        <f>sum(COUNTIFS(Melee!$I:$I,$B43,Melee!$M:$M,"W"),COUNTIFS(Melee!$I:$I,$B43,Melee!$M:$M,"L"))</f>
        <v>6</v>
      </c>
      <c r="H43" s="515" t="str">
        <f>concatenate(COUNTIFS(Melee!$I:$I,$B43,Melee!$M:$M,"W")," - ",COUNTIFS(Melee!$I:$I,$B43,Melee!$M:$M,"L"))</f>
        <v>1 - 5</v>
      </c>
    </row>
    <row r="44">
      <c r="A44" s="509">
        <v>42.0</v>
      </c>
      <c r="B44" s="510" t="str">
        <f t="array" ref="B44">INDEX(Melee!I:I,MODE(IF((Melee!I:I&lt;&gt;"")*ISNA(MATCH(Melee!I:I,$B$2:$B43,0)),MATCH(Melee!I:I,Melee!I:I,0))))</f>
        <v>M.A.C.</v>
      </c>
      <c r="C44" s="511">
        <f>COUNTIFS(Melee!$I:$I,B44,Melee!$L:$L,"W")/(COUNTIFS(Melee!$I:$I,$B44,Melee!$L:$L,"W")+COUNTIFS(Melee!$I:$I,$B44,Melee!$L:$L,"L"))</f>
        <v>0.5714285714</v>
      </c>
      <c r="D44" s="512">
        <f>sum(COUNTIFS(Melee!$I:$I,$B44,Melee!$L:$L,"W"),COUNTIFS(Melee!$I:$I,$B44,Melee!$L:$L,"L"))</f>
        <v>21</v>
      </c>
      <c r="E44" s="513" t="str">
        <f>concatenate(COUNTIFS(Melee!$I:$I,$B44,Melee!$L:$L,"W")," - ",COUNTIFS(Melee!$I:$I,$B44,Melee!$L:$L,"L"))</f>
        <v>12 - 9</v>
      </c>
      <c r="F44" s="514">
        <f>COUNTIFS(Melee!$I:$I,B44,Melee!$M:$M,"W")/(COUNTIFS(Melee!$I:$I,$B44,Melee!$M:$M,"W")+COUNTIFS(Melee!$I:$I,$B44,Melee!$M:$M,"L"))</f>
        <v>0.7142857143</v>
      </c>
      <c r="G44" s="512">
        <f>sum(COUNTIFS(Melee!$I:$I,$B44,Melee!$M:$M,"W"),COUNTIFS(Melee!$I:$I,$B44,Melee!$M:$M,"L"))</f>
        <v>7</v>
      </c>
      <c r="H44" s="515" t="str">
        <f>concatenate(COUNTIFS(Melee!$I:$I,$B44,Melee!$M:$M,"W")," - ",COUNTIFS(Melee!$I:$I,$B44,Melee!$M:$M,"L"))</f>
        <v>5 - 2</v>
      </c>
    </row>
    <row r="45">
      <c r="A45" s="509">
        <v>43.0</v>
      </c>
      <c r="B45" s="510" t="str">
        <f t="array" ref="B45">INDEX(Melee!I:I,MODE(IF((Melee!I:I&lt;&gt;"")*ISNA(MATCH(Melee!I:I,$B$2:$B44,0)),MATCH(Melee!I:I,Melee!I:I,0))))</f>
        <v>David</v>
      </c>
      <c r="C45" s="511">
        <f>COUNTIFS(Melee!$I:$I,B45,Melee!$L:$L,"W")/(COUNTIFS(Melee!$I:$I,$B45,Melee!$L:$L,"W")+COUNTIFS(Melee!$I:$I,$B45,Melee!$L:$L,"L"))</f>
        <v>0.4285714286</v>
      </c>
      <c r="D45" s="512">
        <f>sum(COUNTIFS(Melee!$I:$I,$B45,Melee!$L:$L,"W"),COUNTIFS(Melee!$I:$I,$B45,Melee!$L:$L,"L"))</f>
        <v>21</v>
      </c>
      <c r="E45" s="513" t="str">
        <f>concatenate(COUNTIFS(Melee!$I:$I,$B45,Melee!$L:$L,"W")," - ",COUNTIFS(Melee!$I:$I,$B45,Melee!$L:$L,"L"))</f>
        <v>9 - 12</v>
      </c>
      <c r="F45" s="514">
        <f>COUNTIFS(Melee!$I:$I,B45,Melee!$M:$M,"W")/(COUNTIFS(Melee!$I:$I,$B45,Melee!$M:$M,"W")+COUNTIFS(Melee!$I:$I,$B45,Melee!$M:$M,"L"))</f>
        <v>0.2857142857</v>
      </c>
      <c r="G45" s="512">
        <f>sum(COUNTIFS(Melee!$I:$I,$B45,Melee!$M:$M,"W"),COUNTIFS(Melee!$I:$I,$B45,Melee!$M:$M,"L"))</f>
        <v>7</v>
      </c>
      <c r="H45" s="515" t="str">
        <f>concatenate(COUNTIFS(Melee!$I:$I,$B45,Melee!$M:$M,"W")," - ",COUNTIFS(Melee!$I:$I,$B45,Melee!$M:$M,"L"))</f>
        <v>2 - 5</v>
      </c>
    </row>
    <row r="46">
      <c r="A46" s="509">
        <v>44.0</v>
      </c>
      <c r="B46" s="510" t="str">
        <f t="array" ref="B46">INDEX(Melee!I:I,MODE(IF((Melee!I:I&lt;&gt;"")*ISNA(MATCH(Melee!I:I,$B$2:$B45,0)),MATCH(Melee!I:I,Melee!I:I,0))))</f>
        <v>Math</v>
      </c>
      <c r="C46" s="511">
        <f>COUNTIFS(Melee!$I:$I,B46,Melee!$L:$L,"W")/(COUNTIFS(Melee!$I:$I,$B46,Melee!$L:$L,"W")+COUNTIFS(Melee!$I:$I,$B46,Melee!$L:$L,"L"))</f>
        <v>0.25</v>
      </c>
      <c r="D46" s="512">
        <f>sum(COUNTIFS(Melee!$I:$I,$B46,Melee!$L:$L,"W"),COUNTIFS(Melee!$I:$I,$B46,Melee!$L:$L,"L"))</f>
        <v>20</v>
      </c>
      <c r="E46" s="513" t="str">
        <f>concatenate(COUNTIFS(Melee!$I:$I,$B46,Melee!$L:$L,"W")," - ",COUNTIFS(Melee!$I:$I,$B46,Melee!$L:$L,"L"))</f>
        <v>5 - 15</v>
      </c>
      <c r="F46" s="514">
        <f>COUNTIFS(Melee!$I:$I,B46,Melee!$M:$M,"W")/(COUNTIFS(Melee!$I:$I,$B46,Melee!$M:$M,"W")+COUNTIFS(Melee!$I:$I,$B46,Melee!$M:$M,"L"))</f>
        <v>0.125</v>
      </c>
      <c r="G46" s="512">
        <f>sum(COUNTIFS(Melee!$I:$I,$B46,Melee!$M:$M,"W"),COUNTIFS(Melee!$I:$I,$B46,Melee!$M:$M,"L"))</f>
        <v>8</v>
      </c>
      <c r="H46" s="515" t="str">
        <f>concatenate(COUNTIFS(Melee!$I:$I,$B46,Melee!$M:$M,"W")," - ",COUNTIFS(Melee!$I:$I,$B46,Melee!$M:$M,"L"))</f>
        <v>1 - 7</v>
      </c>
    </row>
    <row r="47">
      <c r="A47" s="509">
        <v>45.0</v>
      </c>
      <c r="B47" s="510" t="str">
        <f t="array" ref="B47">INDEX(Melee!I:I,MODE(IF((Melee!I:I&lt;&gt;"")*ISNA(MATCH(Melee!I:I,$B$2:$B46,0)),MATCH(Melee!I:I,Melee!I:I,0))))</f>
        <v>Colony</v>
      </c>
      <c r="C47" s="511">
        <f>COUNTIFS(Melee!$I:$I,B47,Melee!$L:$L,"W")/(COUNTIFS(Melee!$I:$I,$B47,Melee!$L:$L,"W")+COUNTIFS(Melee!$I:$I,$B47,Melee!$L:$L,"L"))</f>
        <v>0.65</v>
      </c>
      <c r="D47" s="512">
        <f>sum(COUNTIFS(Melee!$I:$I,$B47,Melee!$L:$L,"W"),COUNTIFS(Melee!$I:$I,$B47,Melee!$L:$L,"L"))</f>
        <v>20</v>
      </c>
      <c r="E47" s="513" t="str">
        <f>concatenate(COUNTIFS(Melee!$I:$I,$B47,Melee!$L:$L,"W")," - ",COUNTIFS(Melee!$I:$I,$B47,Melee!$L:$L,"L"))</f>
        <v>13 - 7</v>
      </c>
      <c r="F47" s="514">
        <f>COUNTIFS(Melee!$I:$I,B47,Melee!$M:$M,"W")/(COUNTIFS(Melee!$I:$I,$B47,Melee!$M:$M,"W")+COUNTIFS(Melee!$I:$I,$B47,Melee!$M:$M,"L"))</f>
        <v>0.6666666667</v>
      </c>
      <c r="G47" s="512">
        <f>sum(COUNTIFS(Melee!$I:$I,$B47,Melee!$M:$M,"W"),COUNTIFS(Melee!$I:$I,$B47,Melee!$M:$M,"L"))</f>
        <v>9</v>
      </c>
      <c r="H47" s="515" t="str">
        <f>concatenate(COUNTIFS(Melee!$I:$I,$B47,Melee!$M:$M,"W")," - ",COUNTIFS(Melee!$I:$I,$B47,Melee!$M:$M,"L"))</f>
        <v>6 - 3</v>
      </c>
    </row>
    <row r="48">
      <c r="A48" s="509">
        <v>46.0</v>
      </c>
      <c r="B48" s="510" t="str">
        <f t="array" ref="B48">INDEX(Melee!I:I,MODE(IF((Melee!I:I&lt;&gt;"")*ISNA(MATCH(Melee!I:I,$B$2:$B47,0)),MATCH(Melee!I:I,Melee!I:I,0))))</f>
        <v>Astro</v>
      </c>
      <c r="C48" s="511">
        <f>COUNTIFS(Melee!$I:$I,B48,Melee!$L:$L,"W")/(COUNTIFS(Melee!$I:$I,$B48,Melee!$L:$L,"W")+COUNTIFS(Melee!$I:$I,$B48,Melee!$L:$L,"L"))</f>
        <v>0.75</v>
      </c>
      <c r="D48" s="512">
        <f>sum(COUNTIFS(Melee!$I:$I,$B48,Melee!$L:$L,"W"),COUNTIFS(Melee!$I:$I,$B48,Melee!$L:$L,"L"))</f>
        <v>20</v>
      </c>
      <c r="E48" s="513" t="str">
        <f>concatenate(COUNTIFS(Melee!$I:$I,$B48,Melee!$L:$L,"W")," - ",COUNTIFS(Melee!$I:$I,$B48,Melee!$L:$L,"L"))</f>
        <v>15 - 5</v>
      </c>
      <c r="F48" s="514">
        <f>COUNTIFS(Melee!$I:$I,B48,Melee!$M:$M,"W")/(COUNTIFS(Melee!$I:$I,$B48,Melee!$M:$M,"W")+COUNTIFS(Melee!$I:$I,$B48,Melee!$M:$M,"L"))</f>
        <v>1</v>
      </c>
      <c r="G48" s="512">
        <f>sum(COUNTIFS(Melee!$I:$I,$B48,Melee!$M:$M,"W"),COUNTIFS(Melee!$I:$I,$B48,Melee!$M:$M,"L"))</f>
        <v>6</v>
      </c>
      <c r="H48" s="515" t="str">
        <f>concatenate(COUNTIFS(Melee!$I:$I,$B48,Melee!$M:$M,"W")," - ",COUNTIFS(Melee!$I:$I,$B48,Melee!$M:$M,"L"))</f>
        <v>6 - 0</v>
      </c>
    </row>
    <row r="49">
      <c r="A49" s="509">
        <v>47.0</v>
      </c>
      <c r="B49" s="510" t="str">
        <f t="array" ref="B49">INDEX(Melee!I:I,MODE(IF((Melee!I:I&lt;&gt;"")*ISNA(MATCH(Melee!I:I,$B$2:$B48,0)),MATCH(Melee!I:I,Melee!I:I,0))))</f>
        <v>Ceephax</v>
      </c>
      <c r="C49" s="511">
        <f>COUNTIFS(Melee!$I:$I,B49,Melee!$L:$L,"W")/(COUNTIFS(Melee!$I:$I,$B49,Melee!$L:$L,"W")+COUNTIFS(Melee!$I:$I,$B49,Melee!$L:$L,"L"))</f>
        <v>0.2631578947</v>
      </c>
      <c r="D49" s="512">
        <f>sum(COUNTIFS(Melee!$I:$I,$B49,Melee!$L:$L,"W"),COUNTIFS(Melee!$I:$I,$B49,Melee!$L:$L,"L"))</f>
        <v>19</v>
      </c>
      <c r="E49" s="513" t="str">
        <f>concatenate(COUNTIFS(Melee!$I:$I,$B49,Melee!$L:$L,"W")," - ",COUNTIFS(Melee!$I:$I,$B49,Melee!$L:$L,"L"))</f>
        <v>5 - 14</v>
      </c>
      <c r="F49" s="514">
        <f>COUNTIFS(Melee!$I:$I,B49,Melee!$M:$M,"W")/(COUNTIFS(Melee!$I:$I,$B49,Melee!$M:$M,"W")+COUNTIFS(Melee!$I:$I,$B49,Melee!$M:$M,"L"))</f>
        <v>0.25</v>
      </c>
      <c r="G49" s="512">
        <f>sum(COUNTIFS(Melee!$I:$I,$B49,Melee!$M:$M,"W"),COUNTIFS(Melee!$I:$I,$B49,Melee!$M:$M,"L"))</f>
        <v>8</v>
      </c>
      <c r="H49" s="515" t="str">
        <f>concatenate(COUNTIFS(Melee!$I:$I,$B49,Melee!$M:$M,"W")," - ",COUNTIFS(Melee!$I:$I,$B49,Melee!$M:$M,"L"))</f>
        <v>2 - 6</v>
      </c>
    </row>
    <row r="50">
      <c r="A50" s="509">
        <v>48.0</v>
      </c>
      <c r="B50" s="510" t="str">
        <f t="array" ref="B50">INDEX(Melee!I:I,MODE(IF((Melee!I:I&lt;&gt;"")*ISNA(MATCH(Melee!I:I,$B$2:$B49,0)),MATCH(Melee!I:I,Melee!I:I,0))))</f>
        <v>Pepsi</v>
      </c>
      <c r="C50" s="511">
        <f>COUNTIFS(Melee!$I:$I,B50,Melee!$L:$L,"W")/(COUNTIFS(Melee!$I:$I,$B50,Melee!$L:$L,"W")+COUNTIFS(Melee!$I:$I,$B50,Melee!$L:$L,"L"))</f>
        <v>0.8421052632</v>
      </c>
      <c r="D50" s="512">
        <f>sum(COUNTIFS(Melee!$I:$I,$B50,Melee!$L:$L,"W"),COUNTIFS(Melee!$I:$I,$B50,Melee!$L:$L,"L"))</f>
        <v>19</v>
      </c>
      <c r="E50" s="513" t="str">
        <f>concatenate(COUNTIFS(Melee!$I:$I,$B50,Melee!$L:$L,"W")," - ",COUNTIFS(Melee!$I:$I,$B50,Melee!$L:$L,"L"))</f>
        <v>16 - 3</v>
      </c>
      <c r="F50" s="514">
        <f>COUNTIFS(Melee!$I:$I,B50,Melee!$M:$M,"W")/(COUNTIFS(Melee!$I:$I,$B50,Melee!$M:$M,"W")+COUNTIFS(Melee!$I:$I,$B50,Melee!$M:$M,"L"))</f>
        <v>0.875</v>
      </c>
      <c r="G50" s="512">
        <f>sum(COUNTIFS(Melee!$I:$I,$B50,Melee!$M:$M,"W"),COUNTIFS(Melee!$I:$I,$B50,Melee!$M:$M,"L"))</f>
        <v>8</v>
      </c>
      <c r="H50" s="515" t="str">
        <f>concatenate(COUNTIFS(Melee!$I:$I,$B50,Melee!$M:$M,"W")," - ",COUNTIFS(Melee!$I:$I,$B50,Melee!$M:$M,"L"))</f>
        <v>7 - 1</v>
      </c>
    </row>
    <row r="51">
      <c r="A51" s="509">
        <v>49.0</v>
      </c>
      <c r="B51" s="510" t="str">
        <f t="array" ref="B51">INDEX(Melee!I:I,MODE(IF((Melee!I:I&lt;&gt;"")*ISNA(MATCH(Melee!I:I,$B$2:$B50,0)),MATCH(Melee!I:I,Melee!I:I,0))))</f>
        <v>Ginger</v>
      </c>
      <c r="C51" s="511">
        <f>COUNTIFS(Melee!$I:$I,B51,Melee!$L:$L,"W")/(COUNTIFS(Melee!$I:$I,$B51,Melee!$L:$L,"W")+COUNTIFS(Melee!$I:$I,$B51,Melee!$L:$L,"L"))</f>
        <v>0</v>
      </c>
      <c r="D51" s="512">
        <f>sum(COUNTIFS(Melee!$I:$I,$B51,Melee!$L:$L,"W"),COUNTIFS(Melee!$I:$I,$B51,Melee!$L:$L,"L"))</f>
        <v>19</v>
      </c>
      <c r="E51" s="513" t="str">
        <f>concatenate(COUNTIFS(Melee!$I:$I,$B51,Melee!$L:$L,"W")," - ",COUNTIFS(Melee!$I:$I,$B51,Melee!$L:$L,"L"))</f>
        <v>0 - 19</v>
      </c>
      <c r="F51" s="514">
        <f>COUNTIFS(Melee!$I:$I,B51,Melee!$M:$M,"W")/(COUNTIFS(Melee!$I:$I,$B51,Melee!$M:$M,"W")+COUNTIFS(Melee!$I:$I,$B51,Melee!$M:$M,"L"))</f>
        <v>0</v>
      </c>
      <c r="G51" s="512">
        <f>sum(COUNTIFS(Melee!$I:$I,$B51,Melee!$M:$M,"W"),COUNTIFS(Melee!$I:$I,$B51,Melee!$M:$M,"L"))</f>
        <v>8</v>
      </c>
      <c r="H51" s="515" t="str">
        <f>concatenate(COUNTIFS(Melee!$I:$I,$B51,Melee!$M:$M,"W")," - ",COUNTIFS(Melee!$I:$I,$B51,Melee!$M:$M,"L"))</f>
        <v>0 - 8</v>
      </c>
    </row>
    <row r="52">
      <c r="A52" s="509">
        <v>50.0</v>
      </c>
      <c r="B52" s="510" t="str">
        <f t="array" ref="B52">INDEX(Melee!I:I,MODE(IF((Melee!I:I&lt;&gt;"")*ISNA(MATCH(Melee!I:I,$B$2:$B51,0)),MATCH(Melee!I:I,Melee!I:I,0))))</f>
        <v>Jase</v>
      </c>
      <c r="C52" s="511">
        <f>COUNTIFS(Melee!$I:$I,B52,Melee!$L:$L,"W")/(COUNTIFS(Melee!$I:$I,$B52,Melee!$L:$L,"W")+COUNTIFS(Melee!$I:$I,$B52,Melee!$L:$L,"L"))</f>
        <v>0.6315789474</v>
      </c>
      <c r="D52" s="512">
        <f>sum(COUNTIFS(Melee!$I:$I,$B52,Melee!$L:$L,"W"),COUNTIFS(Melee!$I:$I,$B52,Melee!$L:$L,"L"))</f>
        <v>19</v>
      </c>
      <c r="E52" s="513" t="str">
        <f>concatenate(COUNTIFS(Melee!$I:$I,$B52,Melee!$L:$L,"W")," - ",COUNTIFS(Melee!$I:$I,$B52,Melee!$L:$L,"L"))</f>
        <v>12 - 7</v>
      </c>
      <c r="F52" s="514">
        <f>COUNTIFS(Melee!$I:$I,B52,Melee!$M:$M,"W")/(COUNTIFS(Melee!$I:$I,$B52,Melee!$M:$M,"W")+COUNTIFS(Melee!$I:$I,$B52,Melee!$M:$M,"L"))</f>
        <v>0.6666666667</v>
      </c>
      <c r="G52" s="512">
        <f>sum(COUNTIFS(Melee!$I:$I,$B52,Melee!$M:$M,"W"),COUNTIFS(Melee!$I:$I,$B52,Melee!$M:$M,"L"))</f>
        <v>6</v>
      </c>
      <c r="H52" s="515" t="str">
        <f>concatenate(COUNTIFS(Melee!$I:$I,$B52,Melee!$M:$M,"W")," - ",COUNTIFS(Melee!$I:$I,$B52,Melee!$M:$M,"L"))</f>
        <v>4 - 2</v>
      </c>
    </row>
    <row r="53">
      <c r="A53" s="509">
        <v>51.0</v>
      </c>
      <c r="B53" s="510" t="str">
        <f t="array" ref="B53">INDEX(Melee!I:I,MODE(IF((Melee!I:I&lt;&gt;"")*ISNA(MATCH(Melee!I:I,$B$2:$B52,0)),MATCH(Melee!I:I,Melee!I:I,0))))</f>
        <v>Dr. Booty</v>
      </c>
      <c r="C53" s="511">
        <f>COUNTIFS(Melee!$I:$I,B53,Melee!$L:$L,"W")/(COUNTIFS(Melee!$I:$I,$B53,Melee!$L:$L,"W")+COUNTIFS(Melee!$I:$I,$B53,Melee!$L:$L,"L"))</f>
        <v>0.7368421053</v>
      </c>
      <c r="D53" s="512">
        <f>sum(COUNTIFS(Melee!$I:$I,$B53,Melee!$L:$L,"W"),COUNTIFS(Melee!$I:$I,$B53,Melee!$L:$L,"L"))</f>
        <v>19</v>
      </c>
      <c r="E53" s="513" t="str">
        <f>concatenate(COUNTIFS(Melee!$I:$I,$B53,Melee!$L:$L,"W")," - ",COUNTIFS(Melee!$I:$I,$B53,Melee!$L:$L,"L"))</f>
        <v>14 - 5</v>
      </c>
      <c r="F53" s="514">
        <f>COUNTIFS(Melee!$I:$I,B53,Melee!$M:$M,"W")/(COUNTIFS(Melee!$I:$I,$B53,Melee!$M:$M,"W")+COUNTIFS(Melee!$I:$I,$B53,Melee!$M:$M,"L"))</f>
        <v>0.8571428571</v>
      </c>
      <c r="G53" s="512">
        <f>sum(COUNTIFS(Melee!$I:$I,$B53,Melee!$M:$M,"W"),COUNTIFS(Melee!$I:$I,$B53,Melee!$M:$M,"L"))</f>
        <v>7</v>
      </c>
      <c r="H53" s="515" t="str">
        <f>concatenate(COUNTIFS(Melee!$I:$I,$B53,Melee!$M:$M,"W")," - ",COUNTIFS(Melee!$I:$I,$B53,Melee!$M:$M,"L"))</f>
        <v>6 - 1</v>
      </c>
    </row>
    <row r="54">
      <c r="A54" s="509">
        <v>52.0</v>
      </c>
      <c r="B54" s="510" t="str">
        <f t="array" ref="B54">INDEX(Melee!I:I,MODE(IF((Melee!I:I&lt;&gt;"")*ISNA(MATCH(Melee!I:I,$B$2:$B53,0)),MATCH(Melee!I:I,Melee!I:I,0))))</f>
        <v>Baka4moe</v>
      </c>
      <c r="C54" s="511">
        <f>COUNTIFS(Melee!$I:$I,B54,Melee!$L:$L,"W")/(COUNTIFS(Melee!$I:$I,$B54,Melee!$L:$L,"W")+COUNTIFS(Melee!$I:$I,$B54,Melee!$L:$L,"L"))</f>
        <v>0.1666666667</v>
      </c>
      <c r="D54" s="512">
        <f>sum(COUNTIFS(Melee!$I:$I,$B54,Melee!$L:$L,"W"),COUNTIFS(Melee!$I:$I,$B54,Melee!$L:$L,"L"))</f>
        <v>18</v>
      </c>
      <c r="E54" s="513" t="str">
        <f>concatenate(COUNTIFS(Melee!$I:$I,$B54,Melee!$L:$L,"W")," - ",COUNTIFS(Melee!$I:$I,$B54,Melee!$L:$L,"L"))</f>
        <v>3 - 15</v>
      </c>
      <c r="F54" s="514">
        <f>COUNTIFS(Melee!$I:$I,B54,Melee!$M:$M,"W")/(COUNTIFS(Melee!$I:$I,$B54,Melee!$M:$M,"W")+COUNTIFS(Melee!$I:$I,$B54,Melee!$M:$M,"L"))</f>
        <v>0</v>
      </c>
      <c r="G54" s="512">
        <f>sum(COUNTIFS(Melee!$I:$I,$B54,Melee!$M:$M,"W"),COUNTIFS(Melee!$I:$I,$B54,Melee!$M:$M,"L"))</f>
        <v>6</v>
      </c>
      <c r="H54" s="515" t="str">
        <f>concatenate(COUNTIFS(Melee!$I:$I,$B54,Melee!$M:$M,"W")," - ",COUNTIFS(Melee!$I:$I,$B54,Melee!$M:$M,"L"))</f>
        <v>0 - 6</v>
      </c>
    </row>
    <row r="55">
      <c r="A55" s="509">
        <v>53.0</v>
      </c>
      <c r="B55" s="510" t="str">
        <f t="array" ref="B55">INDEX(Melee!I:I,MODE(IF((Melee!I:I&lt;&gt;"")*ISNA(MATCH(Melee!I:I,$B$2:$B54,0)),MATCH(Melee!I:I,Melee!I:I,0))))</f>
        <v>Oven</v>
      </c>
      <c r="C55" s="511">
        <f>COUNTIFS(Melee!$I:$I,B55,Melee!$L:$L,"W")/(COUNTIFS(Melee!$I:$I,$B55,Melee!$L:$L,"W")+COUNTIFS(Melee!$I:$I,$B55,Melee!$L:$L,"L"))</f>
        <v>0.5882352941</v>
      </c>
      <c r="D55" s="512">
        <f>sum(COUNTIFS(Melee!$I:$I,$B55,Melee!$L:$L,"W"),COUNTIFS(Melee!$I:$I,$B55,Melee!$L:$L,"L"))</f>
        <v>17</v>
      </c>
      <c r="E55" s="513" t="str">
        <f>concatenate(COUNTIFS(Melee!$I:$I,$B55,Melee!$L:$L,"W")," - ",COUNTIFS(Melee!$I:$I,$B55,Melee!$L:$L,"L"))</f>
        <v>10 - 7</v>
      </c>
      <c r="F55" s="514">
        <f>COUNTIFS(Melee!$I:$I,B55,Melee!$M:$M,"W")/(COUNTIFS(Melee!$I:$I,$B55,Melee!$M:$M,"W")+COUNTIFS(Melee!$I:$I,$B55,Melee!$M:$M,"L"))</f>
        <v>0.5714285714</v>
      </c>
      <c r="G55" s="512">
        <f>sum(COUNTIFS(Melee!$I:$I,$B55,Melee!$M:$M,"W"),COUNTIFS(Melee!$I:$I,$B55,Melee!$M:$M,"L"))</f>
        <v>7</v>
      </c>
      <c r="H55" s="515" t="str">
        <f>concatenate(COUNTIFS(Melee!$I:$I,$B55,Melee!$M:$M,"W")," - ",COUNTIFS(Melee!$I:$I,$B55,Melee!$M:$M,"L"))</f>
        <v>4 - 3</v>
      </c>
    </row>
    <row r="56">
      <c r="A56" s="509">
        <v>54.0</v>
      </c>
      <c r="B56" s="510" t="str">
        <f t="array" ref="B56">INDEX(Melee!I:I,MODE(IF((Melee!I:I&lt;&gt;"")*ISNA(MATCH(Melee!I:I,$B$2:$B55,0)),MATCH(Melee!I:I,Melee!I:I,0))))</f>
        <v>Jackie</v>
      </c>
      <c r="C56" s="511">
        <f>COUNTIFS(Melee!$I:$I,B56,Melee!$L:$L,"W")/(COUNTIFS(Melee!$I:$I,$B56,Melee!$L:$L,"W")+COUNTIFS(Melee!$I:$I,$B56,Melee!$L:$L,"L"))</f>
        <v>0.5294117647</v>
      </c>
      <c r="D56" s="512">
        <f>sum(COUNTIFS(Melee!$I:$I,$B56,Melee!$L:$L,"W"),COUNTIFS(Melee!$I:$I,$B56,Melee!$L:$L,"L"))</f>
        <v>17</v>
      </c>
      <c r="E56" s="513" t="str">
        <f>concatenate(COUNTIFS(Melee!$I:$I,$B56,Melee!$L:$L,"W")," - ",COUNTIFS(Melee!$I:$I,$B56,Melee!$L:$L,"L"))</f>
        <v>9 - 8</v>
      </c>
      <c r="F56" s="514">
        <f>COUNTIFS(Melee!$I:$I,B56,Melee!$M:$M,"W")/(COUNTIFS(Melee!$I:$I,$B56,Melee!$M:$M,"W")+COUNTIFS(Melee!$I:$I,$B56,Melee!$M:$M,"L"))</f>
        <v>0.5</v>
      </c>
      <c r="G56" s="512">
        <f>sum(COUNTIFS(Melee!$I:$I,$B56,Melee!$M:$M,"W"),COUNTIFS(Melee!$I:$I,$B56,Melee!$M:$M,"L"))</f>
        <v>8</v>
      </c>
      <c r="H56" s="515" t="str">
        <f>concatenate(COUNTIFS(Melee!$I:$I,$B56,Melee!$M:$M,"W")," - ",COUNTIFS(Melee!$I:$I,$B56,Melee!$M:$M,"L"))</f>
        <v>4 - 4</v>
      </c>
    </row>
    <row r="57">
      <c r="A57" s="509">
        <v>55.0</v>
      </c>
      <c r="B57" s="510" t="str">
        <f t="array" ref="B57">INDEX(Melee!I:I,MODE(IF((Melee!I:I&lt;&gt;"")*ISNA(MATCH(Melee!I:I,$B$2:$B56,0)),MATCH(Melee!I:I,Melee!I:I,0))))</f>
        <v>Rodohk</v>
      </c>
      <c r="C57" s="511">
        <f>COUNTIFS(Melee!$I:$I,B57,Melee!$L:$L,"W")/(COUNTIFS(Melee!$I:$I,$B57,Melee!$L:$L,"W")+COUNTIFS(Melee!$I:$I,$B57,Melee!$L:$L,"L"))</f>
        <v>0.75</v>
      </c>
      <c r="D57" s="512">
        <f>sum(COUNTIFS(Melee!$I:$I,$B57,Melee!$L:$L,"W"),COUNTIFS(Melee!$I:$I,$B57,Melee!$L:$L,"L"))</f>
        <v>16</v>
      </c>
      <c r="E57" s="513" t="str">
        <f>concatenate(COUNTIFS(Melee!$I:$I,$B57,Melee!$L:$L,"W")," - ",COUNTIFS(Melee!$I:$I,$B57,Melee!$L:$L,"L"))</f>
        <v>12 - 4</v>
      </c>
      <c r="F57" s="514">
        <f>COUNTIFS(Melee!$I:$I,B57,Melee!$M:$M,"W")/(COUNTIFS(Melee!$I:$I,$B57,Melee!$M:$M,"W")+COUNTIFS(Melee!$I:$I,$B57,Melee!$M:$M,"L"))</f>
        <v>0.8333333333</v>
      </c>
      <c r="G57" s="512">
        <f>sum(COUNTIFS(Melee!$I:$I,$B57,Melee!$M:$M,"W"),COUNTIFS(Melee!$I:$I,$B57,Melee!$M:$M,"L"))</f>
        <v>6</v>
      </c>
      <c r="H57" s="515" t="str">
        <f>concatenate(COUNTIFS(Melee!$I:$I,$B57,Melee!$M:$M,"W")," - ",COUNTIFS(Melee!$I:$I,$B57,Melee!$M:$M,"L"))</f>
        <v>5 - 1</v>
      </c>
    </row>
    <row r="58">
      <c r="A58" s="509">
        <v>56.0</v>
      </c>
      <c r="B58" s="510" t="str">
        <f t="array" ref="B58">INDEX(Melee!I:I,MODE(IF((Melee!I:I&lt;&gt;"")*ISNA(MATCH(Melee!I:I,$B$2:$B57,0)),MATCH(Melee!I:I,Melee!I:I,0))))</f>
        <v>Skate</v>
      </c>
      <c r="C58" s="511">
        <f>COUNTIFS(Melee!$I:$I,B58,Melee!$L:$L,"W")/(COUNTIFS(Melee!$I:$I,$B58,Melee!$L:$L,"W")+COUNTIFS(Melee!$I:$I,$B58,Melee!$L:$L,"L"))</f>
        <v>0.5</v>
      </c>
      <c r="D58" s="512">
        <f>sum(COUNTIFS(Melee!$I:$I,$B58,Melee!$L:$L,"W"),COUNTIFS(Melee!$I:$I,$B58,Melee!$L:$L,"L"))</f>
        <v>16</v>
      </c>
      <c r="E58" s="513" t="str">
        <f>concatenate(COUNTIFS(Melee!$I:$I,$B58,Melee!$L:$L,"W")," - ",COUNTIFS(Melee!$I:$I,$B58,Melee!$L:$L,"L"))</f>
        <v>8 - 8</v>
      </c>
      <c r="F58" s="514">
        <f>COUNTIFS(Melee!$I:$I,B58,Melee!$M:$M,"W")/(COUNTIFS(Melee!$I:$I,$B58,Melee!$M:$M,"W")+COUNTIFS(Melee!$I:$I,$B58,Melee!$M:$M,"L"))</f>
        <v>0.4</v>
      </c>
      <c r="G58" s="512">
        <f>sum(COUNTIFS(Melee!$I:$I,$B58,Melee!$M:$M,"W"),COUNTIFS(Melee!$I:$I,$B58,Melee!$M:$M,"L"))</f>
        <v>5</v>
      </c>
      <c r="H58" s="515" t="str">
        <f>concatenate(COUNTIFS(Melee!$I:$I,$B58,Melee!$M:$M,"W")," - ",COUNTIFS(Melee!$I:$I,$B58,Melee!$M:$M,"L"))</f>
        <v>2 - 3</v>
      </c>
    </row>
    <row r="59">
      <c r="A59" s="509">
        <v>57.0</v>
      </c>
      <c r="B59" s="510" t="str">
        <f t="array" ref="B59">INDEX(Melee!I:I,MODE(IF((Melee!I:I&lt;&gt;"")*ISNA(MATCH(Melee!I:I,$B$2:$B58,0)),MATCH(Melee!I:I,Melee!I:I,0))))</f>
        <v>Burlap</v>
      </c>
      <c r="C59" s="511">
        <f>COUNTIFS(Melee!$I:$I,B59,Melee!$L:$L,"W")/(COUNTIFS(Melee!$I:$I,$B59,Melee!$L:$L,"W")+COUNTIFS(Melee!$I:$I,$B59,Melee!$L:$L,"L"))</f>
        <v>0.0625</v>
      </c>
      <c r="D59" s="512">
        <f>sum(COUNTIFS(Melee!$I:$I,$B59,Melee!$L:$L,"W"),COUNTIFS(Melee!$I:$I,$B59,Melee!$L:$L,"L"))</f>
        <v>16</v>
      </c>
      <c r="E59" s="513" t="str">
        <f>concatenate(COUNTIFS(Melee!$I:$I,$B59,Melee!$L:$L,"W")," - ",COUNTIFS(Melee!$I:$I,$B59,Melee!$L:$L,"L"))</f>
        <v>1 - 15</v>
      </c>
      <c r="F59" s="514">
        <f>COUNTIFS(Melee!$I:$I,B59,Melee!$M:$M,"W")/(COUNTIFS(Melee!$I:$I,$B59,Melee!$M:$M,"W")+COUNTIFS(Melee!$I:$I,$B59,Melee!$M:$M,"L"))</f>
        <v>0</v>
      </c>
      <c r="G59" s="512">
        <f>sum(COUNTIFS(Melee!$I:$I,$B59,Melee!$M:$M,"W"),COUNTIFS(Melee!$I:$I,$B59,Melee!$M:$M,"L"))</f>
        <v>6</v>
      </c>
      <c r="H59" s="515" t="str">
        <f>concatenate(COUNTIFS(Melee!$I:$I,$B59,Melee!$M:$M,"W")," - ",COUNTIFS(Melee!$I:$I,$B59,Melee!$M:$M,"L"))</f>
        <v>0 - 6</v>
      </c>
    </row>
    <row r="60">
      <c r="A60" s="509">
        <v>58.0</v>
      </c>
      <c r="B60" s="510" t="str">
        <f t="array" ref="B60">INDEX(Melee!I:I,MODE(IF((Melee!I:I&lt;&gt;"")*ISNA(MATCH(Melee!I:I,$B$2:$B59,0)),MATCH(Melee!I:I,Melee!I:I,0))))</f>
        <v>Danko</v>
      </c>
      <c r="C60" s="511">
        <f>COUNTIFS(Melee!$I:$I,B60,Melee!$L:$L,"W")/(COUNTIFS(Melee!$I:$I,$B60,Melee!$L:$L,"W")+COUNTIFS(Melee!$I:$I,$B60,Melee!$L:$L,"L"))</f>
        <v>0.875</v>
      </c>
      <c r="D60" s="512">
        <f>sum(COUNTIFS(Melee!$I:$I,$B60,Melee!$L:$L,"W"),COUNTIFS(Melee!$I:$I,$B60,Melee!$L:$L,"L"))</f>
        <v>16</v>
      </c>
      <c r="E60" s="513" t="str">
        <f>concatenate(COUNTIFS(Melee!$I:$I,$B60,Melee!$L:$L,"W")," - ",COUNTIFS(Melee!$I:$I,$B60,Melee!$L:$L,"L"))</f>
        <v>14 - 2</v>
      </c>
      <c r="F60" s="514">
        <f>COUNTIFS(Melee!$I:$I,B60,Melee!$M:$M,"W")/(COUNTIFS(Melee!$I:$I,$B60,Melee!$M:$M,"W")+COUNTIFS(Melee!$I:$I,$B60,Melee!$M:$M,"L"))</f>
        <v>0.8571428571</v>
      </c>
      <c r="G60" s="512">
        <f>sum(COUNTIFS(Melee!$I:$I,$B60,Melee!$M:$M,"W"),COUNTIFS(Melee!$I:$I,$B60,Melee!$M:$M,"L"))</f>
        <v>7</v>
      </c>
      <c r="H60" s="515" t="str">
        <f>concatenate(COUNTIFS(Melee!$I:$I,$B60,Melee!$M:$M,"W")," - ",COUNTIFS(Melee!$I:$I,$B60,Melee!$M:$M,"L"))</f>
        <v>6 - 1</v>
      </c>
    </row>
    <row r="61">
      <c r="A61" s="509">
        <v>59.0</v>
      </c>
      <c r="B61" s="510" t="str">
        <f t="array" ref="B61">INDEX(Melee!I:I,MODE(IF((Melee!I:I&lt;&gt;"")*ISNA(MATCH(Melee!I:I,$B$2:$B60,0)),MATCH(Melee!I:I,Melee!I:I,0))))</f>
        <v>Fire</v>
      </c>
      <c r="C61" s="511">
        <f>COUNTIFS(Melee!$I:$I,B61,Melee!$L:$L,"W")/(COUNTIFS(Melee!$I:$I,$B61,Melee!$L:$L,"W")+COUNTIFS(Melee!$I:$I,$B61,Melee!$L:$L,"L"))</f>
        <v>0.4375</v>
      </c>
      <c r="D61" s="512">
        <f>sum(COUNTIFS(Melee!$I:$I,$B61,Melee!$L:$L,"W"),COUNTIFS(Melee!$I:$I,$B61,Melee!$L:$L,"L"))</f>
        <v>16</v>
      </c>
      <c r="E61" s="513" t="str">
        <f>concatenate(COUNTIFS(Melee!$I:$I,$B61,Melee!$L:$L,"W")," - ",COUNTIFS(Melee!$I:$I,$B61,Melee!$L:$L,"L"))</f>
        <v>7 - 9</v>
      </c>
      <c r="F61" s="514">
        <f>COUNTIFS(Melee!$I:$I,B61,Melee!$M:$M,"W")/(COUNTIFS(Melee!$I:$I,$B61,Melee!$M:$M,"W")+COUNTIFS(Melee!$I:$I,$B61,Melee!$M:$M,"L"))</f>
        <v>0.4</v>
      </c>
      <c r="G61" s="512">
        <f>sum(COUNTIFS(Melee!$I:$I,$B61,Melee!$M:$M,"W"),COUNTIFS(Melee!$I:$I,$B61,Melee!$M:$M,"L"))</f>
        <v>5</v>
      </c>
      <c r="H61" s="515" t="str">
        <f>concatenate(COUNTIFS(Melee!$I:$I,$B61,Melee!$M:$M,"W")," - ",COUNTIFS(Melee!$I:$I,$B61,Melee!$M:$M,"L"))</f>
        <v>2 - 3</v>
      </c>
    </row>
    <row r="62">
      <c r="A62" s="509">
        <v>60.0</v>
      </c>
      <c r="B62" s="510" t="str">
        <f t="array" ref="B62">INDEX(Melee!I:I,MODE(IF((Melee!I:I&lt;&gt;"")*ISNA(MATCH(Melee!I:I,$B$2:$B61,0)),MATCH(Melee!I:I,Melee!I:I,0))))</f>
        <v>Monkeyzz</v>
      </c>
      <c r="C62" s="511">
        <f>COUNTIFS(Melee!$I:$I,B62,Melee!$L:$L,"W")/(COUNTIFS(Melee!$I:$I,$B62,Melee!$L:$L,"W")+COUNTIFS(Melee!$I:$I,$B62,Melee!$L:$L,"L"))</f>
        <v>1</v>
      </c>
      <c r="D62" s="512">
        <f>sum(COUNTIFS(Melee!$I:$I,$B62,Melee!$L:$L,"W"),COUNTIFS(Melee!$I:$I,$B62,Melee!$L:$L,"L"))</f>
        <v>16</v>
      </c>
      <c r="E62" s="513" t="str">
        <f>concatenate(COUNTIFS(Melee!$I:$I,$B62,Melee!$L:$L,"W")," - ",COUNTIFS(Melee!$I:$I,$B62,Melee!$L:$L,"L"))</f>
        <v>16 - 0</v>
      </c>
      <c r="F62" s="514">
        <f>COUNTIFS(Melee!$I:$I,B62,Melee!$M:$M,"W")/(COUNTIFS(Melee!$I:$I,$B62,Melee!$M:$M,"W")+COUNTIFS(Melee!$I:$I,$B62,Melee!$M:$M,"L"))</f>
        <v>1</v>
      </c>
      <c r="G62" s="512">
        <f>sum(COUNTIFS(Melee!$I:$I,$B62,Melee!$M:$M,"W"),COUNTIFS(Melee!$I:$I,$B62,Melee!$M:$M,"L"))</f>
        <v>8</v>
      </c>
      <c r="H62" s="515" t="str">
        <f>concatenate(COUNTIFS(Melee!$I:$I,$B62,Melee!$M:$M,"W")," - ",COUNTIFS(Melee!$I:$I,$B62,Melee!$M:$M,"L"))</f>
        <v>8 - 0</v>
      </c>
    </row>
    <row r="63">
      <c r="A63" s="509">
        <v>61.0</v>
      </c>
      <c r="B63" s="510" t="str">
        <f t="array" ref="B63">INDEX(Melee!I:I,MODE(IF((Melee!I:I&lt;&gt;"")*ISNA(MATCH(Melee!I:I,$B$2:$B62,0)),MATCH(Melee!I:I,Melee!I:I,0))))</f>
        <v>JuggleGuy</v>
      </c>
      <c r="C63" s="511">
        <f>COUNTIFS(Melee!$I:$I,B63,Melee!$L:$L,"W")/(COUNTIFS(Melee!$I:$I,$B63,Melee!$L:$L,"W")+COUNTIFS(Melee!$I:$I,$B63,Melee!$L:$L,"L"))</f>
        <v>0.4</v>
      </c>
      <c r="D63" s="512">
        <f>sum(COUNTIFS(Melee!$I:$I,$B63,Melee!$L:$L,"W"),COUNTIFS(Melee!$I:$I,$B63,Melee!$L:$L,"L"))</f>
        <v>15</v>
      </c>
      <c r="E63" s="513" t="str">
        <f>concatenate(COUNTIFS(Melee!$I:$I,$B63,Melee!$L:$L,"W")," - ",COUNTIFS(Melee!$I:$I,$B63,Melee!$L:$L,"L"))</f>
        <v>6 - 9</v>
      </c>
      <c r="F63" s="514">
        <f>COUNTIFS(Melee!$I:$I,B63,Melee!$M:$M,"W")/(COUNTIFS(Melee!$I:$I,$B63,Melee!$M:$M,"W")+COUNTIFS(Melee!$I:$I,$B63,Melee!$M:$M,"L"))</f>
        <v>0.4</v>
      </c>
      <c r="G63" s="512">
        <f>sum(COUNTIFS(Melee!$I:$I,$B63,Melee!$M:$M,"W"),COUNTIFS(Melee!$I:$I,$B63,Melee!$M:$M,"L"))</f>
        <v>5</v>
      </c>
      <c r="H63" s="515" t="str">
        <f>concatenate(COUNTIFS(Melee!$I:$I,$B63,Melee!$M:$M,"W")," - ",COUNTIFS(Melee!$I:$I,$B63,Melee!$M:$M,"L"))</f>
        <v>2 - 3</v>
      </c>
    </row>
    <row r="64">
      <c r="A64" s="509">
        <v>62.0</v>
      </c>
      <c r="B64" s="510" t="str">
        <f t="array" ref="B64">INDEX(Melee!I:I,MODE(IF((Melee!I:I&lt;&gt;"")*ISNA(MATCH(Melee!I:I,$B$2:$B63,0)),MATCH(Melee!I:I,Melee!I:I,0))))</f>
        <v>Sasha</v>
      </c>
      <c r="C64" s="511">
        <f>COUNTIFS(Melee!$I:$I,B64,Melee!$L:$L,"W")/(COUNTIFS(Melee!$I:$I,$B64,Melee!$L:$L,"W")+COUNTIFS(Melee!$I:$I,$B64,Melee!$L:$L,"L"))</f>
        <v>0.7333333333</v>
      </c>
      <c r="D64" s="512">
        <f>sum(COUNTIFS(Melee!$I:$I,$B64,Melee!$L:$L,"W"),COUNTIFS(Melee!$I:$I,$B64,Melee!$L:$L,"L"))</f>
        <v>15</v>
      </c>
      <c r="E64" s="513" t="str">
        <f>concatenate(COUNTIFS(Melee!$I:$I,$B64,Melee!$L:$L,"W")," - ",COUNTIFS(Melee!$I:$I,$B64,Melee!$L:$L,"L"))</f>
        <v>11 - 4</v>
      </c>
      <c r="F64" s="514">
        <f>COUNTIFS(Melee!$I:$I,B64,Melee!$M:$M,"W")/(COUNTIFS(Melee!$I:$I,$B64,Melee!$M:$M,"W")+COUNTIFS(Melee!$I:$I,$B64,Melee!$M:$M,"L"))</f>
        <v>0.8333333333</v>
      </c>
      <c r="G64" s="512">
        <f>sum(COUNTIFS(Melee!$I:$I,$B64,Melee!$M:$M,"W"),COUNTIFS(Melee!$I:$I,$B64,Melee!$M:$M,"L"))</f>
        <v>6</v>
      </c>
      <c r="H64" s="515" t="str">
        <f>concatenate(COUNTIFS(Melee!$I:$I,$B64,Melee!$M:$M,"W")," - ",COUNTIFS(Melee!$I:$I,$B64,Melee!$M:$M,"L"))</f>
        <v>5 - 1</v>
      </c>
    </row>
    <row r="65">
      <c r="A65" s="509">
        <v>63.0</v>
      </c>
      <c r="B65" s="510" t="str">
        <f t="array" ref="B65">INDEX(Melee!I:I,MODE(IF((Melee!I:I&lt;&gt;"")*ISNA(MATCH(Melee!I:I,$B$2:$B64,0)),MATCH(Melee!I:I,Melee!I:I,0))))</f>
        <v>TM</v>
      </c>
      <c r="C65" s="511">
        <f>COUNTIFS(Melee!$I:$I,B65,Melee!$L:$L,"W")/(COUNTIFS(Melee!$I:$I,$B65,Melee!$L:$L,"W")+COUNTIFS(Melee!$I:$I,$B65,Melee!$L:$L,"L"))</f>
        <v>0.5</v>
      </c>
      <c r="D65" s="512">
        <f>sum(COUNTIFS(Melee!$I:$I,$B65,Melee!$L:$L,"W"),COUNTIFS(Melee!$I:$I,$B65,Melee!$L:$L,"L"))</f>
        <v>12</v>
      </c>
      <c r="E65" s="513" t="str">
        <f>concatenate(COUNTIFS(Melee!$I:$I,$B65,Melee!$L:$L,"W")," - ",COUNTIFS(Melee!$I:$I,$B65,Melee!$L:$L,"L"))</f>
        <v>6 - 6</v>
      </c>
      <c r="F65" s="514">
        <f>COUNTIFS(Melee!$I:$I,B65,Melee!$M:$M,"W")/(COUNTIFS(Melee!$I:$I,$B65,Melee!$M:$M,"W")+COUNTIFS(Melee!$I:$I,$B65,Melee!$M:$M,"L"))</f>
        <v>0.6</v>
      </c>
      <c r="G65" s="512">
        <f>sum(COUNTIFS(Melee!$I:$I,$B65,Melee!$M:$M,"W"),COUNTIFS(Melee!$I:$I,$B65,Melee!$M:$M,"L"))</f>
        <v>5</v>
      </c>
      <c r="H65" s="515" t="str">
        <f>concatenate(COUNTIFS(Melee!$I:$I,$B65,Melee!$M:$M,"W")," - ",COUNTIFS(Melee!$I:$I,$B65,Melee!$M:$M,"L"))</f>
        <v>3 - 2</v>
      </c>
    </row>
    <row r="66">
      <c r="A66" s="509">
        <v>64.0</v>
      </c>
      <c r="B66" s="510" t="str">
        <f t="array" ref="B66">INDEX(Melee!I:I,MODE(IF((Melee!I:I&lt;&gt;"")*ISNA(MATCH(Melee!I:I,$B$2:$B65,0)),MATCH(Melee!I:I,Melee!I:I,0))))</f>
        <v>Baron</v>
      </c>
      <c r="C66" s="511">
        <f>COUNTIFS(Melee!$I:$I,B66,Melee!$L:$L,"W")/(COUNTIFS(Melee!$I:$I,$B66,Melee!$L:$L,"W")+COUNTIFS(Melee!$I:$I,$B66,Melee!$L:$L,"L"))</f>
        <v>0.7333333333</v>
      </c>
      <c r="D66" s="512">
        <f>sum(COUNTIFS(Melee!$I:$I,$B66,Melee!$L:$L,"W"),COUNTIFS(Melee!$I:$I,$B66,Melee!$L:$L,"L"))</f>
        <v>15</v>
      </c>
      <c r="E66" s="513" t="str">
        <f>concatenate(COUNTIFS(Melee!$I:$I,$B66,Melee!$L:$L,"W")," - ",COUNTIFS(Melee!$I:$I,$B66,Melee!$L:$L,"L"))</f>
        <v>11 - 4</v>
      </c>
      <c r="F66" s="514">
        <f>COUNTIFS(Melee!$I:$I,B66,Melee!$M:$M,"W")/(COUNTIFS(Melee!$I:$I,$B66,Melee!$M:$M,"W")+COUNTIFS(Melee!$I:$I,$B66,Melee!$M:$M,"L"))</f>
        <v>0.8</v>
      </c>
      <c r="G66" s="512">
        <f>sum(COUNTIFS(Melee!$I:$I,$B66,Melee!$M:$M,"W"),COUNTIFS(Melee!$I:$I,$B66,Melee!$M:$M,"L"))</f>
        <v>5</v>
      </c>
      <c r="H66" s="515" t="str">
        <f>concatenate(COUNTIFS(Melee!$I:$I,$B66,Melee!$M:$M,"W")," - ",COUNTIFS(Melee!$I:$I,$B66,Melee!$M:$M,"L"))</f>
        <v>4 - 1</v>
      </c>
    </row>
    <row r="67">
      <c r="A67" s="509">
        <v>65.0</v>
      </c>
      <c r="B67" s="510" t="str">
        <f t="array" ref="B67">INDEX(Melee!I:I,MODE(IF((Melee!I:I&lt;&gt;"")*ISNA(MATCH(Melee!I:I,$B$2:$B66,0)),MATCH(Melee!I:I,Melee!I:I,0))))</f>
        <v>Jestr</v>
      </c>
      <c r="C67" s="511">
        <f>COUNTIFS(Melee!$I:$I,B67,Melee!$L:$L,"W")/(COUNTIFS(Melee!$I:$I,$B67,Melee!$L:$L,"W")+COUNTIFS(Melee!$I:$I,$B67,Melee!$L:$L,"L"))</f>
        <v>0.4285714286</v>
      </c>
      <c r="D67" s="512">
        <f>sum(COUNTIFS(Melee!$I:$I,$B67,Melee!$L:$L,"W"),COUNTIFS(Melee!$I:$I,$B67,Melee!$L:$L,"L"))</f>
        <v>14</v>
      </c>
      <c r="E67" s="513" t="str">
        <f>concatenate(COUNTIFS(Melee!$I:$I,$B67,Melee!$L:$L,"W")," - ",COUNTIFS(Melee!$I:$I,$B67,Melee!$L:$L,"L"))</f>
        <v>6 - 8</v>
      </c>
      <c r="F67" s="514">
        <f>COUNTIFS(Melee!$I:$I,B67,Melee!$M:$M,"W")/(COUNTIFS(Melee!$I:$I,$B67,Melee!$M:$M,"W")+COUNTIFS(Melee!$I:$I,$B67,Melee!$M:$M,"L"))</f>
        <v>0.4</v>
      </c>
      <c r="G67" s="512">
        <f>sum(COUNTIFS(Melee!$I:$I,$B67,Melee!$M:$M,"W"),COUNTIFS(Melee!$I:$I,$B67,Melee!$M:$M,"L"))</f>
        <v>5</v>
      </c>
      <c r="H67" s="515" t="str">
        <f>concatenate(COUNTIFS(Melee!$I:$I,$B67,Melee!$M:$M,"W")," - ",COUNTIFS(Melee!$I:$I,$B67,Melee!$M:$M,"L"))</f>
        <v>2 - 3</v>
      </c>
    </row>
    <row r="68">
      <c r="A68" s="509">
        <v>66.0</v>
      </c>
      <c r="B68" s="510" t="str">
        <f t="array" ref="B68">INDEX(Melee!I:I,MODE(IF((Melee!I:I&lt;&gt;"")*ISNA(MATCH(Melee!I:I,$B$2:$B67,0)),MATCH(Melee!I:I,Melee!I:I,0))))</f>
        <v>Liam_Butler</v>
      </c>
      <c r="C68" s="511">
        <f>COUNTIFS(Melee!$I:$I,B68,Melee!$L:$L,"W")/(COUNTIFS(Melee!$I:$I,$B68,Melee!$L:$L,"W")+COUNTIFS(Melee!$I:$I,$B68,Melee!$L:$L,"L"))</f>
        <v>0.4615384615</v>
      </c>
      <c r="D68" s="512">
        <f>sum(COUNTIFS(Melee!$I:$I,$B68,Melee!$L:$L,"W"),COUNTIFS(Melee!$I:$I,$B68,Melee!$L:$L,"L"))</f>
        <v>13</v>
      </c>
      <c r="E68" s="513" t="str">
        <f>concatenate(COUNTIFS(Melee!$I:$I,$B68,Melee!$L:$L,"W")," - ",COUNTIFS(Melee!$I:$I,$B68,Melee!$L:$L,"L"))</f>
        <v>6 - 7</v>
      </c>
      <c r="F68" s="514">
        <f>COUNTIFS(Melee!$I:$I,B68,Melee!$M:$M,"W")/(COUNTIFS(Melee!$I:$I,$B68,Melee!$M:$M,"W")+COUNTIFS(Melee!$I:$I,$B68,Melee!$M:$M,"L"))</f>
        <v>0.5</v>
      </c>
      <c r="G68" s="512">
        <f>sum(COUNTIFS(Melee!$I:$I,$B68,Melee!$M:$M,"W"),COUNTIFS(Melee!$I:$I,$B68,Melee!$M:$M,"L"))</f>
        <v>6</v>
      </c>
      <c r="H68" s="515" t="str">
        <f>concatenate(COUNTIFS(Melee!$I:$I,$B68,Melee!$M:$M,"W")," - ",COUNTIFS(Melee!$I:$I,$B68,Melee!$M:$M,"L"))</f>
        <v>3 - 3</v>
      </c>
    </row>
    <row r="69">
      <c r="A69" s="509">
        <v>67.0</v>
      </c>
      <c r="B69" s="510" t="str">
        <f t="array" ref="B69">INDEX(Melee!I:I,MODE(IF((Melee!I:I&lt;&gt;"")*ISNA(MATCH(Melee!I:I,$B$2:$B68,0)),MATCH(Melee!I:I,Melee!I:I,0))))</f>
        <v>Brazmonkey</v>
      </c>
      <c r="C69" s="511">
        <f>COUNTIFS(Melee!$I:$I,B69,Melee!$L:$L,"W")/(COUNTIFS(Melee!$I:$I,$B69,Melee!$L:$L,"W")+COUNTIFS(Melee!$I:$I,$B69,Melee!$L:$L,"L"))</f>
        <v>0.4615384615</v>
      </c>
      <c r="D69" s="512">
        <f>sum(COUNTIFS(Melee!$I:$I,$B69,Melee!$L:$L,"W"),COUNTIFS(Melee!$I:$I,$B69,Melee!$L:$L,"L"))</f>
        <v>13</v>
      </c>
      <c r="E69" s="513" t="str">
        <f>concatenate(COUNTIFS(Melee!$I:$I,$B69,Melee!$L:$L,"W")," - ",COUNTIFS(Melee!$I:$I,$B69,Melee!$L:$L,"L"))</f>
        <v>6 - 7</v>
      </c>
      <c r="F69" s="514">
        <f>COUNTIFS(Melee!$I:$I,B69,Melee!$M:$M,"W")/(COUNTIFS(Melee!$I:$I,$B69,Melee!$M:$M,"W")+COUNTIFS(Melee!$I:$I,$B69,Melee!$M:$M,"L"))</f>
        <v>0.4</v>
      </c>
      <c r="G69" s="512">
        <f>sum(COUNTIFS(Melee!$I:$I,$B69,Melee!$M:$M,"W"),COUNTIFS(Melee!$I:$I,$B69,Melee!$M:$M,"L"))</f>
        <v>5</v>
      </c>
      <c r="H69" s="515" t="str">
        <f>concatenate(COUNTIFS(Melee!$I:$I,$B69,Melee!$M:$M,"W")," - ",COUNTIFS(Melee!$I:$I,$B69,Melee!$M:$M,"L"))</f>
        <v>2 - 3</v>
      </c>
    </row>
    <row r="70">
      <c r="A70" s="509">
        <v>68.0</v>
      </c>
      <c r="B70" s="510" t="str">
        <f t="array" ref="B70">INDEX(Melee!I:I,MODE(IF((Melee!I:I&lt;&gt;"")*ISNA(MATCH(Melee!I:I,$B$2:$B69,0)),MATCH(Melee!I:I,Melee!I:I,0))))</f>
        <v>Dindy</v>
      </c>
      <c r="C70" s="511">
        <f>COUNTIFS(Melee!$I:$I,B70,Melee!$L:$L,"W")/(COUNTIFS(Melee!$I:$I,$B70,Melee!$L:$L,"W")+COUNTIFS(Melee!$I:$I,$B70,Melee!$L:$L,"L"))</f>
        <v>0.9230769231</v>
      </c>
      <c r="D70" s="512">
        <f>sum(COUNTIFS(Melee!$I:$I,$B70,Melee!$L:$L,"W"),COUNTIFS(Melee!$I:$I,$B70,Melee!$L:$L,"L"))</f>
        <v>13</v>
      </c>
      <c r="E70" s="513" t="str">
        <f>concatenate(COUNTIFS(Melee!$I:$I,$B70,Melee!$L:$L,"W")," - ",COUNTIFS(Melee!$I:$I,$B70,Melee!$L:$L,"L"))</f>
        <v>12 - 1</v>
      </c>
      <c r="F70" s="514">
        <f>COUNTIFS(Melee!$I:$I,B70,Melee!$M:$M,"W")/(COUNTIFS(Melee!$I:$I,$B70,Melee!$M:$M,"W")+COUNTIFS(Melee!$I:$I,$B70,Melee!$M:$M,"L"))</f>
        <v>1</v>
      </c>
      <c r="G70" s="512">
        <f>sum(COUNTIFS(Melee!$I:$I,$B70,Melee!$M:$M,"W"),COUNTIFS(Melee!$I:$I,$B70,Melee!$M:$M,"L"))</f>
        <v>6</v>
      </c>
      <c r="H70" s="515" t="str">
        <f>concatenate(COUNTIFS(Melee!$I:$I,$B70,Melee!$M:$M,"W")," - ",COUNTIFS(Melee!$I:$I,$B70,Melee!$M:$M,"L"))</f>
        <v>6 - 0</v>
      </c>
    </row>
    <row r="71">
      <c r="A71" s="509">
        <v>69.0</v>
      </c>
      <c r="B71" s="510" t="str">
        <f t="array" ref="B71">INDEX(Melee!I:I,MODE(IF((Melee!I:I&lt;&gt;"")*ISNA(MATCH(Melee!I:I,$B$2:$B70,0)),MATCH(Melee!I:I,Melee!I:I,0))))</f>
        <v>Quil</v>
      </c>
      <c r="C71" s="511">
        <f>COUNTIFS(Melee!$I:$I,B71,Melee!$L:$L,"W")/(COUNTIFS(Melee!$I:$I,$B71,Melee!$L:$L,"W")+COUNTIFS(Melee!$I:$I,$B71,Melee!$L:$L,"L"))</f>
        <v>0.9230769231</v>
      </c>
      <c r="D71" s="512">
        <f>sum(COUNTIFS(Melee!$I:$I,$B71,Melee!$L:$L,"W"),COUNTIFS(Melee!$I:$I,$B71,Melee!$L:$L,"L"))</f>
        <v>13</v>
      </c>
      <c r="E71" s="513" t="str">
        <f>concatenate(COUNTIFS(Melee!$I:$I,$B71,Melee!$L:$L,"W")," - ",COUNTIFS(Melee!$I:$I,$B71,Melee!$L:$L,"L"))</f>
        <v>12 - 1</v>
      </c>
      <c r="F71" s="514">
        <f>COUNTIFS(Melee!$I:$I,B71,Melee!$M:$M,"W")/(COUNTIFS(Melee!$I:$I,$B71,Melee!$M:$M,"W")+COUNTIFS(Melee!$I:$I,$B71,Melee!$M:$M,"L"))</f>
        <v>1</v>
      </c>
      <c r="G71" s="512">
        <f>sum(COUNTIFS(Melee!$I:$I,$B71,Melee!$M:$M,"W"),COUNTIFS(Melee!$I:$I,$B71,Melee!$M:$M,"L"))</f>
        <v>6</v>
      </c>
      <c r="H71" s="515" t="str">
        <f>concatenate(COUNTIFS(Melee!$I:$I,$B71,Melee!$M:$M,"W")," - ",COUNTIFS(Melee!$I:$I,$B71,Melee!$M:$M,"L"))</f>
        <v>6 - 0</v>
      </c>
    </row>
    <row r="72">
      <c r="A72" s="509">
        <v>70.0</v>
      </c>
      <c r="B72" s="510" t="str">
        <f t="array" ref="B72">INDEX(Melee!I:I,MODE(IF((Melee!I:I&lt;&gt;"")*ISNA(MATCH(Melee!I:I,$B$2:$B71,0)),MATCH(Melee!I:I,Melee!I:I,0))))</f>
        <v>Tavi</v>
      </c>
      <c r="C72" s="511">
        <f>COUNTIFS(Melee!$I:$I,B72,Melee!$L:$L,"W")/(COUNTIFS(Melee!$I:$I,$B72,Melee!$L:$L,"W")+COUNTIFS(Melee!$I:$I,$B72,Melee!$L:$L,"L"))</f>
        <v>0.6153846154</v>
      </c>
      <c r="D72" s="512">
        <f>sum(COUNTIFS(Melee!$I:$I,$B72,Melee!$L:$L,"W"),COUNTIFS(Melee!$I:$I,$B72,Melee!$L:$L,"L"))</f>
        <v>13</v>
      </c>
      <c r="E72" s="513" t="str">
        <f>concatenate(COUNTIFS(Melee!$I:$I,$B72,Melee!$L:$L,"W")," - ",COUNTIFS(Melee!$I:$I,$B72,Melee!$L:$L,"L"))</f>
        <v>8 - 5</v>
      </c>
      <c r="F72" s="514">
        <f>COUNTIFS(Melee!$I:$I,B72,Melee!$M:$M,"W")/(COUNTIFS(Melee!$I:$I,$B72,Melee!$M:$M,"W")+COUNTIFS(Melee!$I:$I,$B72,Melee!$M:$M,"L"))</f>
        <v>0.6666666667</v>
      </c>
      <c r="G72" s="512">
        <f>sum(COUNTIFS(Melee!$I:$I,$B72,Melee!$M:$M,"W"),COUNTIFS(Melee!$I:$I,$B72,Melee!$M:$M,"L"))</f>
        <v>3</v>
      </c>
      <c r="H72" s="515" t="str">
        <f>concatenate(COUNTIFS(Melee!$I:$I,$B72,Melee!$M:$M,"W")," - ",COUNTIFS(Melee!$I:$I,$B72,Melee!$M:$M,"L"))</f>
        <v>2 - 1</v>
      </c>
    </row>
    <row r="73">
      <c r="A73" s="509">
        <v>71.0</v>
      </c>
      <c r="B73" s="510" t="str">
        <f t="array" ref="B73">INDEX(Melee!I:I,MODE(IF((Melee!I:I&lt;&gt;"")*ISNA(MATCH(Melee!I:I,$B$2:$B72,0)),MATCH(Melee!I:I,Melee!I:I,0))))</f>
        <v>Woley</v>
      </c>
      <c r="C73" s="511">
        <f>COUNTIFS(Melee!$I:$I,B73,Melee!$L:$L,"W")/(COUNTIFS(Melee!$I:$I,$B73,Melee!$L:$L,"W")+COUNTIFS(Melee!$I:$I,$B73,Melee!$L:$L,"L"))</f>
        <v>0.3846153846</v>
      </c>
      <c r="D73" s="512">
        <f>sum(COUNTIFS(Melee!$I:$I,$B73,Melee!$L:$L,"W"),COUNTIFS(Melee!$I:$I,$B73,Melee!$L:$L,"L"))</f>
        <v>13</v>
      </c>
      <c r="E73" s="513" t="str">
        <f>concatenate(COUNTIFS(Melee!$I:$I,$B73,Melee!$L:$L,"W")," - ",COUNTIFS(Melee!$I:$I,$B73,Melee!$L:$L,"L"))</f>
        <v>5 - 8</v>
      </c>
      <c r="F73" s="514">
        <f>COUNTIFS(Melee!$I:$I,B73,Melee!$M:$M,"W")/(COUNTIFS(Melee!$I:$I,$B73,Melee!$M:$M,"W")+COUNTIFS(Melee!$I:$I,$B73,Melee!$M:$M,"L"))</f>
        <v>0.25</v>
      </c>
      <c r="G73" s="512">
        <f>sum(COUNTIFS(Melee!$I:$I,$B73,Melee!$M:$M,"W"),COUNTIFS(Melee!$I:$I,$B73,Melee!$M:$M,"L"))</f>
        <v>4</v>
      </c>
      <c r="H73" s="515" t="str">
        <f>concatenate(COUNTIFS(Melee!$I:$I,$B73,Melee!$M:$M,"W")," - ",COUNTIFS(Melee!$I:$I,$B73,Melee!$M:$M,"L"))</f>
        <v>1 - 3</v>
      </c>
    </row>
    <row r="74">
      <c r="A74" s="509">
        <v>72.0</v>
      </c>
      <c r="B74" s="510" t="str">
        <f t="array" ref="B74">INDEX(Melee!I:I,MODE(IF((Melee!I:I&lt;&gt;"")*ISNA(MATCH(Melee!I:I,$B$2:$B73,0)),MATCH(Melee!I:I,Melee!I:I,0))))</f>
        <v>Sevan</v>
      </c>
      <c r="C74" s="511">
        <f>COUNTIFS(Melee!$I:$I,B74,Melee!$L:$L,"W")/(COUNTIFS(Melee!$I:$I,$B74,Melee!$L:$L,"W")+COUNTIFS(Melee!$I:$I,$B74,Melee!$L:$L,"L"))</f>
        <v>0.4615384615</v>
      </c>
      <c r="D74" s="512">
        <f>sum(COUNTIFS(Melee!$I:$I,$B74,Melee!$L:$L,"W"),COUNTIFS(Melee!$I:$I,$B74,Melee!$L:$L,"L"))</f>
        <v>13</v>
      </c>
      <c r="E74" s="513" t="str">
        <f>concatenate(COUNTIFS(Melee!$I:$I,$B74,Melee!$L:$L,"W")," - ",COUNTIFS(Melee!$I:$I,$B74,Melee!$L:$L,"L"))</f>
        <v>6 - 7</v>
      </c>
      <c r="F74" s="514">
        <f>COUNTIFS(Melee!$I:$I,B74,Melee!$M:$M,"W")/(COUNTIFS(Melee!$I:$I,$B74,Melee!$M:$M,"W")+COUNTIFS(Melee!$I:$I,$B74,Melee!$M:$M,"L"))</f>
        <v>0.4</v>
      </c>
      <c r="G74" s="512">
        <f>sum(COUNTIFS(Melee!$I:$I,$B74,Melee!$M:$M,"W"),COUNTIFS(Melee!$I:$I,$B74,Melee!$M:$M,"L"))</f>
        <v>5</v>
      </c>
      <c r="H74" s="515" t="str">
        <f>concatenate(COUNTIFS(Melee!$I:$I,$B74,Melee!$M:$M,"W")," - ",COUNTIFS(Melee!$I:$I,$B74,Melee!$M:$M,"L"))</f>
        <v>2 - 3</v>
      </c>
    </row>
    <row r="75">
      <c r="A75" s="509">
        <v>73.0</v>
      </c>
      <c r="B75" s="510" t="str">
        <f t="array" ref="B75">INDEX(Melee!I:I,MODE(IF((Melee!I:I&lt;&gt;"")*ISNA(MATCH(Melee!I:I,$B$2:$B74,0)),MATCH(Melee!I:I,Melee!I:I,0))))</f>
        <v>Russell</v>
      </c>
      <c r="C75" s="511">
        <f>COUNTIFS(Melee!$I:$I,B75,Melee!$L:$L,"W")/(COUNTIFS(Melee!$I:$I,$B75,Melee!$L:$L,"W")+COUNTIFS(Melee!$I:$I,$B75,Melee!$L:$L,"L"))</f>
        <v>0.25</v>
      </c>
      <c r="D75" s="512">
        <f>sum(COUNTIFS(Melee!$I:$I,$B75,Melee!$L:$L,"W"),COUNTIFS(Melee!$I:$I,$B75,Melee!$L:$L,"L"))</f>
        <v>12</v>
      </c>
      <c r="E75" s="513" t="str">
        <f>concatenate(COUNTIFS(Melee!$I:$I,$B75,Melee!$L:$L,"W")," - ",COUNTIFS(Melee!$I:$I,$B75,Melee!$L:$L,"L"))</f>
        <v>3 - 9</v>
      </c>
      <c r="F75" s="514">
        <f>COUNTIFS(Melee!$I:$I,B75,Melee!$M:$M,"W")/(COUNTIFS(Melee!$I:$I,$B75,Melee!$M:$M,"W")+COUNTIFS(Melee!$I:$I,$B75,Melee!$M:$M,"L"))</f>
        <v>0.2</v>
      </c>
      <c r="G75" s="512">
        <f>sum(COUNTIFS(Melee!$I:$I,$B75,Melee!$M:$M,"W"),COUNTIFS(Melee!$I:$I,$B75,Melee!$M:$M,"L"))</f>
        <v>5</v>
      </c>
      <c r="H75" s="515" t="str">
        <f>concatenate(COUNTIFS(Melee!$I:$I,$B75,Melee!$M:$M,"W")," - ",COUNTIFS(Melee!$I:$I,$B75,Melee!$M:$M,"L"))</f>
        <v>1 - 4</v>
      </c>
    </row>
    <row r="76">
      <c r="A76" s="509">
        <v>74.0</v>
      </c>
      <c r="B76" s="510" t="str">
        <f t="array" ref="B76">INDEX(Melee!I:I,MODE(IF((Melee!I:I&lt;&gt;"")*ISNA(MATCH(Melee!I:I,$B$2:$B75,0)),MATCH(Melee!I:I,Melee!I:I,0))))</f>
        <v>Quang</v>
      </c>
      <c r="C76" s="511">
        <f>COUNTIFS(Melee!$I:$I,B76,Melee!$L:$L,"W")/(COUNTIFS(Melee!$I:$I,$B76,Melee!$L:$L,"W")+COUNTIFS(Melee!$I:$I,$B76,Melee!$L:$L,"L"))</f>
        <v>0.25</v>
      </c>
      <c r="D76" s="512">
        <f>sum(COUNTIFS(Melee!$I:$I,$B76,Melee!$L:$L,"W"),COUNTIFS(Melee!$I:$I,$B76,Melee!$L:$L,"L"))</f>
        <v>12</v>
      </c>
      <c r="E76" s="513" t="str">
        <f>concatenate(COUNTIFS(Melee!$I:$I,$B76,Melee!$L:$L,"W")," - ",COUNTIFS(Melee!$I:$I,$B76,Melee!$L:$L,"L"))</f>
        <v>3 - 9</v>
      </c>
      <c r="F76" s="514">
        <f>COUNTIFS(Melee!$I:$I,B76,Melee!$M:$M,"W")/(COUNTIFS(Melee!$I:$I,$B76,Melee!$M:$M,"W")+COUNTIFS(Melee!$I:$I,$B76,Melee!$M:$M,"L"))</f>
        <v>0</v>
      </c>
      <c r="G76" s="512">
        <f>sum(COUNTIFS(Melee!$I:$I,$B76,Melee!$M:$M,"W"),COUNTIFS(Melee!$I:$I,$B76,Melee!$M:$M,"L"))</f>
        <v>4</v>
      </c>
      <c r="H76" s="515" t="str">
        <f>concatenate(COUNTIFS(Melee!$I:$I,$B76,Melee!$M:$M,"W")," - ",COUNTIFS(Melee!$I:$I,$B76,Melee!$M:$M,"L"))</f>
        <v>0 - 4</v>
      </c>
    </row>
    <row r="77">
      <c r="A77" s="509">
        <v>75.0</v>
      </c>
      <c r="B77" s="510" t="str">
        <f t="array" ref="B77">INDEX(Melee!I:I,MODE(IF((Melee!I:I&lt;&gt;"")*ISNA(MATCH(Melee!I:I,$B$2:$B76,0)),MATCH(Melee!I:I,Melee!I:I,0))))</f>
        <v>Jubei</v>
      </c>
      <c r="C77" s="511">
        <f>COUNTIFS(Melee!$I:$I,B77,Melee!$L:$L,"W")/(COUNTIFS(Melee!$I:$I,$B77,Melee!$L:$L,"W")+COUNTIFS(Melee!$I:$I,$B77,Melee!$L:$L,"L"))</f>
        <v>0.5833333333</v>
      </c>
      <c r="D77" s="512">
        <f>sum(COUNTIFS(Melee!$I:$I,$B77,Melee!$L:$L,"W"),COUNTIFS(Melee!$I:$I,$B77,Melee!$L:$L,"L"))</f>
        <v>12</v>
      </c>
      <c r="E77" s="513" t="str">
        <f>concatenate(COUNTIFS(Melee!$I:$I,$B77,Melee!$L:$L,"W")," - ",COUNTIFS(Melee!$I:$I,$B77,Melee!$L:$L,"L"))</f>
        <v>7 - 5</v>
      </c>
      <c r="F77" s="514">
        <f>COUNTIFS(Melee!$I:$I,B77,Melee!$M:$M,"W")/(COUNTIFS(Melee!$I:$I,$B77,Melee!$M:$M,"W")+COUNTIFS(Melee!$I:$I,$B77,Melee!$M:$M,"L"))</f>
        <v>0.75</v>
      </c>
      <c r="G77" s="512">
        <f>sum(COUNTIFS(Melee!$I:$I,$B77,Melee!$M:$M,"W"),COUNTIFS(Melee!$I:$I,$B77,Melee!$M:$M,"L"))</f>
        <v>4</v>
      </c>
      <c r="H77" s="515" t="str">
        <f>concatenate(COUNTIFS(Melee!$I:$I,$B77,Melee!$M:$M,"W")," - ",COUNTIFS(Melee!$I:$I,$B77,Melee!$M:$M,"L"))</f>
        <v>3 - 1</v>
      </c>
    </row>
    <row r="78">
      <c r="A78" s="509">
        <v>76.0</v>
      </c>
      <c r="B78" s="510" t="str">
        <f t="array" ref="B78">INDEX(Melee!I:I,MODE(IF((Melee!I:I&lt;&gt;"")*ISNA(MATCH(Melee!I:I,$B$2:$B77,0)),MATCH(Melee!I:I,Melee!I:I,0))))</f>
        <v>Albino</v>
      </c>
      <c r="C78" s="511">
        <f>COUNTIFS(Melee!$I:$I,B78,Melee!$L:$L,"W")/(COUNTIFS(Melee!$I:$I,$B78,Melee!$L:$L,"W")+COUNTIFS(Melee!$I:$I,$B78,Melee!$L:$L,"L"))</f>
        <v>0.9166666667</v>
      </c>
      <c r="D78" s="512">
        <f>sum(COUNTIFS(Melee!$I:$I,$B78,Melee!$L:$L,"W"),COUNTIFS(Melee!$I:$I,$B78,Melee!$L:$L,"L"))</f>
        <v>12</v>
      </c>
      <c r="E78" s="513" t="str">
        <f>concatenate(COUNTIFS(Melee!$I:$I,$B78,Melee!$L:$L,"W")," - ",COUNTIFS(Melee!$I:$I,$B78,Melee!$L:$L,"L"))</f>
        <v>11 - 1</v>
      </c>
      <c r="F78" s="514">
        <f>COUNTIFS(Melee!$I:$I,B78,Melee!$M:$M,"W")/(COUNTIFS(Melee!$I:$I,$B78,Melee!$M:$M,"W")+COUNTIFS(Melee!$I:$I,$B78,Melee!$M:$M,"L"))</f>
        <v>1</v>
      </c>
      <c r="G78" s="512">
        <f>sum(COUNTIFS(Melee!$I:$I,$B78,Melee!$M:$M,"W"),COUNTIFS(Melee!$I:$I,$B78,Melee!$M:$M,"L"))</f>
        <v>5</v>
      </c>
      <c r="H78" s="515" t="str">
        <f>concatenate(COUNTIFS(Melee!$I:$I,$B78,Melee!$M:$M,"W")," - ",COUNTIFS(Melee!$I:$I,$B78,Melee!$M:$M,"L"))</f>
        <v>5 - 0</v>
      </c>
    </row>
    <row r="79">
      <c r="A79" s="509">
        <v>77.0</v>
      </c>
      <c r="B79" s="510">
        <f t="array" ref="B79">INDEX(Melee!I:I,MODE(IF((Melee!I:I&lt;&gt;"")*ISNA(MATCH(Melee!I:I,$B$2:$B78,0)),MATCH(Melee!I:I,Melee!I:I,0))))</f>
        <v>248</v>
      </c>
      <c r="C79" s="511">
        <f>COUNTIFS(Melee!$I:$I,B79,Melee!$L:$L,"W")/(COUNTIFS(Melee!$I:$I,$B79,Melee!$L:$L,"W")+COUNTIFS(Melee!$I:$I,$B79,Melee!$L:$L,"L"))</f>
        <v>0.6470588235</v>
      </c>
      <c r="D79" s="512">
        <f>sum(COUNTIFS(Melee!$I:$I,$B79,Melee!$L:$L,"W"),COUNTIFS(Melee!$I:$I,$B79,Melee!$L:$L,"L"))</f>
        <v>17</v>
      </c>
      <c r="E79" s="513" t="str">
        <f>concatenate(COUNTIFS(Melee!$I:$I,$B79,Melee!$L:$L,"W")," - ",COUNTIFS(Melee!$I:$I,$B79,Melee!$L:$L,"L"))</f>
        <v>11 - 6</v>
      </c>
      <c r="F79" s="514">
        <f>COUNTIFS(Melee!$I:$I,B79,Melee!$M:$M,"W")/(COUNTIFS(Melee!$I:$I,$B79,Melee!$M:$M,"W")+COUNTIFS(Melee!$I:$I,$B79,Melee!$M:$M,"L"))</f>
        <v>0.7142857143</v>
      </c>
      <c r="G79" s="512">
        <f>sum(COUNTIFS(Melee!$I:$I,$B79,Melee!$M:$M,"W"),COUNTIFS(Melee!$I:$I,$B79,Melee!$M:$M,"L"))</f>
        <v>7</v>
      </c>
      <c r="H79" s="515" t="str">
        <f>concatenate(COUNTIFS(Melee!$I:$I,$B79,Melee!$M:$M,"W")," - ",COUNTIFS(Melee!$I:$I,$B79,Melee!$M:$M,"L"))</f>
        <v>5 - 2</v>
      </c>
    </row>
    <row r="80">
      <c r="A80" s="509">
        <v>78.0</v>
      </c>
      <c r="B80" s="510" t="str">
        <f t="array" ref="B80">INDEX(Melee!I:I,MODE(IF((Melee!I:I&lt;&gt;"")*ISNA(MATCH(Melee!I:I,$B$2:$B79,0)),MATCH(Melee!I:I,Melee!I:I,0))))</f>
        <v>Mirrorman</v>
      </c>
      <c r="C80" s="511">
        <f>COUNTIFS(Melee!$I:$I,B80,Melee!$L:$L,"W")/(COUNTIFS(Melee!$I:$I,$B80,Melee!$L:$L,"W")+COUNTIFS(Melee!$I:$I,$B80,Melee!$L:$L,"L"))</f>
        <v>0.75</v>
      </c>
      <c r="D80" s="512">
        <f>sum(COUNTIFS(Melee!$I:$I,$B80,Melee!$L:$L,"W"),COUNTIFS(Melee!$I:$I,$B80,Melee!$L:$L,"L"))</f>
        <v>12</v>
      </c>
      <c r="E80" s="513" t="str">
        <f>concatenate(COUNTIFS(Melee!$I:$I,$B80,Melee!$L:$L,"W")," - ",COUNTIFS(Melee!$I:$I,$B80,Melee!$L:$L,"L"))</f>
        <v>9 - 3</v>
      </c>
      <c r="F80" s="514">
        <f>COUNTIFS(Melee!$I:$I,B80,Melee!$M:$M,"W")/(COUNTIFS(Melee!$I:$I,$B80,Melee!$M:$M,"W")+COUNTIFS(Melee!$I:$I,$B80,Melee!$M:$M,"L"))</f>
        <v>1</v>
      </c>
      <c r="G80" s="512">
        <f>sum(COUNTIFS(Melee!$I:$I,$B80,Melee!$M:$M,"W"),COUNTIFS(Melee!$I:$I,$B80,Melee!$M:$M,"L"))</f>
        <v>4</v>
      </c>
      <c r="H80" s="515" t="str">
        <f>concatenate(COUNTIFS(Melee!$I:$I,$B80,Melee!$M:$M,"W")," - ",COUNTIFS(Melee!$I:$I,$B80,Melee!$M:$M,"L"))</f>
        <v>4 - 0</v>
      </c>
    </row>
    <row r="81">
      <c r="A81" s="509">
        <v>79.0</v>
      </c>
      <c r="B81" s="510" t="str">
        <f t="array" ref="B81">INDEX(Melee!I:I,MODE(IF((Melee!I:I&lt;&gt;"")*ISNA(MATCH(Melee!I:I,$B$2:$B80,0)),MATCH(Melee!I:I,Melee!I:I,0))))</f>
        <v>Machomansam</v>
      </c>
      <c r="C81" s="511">
        <f>COUNTIFS(Melee!$I:$I,B81,Melee!$L:$L,"W")/(COUNTIFS(Melee!$I:$I,$B81,Melee!$L:$L,"W")+COUNTIFS(Melee!$I:$I,$B81,Melee!$L:$L,"L"))</f>
        <v>0.8333333333</v>
      </c>
      <c r="D81" s="512">
        <f>sum(COUNTIFS(Melee!$I:$I,$B81,Melee!$L:$L,"W"),COUNTIFS(Melee!$I:$I,$B81,Melee!$L:$L,"L"))</f>
        <v>12</v>
      </c>
      <c r="E81" s="513" t="str">
        <f>concatenate(COUNTIFS(Melee!$I:$I,$B81,Melee!$L:$L,"W")," - ",COUNTIFS(Melee!$I:$I,$B81,Melee!$L:$L,"L"))</f>
        <v>10 - 2</v>
      </c>
      <c r="F81" s="514">
        <f>COUNTIFS(Melee!$I:$I,B81,Melee!$M:$M,"W")/(COUNTIFS(Melee!$I:$I,$B81,Melee!$M:$M,"W")+COUNTIFS(Melee!$I:$I,$B81,Melee!$M:$M,"L"))</f>
        <v>1</v>
      </c>
      <c r="G81" s="512">
        <f>sum(COUNTIFS(Melee!$I:$I,$B81,Melee!$M:$M,"W"),COUNTIFS(Melee!$I:$I,$B81,Melee!$M:$M,"L"))</f>
        <v>5</v>
      </c>
      <c r="H81" s="515" t="str">
        <f>concatenate(COUNTIFS(Melee!$I:$I,$B81,Melee!$M:$M,"W")," - ",COUNTIFS(Melee!$I:$I,$B81,Melee!$M:$M,"L"))</f>
        <v>5 - 0</v>
      </c>
    </row>
    <row r="82">
      <c r="A82" s="509">
        <v>80.0</v>
      </c>
      <c r="B82" s="510" t="str">
        <f t="array" ref="B82">INDEX(Melee!I:I,MODE(IF((Melee!I:I&lt;&gt;"")*ISNA(MATCH(Melee!I:I,$B$2:$B81,0)),MATCH(Melee!I:I,Melee!I:I,0))))</f>
        <v>Sorry</v>
      </c>
      <c r="C82" s="511">
        <f>COUNTIFS(Melee!$I:$I,B82,Melee!$L:$L,"W")/(COUNTIFS(Melee!$I:$I,$B82,Melee!$L:$L,"W")+COUNTIFS(Melee!$I:$I,$B82,Melee!$L:$L,"L"))</f>
        <v>0.75</v>
      </c>
      <c r="D82" s="512">
        <f>sum(COUNTIFS(Melee!$I:$I,$B82,Melee!$L:$L,"W"),COUNTIFS(Melee!$I:$I,$B82,Melee!$L:$L,"L"))</f>
        <v>12</v>
      </c>
      <c r="E82" s="513" t="str">
        <f>concatenate(COUNTIFS(Melee!$I:$I,$B82,Melee!$L:$L,"W")," - ",COUNTIFS(Melee!$I:$I,$B82,Melee!$L:$L,"L"))</f>
        <v>9 - 3</v>
      </c>
      <c r="F82" s="514">
        <f>COUNTIFS(Melee!$I:$I,B82,Melee!$M:$M,"W")/(COUNTIFS(Melee!$I:$I,$B82,Melee!$M:$M,"W")+COUNTIFS(Melee!$I:$I,$B82,Melee!$M:$M,"L"))</f>
        <v>1</v>
      </c>
      <c r="G82" s="512">
        <f>sum(COUNTIFS(Melee!$I:$I,$B82,Melee!$M:$M,"W"),COUNTIFS(Melee!$I:$I,$B82,Melee!$M:$M,"L"))</f>
        <v>4</v>
      </c>
      <c r="H82" s="515" t="str">
        <f>concatenate(COUNTIFS(Melee!$I:$I,$B82,Melee!$M:$M,"W")," - ",COUNTIFS(Melee!$I:$I,$B82,Melee!$M:$M,"L"))</f>
        <v>4 - 0</v>
      </c>
    </row>
    <row r="83">
      <c r="A83" s="509">
        <v>81.0</v>
      </c>
      <c r="B83" s="510" t="str">
        <f t="array" ref="B83">INDEX(Melee!I:I,MODE(IF((Melee!I:I&lt;&gt;"")*ISNA(MATCH(Melee!I:I,$B$2:$B82,0)),MATCH(Melee!I:I,Melee!I:I,0))))</f>
        <v>Paulo</v>
      </c>
      <c r="C83" s="511">
        <f>COUNTIFS(Melee!$I:$I,B83,Melee!$L:$L,"W")/(COUNTIFS(Melee!$I:$I,$B83,Melee!$L:$L,"W")+COUNTIFS(Melee!$I:$I,$B83,Melee!$L:$L,"L"))</f>
        <v>0.5833333333</v>
      </c>
      <c r="D83" s="512">
        <f>sum(COUNTIFS(Melee!$I:$I,$B83,Melee!$L:$L,"W"),COUNTIFS(Melee!$I:$I,$B83,Melee!$L:$L,"L"))</f>
        <v>12</v>
      </c>
      <c r="E83" s="513" t="str">
        <f>concatenate(COUNTIFS(Melee!$I:$I,$B83,Melee!$L:$L,"W")," - ",COUNTIFS(Melee!$I:$I,$B83,Melee!$L:$L,"L"))</f>
        <v>7 - 5</v>
      </c>
      <c r="F83" s="514">
        <f>COUNTIFS(Melee!$I:$I,B83,Melee!$M:$M,"W")/(COUNTIFS(Melee!$I:$I,$B83,Melee!$M:$M,"W")+COUNTIFS(Melee!$I:$I,$B83,Melee!$M:$M,"L"))</f>
        <v>0.6</v>
      </c>
      <c r="G83" s="512">
        <f>sum(COUNTIFS(Melee!$I:$I,$B83,Melee!$M:$M,"W"),COUNTIFS(Melee!$I:$I,$B83,Melee!$M:$M,"L"))</f>
        <v>5</v>
      </c>
      <c r="H83" s="515" t="str">
        <f>concatenate(COUNTIFS(Melee!$I:$I,$B83,Melee!$M:$M,"W")," - ",COUNTIFS(Melee!$I:$I,$B83,Melee!$M:$M,"L"))</f>
        <v>3 - 2</v>
      </c>
    </row>
    <row r="84">
      <c r="A84" s="509">
        <v>82.0</v>
      </c>
      <c r="B84" s="510" t="str">
        <f t="array" ref="B84">INDEX(Melee!I:I,MODE(IF((Melee!I:I&lt;&gt;"")*ISNA(MATCH(Melee!I:I,$B$2:$B83,0)),MATCH(Melee!I:I,Melee!I:I,0))))</f>
        <v>Starlight</v>
      </c>
      <c r="C84" s="511">
        <f>COUNTIFS(Melee!$I:$I,B84,Melee!$L:$L,"W")/(COUNTIFS(Melee!$I:$I,$B84,Melee!$L:$L,"W")+COUNTIFS(Melee!$I:$I,$B84,Melee!$L:$L,"L"))</f>
        <v>0.2727272727</v>
      </c>
      <c r="D84" s="512">
        <f>sum(COUNTIFS(Melee!$I:$I,$B84,Melee!$L:$L,"W"),COUNTIFS(Melee!$I:$I,$B84,Melee!$L:$L,"L"))</f>
        <v>11</v>
      </c>
      <c r="E84" s="513" t="str">
        <f>concatenate(COUNTIFS(Melee!$I:$I,$B84,Melee!$L:$L,"W")," - ",COUNTIFS(Melee!$I:$I,$B84,Melee!$L:$L,"L"))</f>
        <v>3 - 8</v>
      </c>
      <c r="F84" s="514">
        <f>COUNTIFS(Melee!$I:$I,B84,Melee!$M:$M,"W")/(COUNTIFS(Melee!$I:$I,$B84,Melee!$M:$M,"W")+COUNTIFS(Melee!$I:$I,$B84,Melee!$M:$M,"L"))</f>
        <v>0.25</v>
      </c>
      <c r="G84" s="512">
        <f>sum(COUNTIFS(Melee!$I:$I,$B84,Melee!$M:$M,"W"),COUNTIFS(Melee!$I:$I,$B84,Melee!$M:$M,"L"))</f>
        <v>4</v>
      </c>
      <c r="H84" s="515" t="str">
        <f>concatenate(COUNTIFS(Melee!$I:$I,$B84,Melee!$M:$M,"W")," - ",COUNTIFS(Melee!$I:$I,$B84,Melee!$M:$M,"L"))</f>
        <v>1 - 3</v>
      </c>
    </row>
    <row r="85">
      <c r="A85" s="509">
        <v>83.0</v>
      </c>
      <c r="B85" s="510" t="str">
        <f t="array" ref="B85">INDEX(Melee!I:I,MODE(IF((Melee!I:I&lt;&gt;"")*ISNA(MATCH(Melee!I:I,$B$2:$B84,0)),MATCH(Melee!I:I,Melee!I:I,0))))</f>
        <v>Led Free</v>
      </c>
      <c r="C85" s="511">
        <f>COUNTIFS(Melee!$I:$I,B85,Melee!$L:$L,"W")/(COUNTIFS(Melee!$I:$I,$B85,Melee!$L:$L,"W")+COUNTIFS(Melee!$I:$I,$B85,Melee!$L:$L,"L"))</f>
        <v>0.5454545455</v>
      </c>
      <c r="D85" s="512">
        <f>sum(COUNTIFS(Melee!$I:$I,$B85,Melee!$L:$L,"W"),COUNTIFS(Melee!$I:$I,$B85,Melee!$L:$L,"L"))</f>
        <v>11</v>
      </c>
      <c r="E85" s="513" t="str">
        <f>concatenate(COUNTIFS(Melee!$I:$I,$B85,Melee!$L:$L,"W")," - ",COUNTIFS(Melee!$I:$I,$B85,Melee!$L:$L,"L"))</f>
        <v>6 - 5</v>
      </c>
      <c r="F85" s="514">
        <f>COUNTIFS(Melee!$I:$I,B85,Melee!$M:$M,"W")/(COUNTIFS(Melee!$I:$I,$B85,Melee!$M:$M,"W")+COUNTIFS(Melee!$I:$I,$B85,Melee!$M:$M,"L"))</f>
        <v>0.6</v>
      </c>
      <c r="G85" s="512">
        <f>sum(COUNTIFS(Melee!$I:$I,$B85,Melee!$M:$M,"W"),COUNTIFS(Melee!$I:$I,$B85,Melee!$M:$M,"L"))</f>
        <v>5</v>
      </c>
      <c r="H85" s="515" t="str">
        <f>concatenate(COUNTIFS(Melee!$I:$I,$B85,Melee!$M:$M,"W")," - ",COUNTIFS(Melee!$I:$I,$B85,Melee!$M:$M,"L"))</f>
        <v>3 - 2</v>
      </c>
    </row>
    <row r="86">
      <c r="A86" s="509">
        <v>84.0</v>
      </c>
      <c r="B86" s="510" t="str">
        <f t="array" ref="B86">INDEX(Melee!I:I,MODE(IF((Melee!I:I&lt;&gt;"")*ISNA(MATCH(Melee!I:I,$B$2:$B85,0)),MATCH(Melee!I:I,Melee!I:I,0))))</f>
        <v>Bakinshake</v>
      </c>
      <c r="C86" s="511">
        <f>COUNTIFS(Melee!$I:$I,B86,Melee!$L:$L,"W")/(COUNTIFS(Melee!$I:$I,$B86,Melee!$L:$L,"W")+COUNTIFS(Melee!$I:$I,$B86,Melee!$L:$L,"L"))</f>
        <v>0.9090909091</v>
      </c>
      <c r="D86" s="512">
        <f>sum(COUNTIFS(Melee!$I:$I,$B86,Melee!$L:$L,"W"),COUNTIFS(Melee!$I:$I,$B86,Melee!$L:$L,"L"))</f>
        <v>11</v>
      </c>
      <c r="E86" s="513" t="str">
        <f>concatenate(COUNTIFS(Melee!$I:$I,$B86,Melee!$L:$L,"W")," - ",COUNTIFS(Melee!$I:$I,$B86,Melee!$L:$L,"L"))</f>
        <v>10 - 1</v>
      </c>
      <c r="F86" s="514">
        <f>COUNTIFS(Melee!$I:$I,B86,Melee!$M:$M,"W")/(COUNTIFS(Melee!$I:$I,$B86,Melee!$M:$M,"W")+COUNTIFS(Melee!$I:$I,$B86,Melee!$M:$M,"L"))</f>
        <v>1</v>
      </c>
      <c r="G86" s="512">
        <f>sum(COUNTIFS(Melee!$I:$I,$B86,Melee!$M:$M,"W"),COUNTIFS(Melee!$I:$I,$B86,Melee!$M:$M,"L"))</f>
        <v>5</v>
      </c>
      <c r="H86" s="515" t="str">
        <f>concatenate(COUNTIFS(Melee!$I:$I,$B86,Melee!$M:$M,"W")," - ",COUNTIFS(Melee!$I:$I,$B86,Melee!$M:$M,"L"))</f>
        <v>5 - 0</v>
      </c>
    </row>
    <row r="87">
      <c r="A87" s="509">
        <v>85.0</v>
      </c>
      <c r="B87" s="510" t="str">
        <f t="array" ref="B87">INDEX(Melee!I:I,MODE(IF((Melee!I:I&lt;&gt;"")*ISNA(MATCH(Melee!I:I,$B$2:$B86,0)),MATCH(Melee!I:I,Melee!I:I,0))))</f>
        <v>JoeBigs</v>
      </c>
      <c r="C87" s="511">
        <f>COUNTIFS(Melee!$I:$I,B87,Melee!$L:$L,"W")/(COUNTIFS(Melee!$I:$I,$B87,Melee!$L:$L,"W")+COUNTIFS(Melee!$I:$I,$B87,Melee!$L:$L,"L"))</f>
        <v>0.9090909091</v>
      </c>
      <c r="D87" s="512">
        <f>sum(COUNTIFS(Melee!$I:$I,$B87,Melee!$L:$L,"W"),COUNTIFS(Melee!$I:$I,$B87,Melee!$L:$L,"L"))</f>
        <v>11</v>
      </c>
      <c r="E87" s="513" t="str">
        <f>concatenate(COUNTIFS(Melee!$I:$I,$B87,Melee!$L:$L,"W")," - ",COUNTIFS(Melee!$I:$I,$B87,Melee!$L:$L,"L"))</f>
        <v>10 - 1</v>
      </c>
      <c r="F87" s="514">
        <f>COUNTIFS(Melee!$I:$I,B87,Melee!$M:$M,"W")/(COUNTIFS(Melee!$I:$I,$B87,Melee!$M:$M,"W")+COUNTIFS(Melee!$I:$I,$B87,Melee!$M:$M,"L"))</f>
        <v>1</v>
      </c>
      <c r="G87" s="512">
        <f>sum(COUNTIFS(Melee!$I:$I,$B87,Melee!$M:$M,"W"),COUNTIFS(Melee!$I:$I,$B87,Melee!$M:$M,"L"))</f>
        <v>5</v>
      </c>
      <c r="H87" s="515" t="str">
        <f>concatenate(COUNTIFS(Melee!$I:$I,$B87,Melee!$M:$M,"W")," - ",COUNTIFS(Melee!$I:$I,$B87,Melee!$M:$M,"L"))</f>
        <v>5 - 0</v>
      </c>
    </row>
    <row r="88">
      <c r="A88" s="509">
        <v>86.0</v>
      </c>
      <c r="B88" s="510" t="str">
        <f t="array" ref="B88">INDEX(Melee!I:I,MODE(IF((Melee!I:I&lt;&gt;"")*ISNA(MATCH(Melee!I:I,$B$2:$B87,0)),MATCH(Melee!I:I,Melee!I:I,0))))</f>
        <v>Morsecode</v>
      </c>
      <c r="C88" s="511">
        <f>COUNTIFS(Melee!$I:$I,B88,Melee!$L:$L,"W")/(COUNTIFS(Melee!$I:$I,$B88,Melee!$L:$L,"W")+COUNTIFS(Melee!$I:$I,$B88,Melee!$L:$L,"L"))</f>
        <v>0</v>
      </c>
      <c r="D88" s="512">
        <f>sum(COUNTIFS(Melee!$I:$I,$B88,Melee!$L:$L,"W"),COUNTIFS(Melee!$I:$I,$B88,Melee!$L:$L,"L"))</f>
        <v>11</v>
      </c>
      <c r="E88" s="513" t="str">
        <f>concatenate(COUNTIFS(Melee!$I:$I,$B88,Melee!$L:$L,"W")," - ",COUNTIFS(Melee!$I:$I,$B88,Melee!$L:$L,"L"))</f>
        <v>0 - 11</v>
      </c>
      <c r="F88" s="514">
        <f>COUNTIFS(Melee!$I:$I,B88,Melee!$M:$M,"W")/(COUNTIFS(Melee!$I:$I,$B88,Melee!$M:$M,"W")+COUNTIFS(Melee!$I:$I,$B88,Melee!$M:$M,"L"))</f>
        <v>0</v>
      </c>
      <c r="G88" s="512">
        <f>sum(COUNTIFS(Melee!$I:$I,$B88,Melee!$M:$M,"W"),COUNTIFS(Melee!$I:$I,$B88,Melee!$M:$M,"L"))</f>
        <v>5</v>
      </c>
      <c r="H88" s="515" t="str">
        <f>concatenate(COUNTIFS(Melee!$I:$I,$B88,Melee!$M:$M,"W")," - ",COUNTIFS(Melee!$I:$I,$B88,Melee!$M:$M,"L"))</f>
        <v>0 - 5</v>
      </c>
    </row>
    <row r="89">
      <c r="A89" s="509">
        <v>87.0</v>
      </c>
      <c r="B89" s="510" t="str">
        <f t="array" ref="B89">INDEX(Melee!I:I,MODE(IF((Melee!I:I&lt;&gt;"")*ISNA(MATCH(Melee!I:I,$B$2:$B88,0)),MATCH(Melee!I:I,Melee!I:I,0))))</f>
        <v>Mufasa</v>
      </c>
      <c r="C89" s="511">
        <f>COUNTIFS(Melee!$I:$I,B89,Melee!$L:$L,"W")/(COUNTIFS(Melee!$I:$I,$B89,Melee!$L:$L,"W")+COUNTIFS(Melee!$I:$I,$B89,Melee!$L:$L,"L"))</f>
        <v>1</v>
      </c>
      <c r="D89" s="512">
        <f>sum(COUNTIFS(Melee!$I:$I,$B89,Melee!$L:$L,"W"),COUNTIFS(Melee!$I:$I,$B89,Melee!$L:$L,"L"))</f>
        <v>11</v>
      </c>
      <c r="E89" s="513" t="str">
        <f>concatenate(COUNTIFS(Melee!$I:$I,$B89,Melee!$L:$L,"W")," - ",COUNTIFS(Melee!$I:$I,$B89,Melee!$L:$L,"L"))</f>
        <v>11 - 0</v>
      </c>
      <c r="F89" s="514">
        <f>COUNTIFS(Melee!$I:$I,B89,Melee!$M:$M,"W")/(COUNTIFS(Melee!$I:$I,$B89,Melee!$M:$M,"W")+COUNTIFS(Melee!$I:$I,$B89,Melee!$M:$M,"L"))</f>
        <v>1</v>
      </c>
      <c r="G89" s="512">
        <f>sum(COUNTIFS(Melee!$I:$I,$B89,Melee!$M:$M,"W"),COUNTIFS(Melee!$I:$I,$B89,Melee!$M:$M,"L"))</f>
        <v>5</v>
      </c>
      <c r="H89" s="515" t="str">
        <f>concatenate(COUNTIFS(Melee!$I:$I,$B89,Melee!$M:$M,"W")," - ",COUNTIFS(Melee!$I:$I,$B89,Melee!$M:$M,"L"))</f>
        <v>5 - 0</v>
      </c>
    </row>
    <row r="90">
      <c r="A90" s="509">
        <v>88.0</v>
      </c>
      <c r="B90" s="510" t="str">
        <f t="array" ref="B90">INDEX(Melee!I:I,MODE(IF((Melee!I:I&lt;&gt;"")*ISNA(MATCH(Melee!I:I,$B$2:$B89,0)),MATCH(Melee!I:I,Melee!I:I,0))))</f>
        <v>Gorx</v>
      </c>
      <c r="C90" s="511">
        <f>COUNTIFS(Melee!$I:$I,B90,Melee!$L:$L,"W")/(COUNTIFS(Melee!$I:$I,$B90,Melee!$L:$L,"W")+COUNTIFS(Melee!$I:$I,$B90,Melee!$L:$L,"L"))</f>
        <v>0.9090909091</v>
      </c>
      <c r="D90" s="512">
        <f>sum(COUNTIFS(Melee!$I:$I,$B90,Melee!$L:$L,"W"),COUNTIFS(Melee!$I:$I,$B90,Melee!$L:$L,"L"))</f>
        <v>11</v>
      </c>
      <c r="E90" s="513" t="str">
        <f>concatenate(COUNTIFS(Melee!$I:$I,$B90,Melee!$L:$L,"W")," - ",COUNTIFS(Melee!$I:$I,$B90,Melee!$L:$L,"L"))</f>
        <v>10 - 1</v>
      </c>
      <c r="F90" s="514">
        <f>COUNTIFS(Melee!$I:$I,B90,Melee!$M:$M,"W")/(COUNTIFS(Melee!$I:$I,$B90,Melee!$M:$M,"W")+COUNTIFS(Melee!$I:$I,$B90,Melee!$M:$M,"L"))</f>
        <v>1</v>
      </c>
      <c r="G90" s="512">
        <f>sum(COUNTIFS(Melee!$I:$I,$B90,Melee!$M:$M,"W"),COUNTIFS(Melee!$I:$I,$B90,Melee!$M:$M,"L"))</f>
        <v>5</v>
      </c>
      <c r="H90" s="515" t="str">
        <f>concatenate(COUNTIFS(Melee!$I:$I,$B90,Melee!$M:$M,"W")," - ",COUNTIFS(Melee!$I:$I,$B90,Melee!$M:$M,"L"))</f>
        <v>5 - 0</v>
      </c>
    </row>
    <row r="91">
      <c r="A91" s="509">
        <v>89.0</v>
      </c>
      <c r="B91" s="510" t="str">
        <f t="array" ref="B91">INDEX(Melee!I:I,MODE(IF((Melee!I:I&lt;&gt;"")*ISNA(MATCH(Melee!I:I,$B$2:$B90,0)),MATCH(Melee!I:I,Melee!I:I,0))))</f>
        <v>Tubby</v>
      </c>
      <c r="C91" s="511">
        <f>COUNTIFS(Melee!$I:$I,B91,Melee!$L:$L,"W")/(COUNTIFS(Melee!$I:$I,$B91,Melee!$L:$L,"W")+COUNTIFS(Melee!$I:$I,$B91,Melee!$L:$L,"L"))</f>
        <v>1</v>
      </c>
      <c r="D91" s="512">
        <f>sum(COUNTIFS(Melee!$I:$I,$B91,Melee!$L:$L,"W"),COUNTIFS(Melee!$I:$I,$B91,Melee!$L:$L,"L"))</f>
        <v>11</v>
      </c>
      <c r="E91" s="513" t="str">
        <f>concatenate(COUNTIFS(Melee!$I:$I,$B91,Melee!$L:$L,"W")," - ",COUNTIFS(Melee!$I:$I,$B91,Melee!$L:$L,"L"))</f>
        <v>11 - 0</v>
      </c>
      <c r="F91" s="514">
        <f>COUNTIFS(Melee!$I:$I,B91,Melee!$M:$M,"W")/(COUNTIFS(Melee!$I:$I,$B91,Melee!$M:$M,"W")+COUNTIFS(Melee!$I:$I,$B91,Melee!$M:$M,"L"))</f>
        <v>1</v>
      </c>
      <c r="G91" s="512">
        <f>sum(COUNTIFS(Melee!$I:$I,$B91,Melee!$M:$M,"W"),COUNTIFS(Melee!$I:$I,$B91,Melee!$M:$M,"L"))</f>
        <v>5</v>
      </c>
      <c r="H91" s="515" t="str">
        <f>concatenate(COUNTIFS(Melee!$I:$I,$B91,Melee!$M:$M,"W")," - ",COUNTIFS(Melee!$I:$I,$B91,Melee!$M:$M,"L"))</f>
        <v>5 - 0</v>
      </c>
    </row>
    <row r="92">
      <c r="A92" s="509">
        <v>90.0</v>
      </c>
      <c r="B92" s="510" t="str">
        <f t="array" ref="B92">INDEX(Melee!I:I,MODE(IF((Melee!I:I&lt;&gt;"")*ISNA(MATCH(Melee!I:I,$B$2:$B91,0)),MATCH(Melee!I:I,Melee!I:I,0))))</f>
        <v>Xam</v>
      </c>
      <c r="C92" s="511">
        <f>COUNTIFS(Melee!$I:$I,B92,Melee!$L:$L,"W")/(COUNTIFS(Melee!$I:$I,$B92,Melee!$L:$L,"W")+COUNTIFS(Melee!$I:$I,$B92,Melee!$L:$L,"L"))</f>
        <v>0.5</v>
      </c>
      <c r="D92" s="512">
        <f>sum(COUNTIFS(Melee!$I:$I,$B92,Melee!$L:$L,"W"),COUNTIFS(Melee!$I:$I,$B92,Melee!$L:$L,"L"))</f>
        <v>10</v>
      </c>
      <c r="E92" s="513" t="str">
        <f>concatenate(COUNTIFS(Melee!$I:$I,$B92,Melee!$L:$L,"W")," - ",COUNTIFS(Melee!$I:$I,$B92,Melee!$L:$L,"L"))</f>
        <v>5 - 5</v>
      </c>
      <c r="F92" s="514">
        <f>COUNTIFS(Melee!$I:$I,B92,Melee!$M:$M,"W")/(COUNTIFS(Melee!$I:$I,$B92,Melee!$M:$M,"W")+COUNTIFS(Melee!$I:$I,$B92,Melee!$M:$M,"L"))</f>
        <v>0.5</v>
      </c>
      <c r="G92" s="512">
        <f>sum(COUNTIFS(Melee!$I:$I,$B92,Melee!$M:$M,"W"),COUNTIFS(Melee!$I:$I,$B92,Melee!$M:$M,"L"))</f>
        <v>4</v>
      </c>
      <c r="H92" s="515" t="str">
        <f>concatenate(COUNTIFS(Melee!$I:$I,$B92,Melee!$M:$M,"W")," - ",COUNTIFS(Melee!$I:$I,$B92,Melee!$M:$M,"L"))</f>
        <v>2 - 2</v>
      </c>
    </row>
    <row r="93">
      <c r="A93" s="509">
        <v>91.0</v>
      </c>
      <c r="B93" s="510" t="str">
        <f t="array" ref="B93">INDEX(Melee!I:I,MODE(IF((Melee!I:I&lt;&gt;"")*ISNA(MATCH(Melee!I:I,$B$2:$B92,0)),MATCH(Melee!I:I,Melee!I:I,0))))</f>
        <v>Luxy</v>
      </c>
      <c r="C93" s="511">
        <f>COUNTIFS(Melee!$I:$I,B93,Melee!$L:$L,"W")/(COUNTIFS(Melee!$I:$I,$B93,Melee!$L:$L,"W")+COUNTIFS(Melee!$I:$I,$B93,Melee!$L:$L,"L"))</f>
        <v>0.7</v>
      </c>
      <c r="D93" s="512">
        <f>sum(COUNTIFS(Melee!$I:$I,$B93,Melee!$L:$L,"W"),COUNTIFS(Melee!$I:$I,$B93,Melee!$L:$L,"L"))</f>
        <v>10</v>
      </c>
      <c r="E93" s="513" t="str">
        <f>concatenate(COUNTIFS(Melee!$I:$I,$B93,Melee!$L:$L,"W")," - ",COUNTIFS(Melee!$I:$I,$B93,Melee!$L:$L,"L"))</f>
        <v>7 - 3</v>
      </c>
      <c r="F93" s="514">
        <f>COUNTIFS(Melee!$I:$I,B93,Melee!$M:$M,"W")/(COUNTIFS(Melee!$I:$I,$B93,Melee!$M:$M,"W")+COUNTIFS(Melee!$I:$I,$B93,Melee!$M:$M,"L"))</f>
        <v>0.75</v>
      </c>
      <c r="G93" s="512">
        <f>sum(COUNTIFS(Melee!$I:$I,$B93,Melee!$M:$M,"W"),COUNTIFS(Melee!$I:$I,$B93,Melee!$M:$M,"L"))</f>
        <v>4</v>
      </c>
      <c r="H93" s="515" t="str">
        <f>concatenate(COUNTIFS(Melee!$I:$I,$B93,Melee!$M:$M,"W")," - ",COUNTIFS(Melee!$I:$I,$B93,Melee!$M:$M,"L"))</f>
        <v>3 - 1</v>
      </c>
    </row>
    <row r="94">
      <c r="A94" s="509">
        <v>92.0</v>
      </c>
      <c r="B94" s="510" t="str">
        <f t="array" ref="B94">INDEX(Melee!I:I,MODE(IF((Melee!I:I&lt;&gt;"")*ISNA(MATCH(Melee!I:I,$B$2:$B93,0)),MATCH(Melee!I:I,Melee!I:I,0))))</f>
        <v>Bird</v>
      </c>
      <c r="C94" s="511">
        <f>COUNTIFS(Melee!$I:$I,B94,Melee!$L:$L,"W")/(COUNTIFS(Melee!$I:$I,$B94,Melee!$L:$L,"W")+COUNTIFS(Melee!$I:$I,$B94,Melee!$L:$L,"L"))</f>
        <v>1</v>
      </c>
      <c r="D94" s="512">
        <f>sum(COUNTIFS(Melee!$I:$I,$B94,Melee!$L:$L,"W"),COUNTIFS(Melee!$I:$I,$B94,Melee!$L:$L,"L"))</f>
        <v>10</v>
      </c>
      <c r="E94" s="513" t="str">
        <f>concatenate(COUNTIFS(Melee!$I:$I,$B94,Melee!$L:$L,"W")," - ",COUNTIFS(Melee!$I:$I,$B94,Melee!$L:$L,"L"))</f>
        <v>10 - 0</v>
      </c>
      <c r="F94" s="514">
        <f>COUNTIFS(Melee!$I:$I,B94,Melee!$M:$M,"W")/(COUNTIFS(Melee!$I:$I,$B94,Melee!$M:$M,"W")+COUNTIFS(Melee!$I:$I,$B94,Melee!$M:$M,"L"))</f>
        <v>1</v>
      </c>
      <c r="G94" s="512">
        <f>sum(COUNTIFS(Melee!$I:$I,$B94,Melee!$M:$M,"W"),COUNTIFS(Melee!$I:$I,$B94,Melee!$M:$M,"L"))</f>
        <v>5</v>
      </c>
      <c r="H94" s="515" t="str">
        <f>concatenate(COUNTIFS(Melee!$I:$I,$B94,Melee!$M:$M,"W")," - ",COUNTIFS(Melee!$I:$I,$B94,Melee!$M:$M,"L"))</f>
        <v>5 - 0</v>
      </c>
    </row>
    <row r="95">
      <c r="A95" s="509">
        <v>93.0</v>
      </c>
      <c r="B95" s="510" t="str">
        <f t="array" ref="B95">INDEX(Melee!I:I,MODE(IF((Melee!I:I&lt;&gt;"")*ISNA(MATCH(Melee!I:I,$B$2:$B94,0)),MATCH(Melee!I:I,Melee!I:I,0))))</f>
        <v>Kirin</v>
      </c>
      <c r="C95" s="511">
        <f>COUNTIFS(Melee!$I:$I,B95,Melee!$L:$L,"W")/(COUNTIFS(Melee!$I:$I,$B95,Melee!$L:$L,"W")+COUNTIFS(Melee!$I:$I,$B95,Melee!$L:$L,"L"))</f>
        <v>1</v>
      </c>
      <c r="D95" s="512">
        <f>sum(COUNTIFS(Melee!$I:$I,$B95,Melee!$L:$L,"W"),COUNTIFS(Melee!$I:$I,$B95,Melee!$L:$L,"L"))</f>
        <v>10</v>
      </c>
      <c r="E95" s="513" t="str">
        <f>concatenate(COUNTIFS(Melee!$I:$I,$B95,Melee!$L:$L,"W")," - ",COUNTIFS(Melee!$I:$I,$B95,Melee!$L:$L,"L"))</f>
        <v>10 - 0</v>
      </c>
      <c r="F95" s="514">
        <f>COUNTIFS(Melee!$I:$I,B95,Melee!$M:$M,"W")/(COUNTIFS(Melee!$I:$I,$B95,Melee!$M:$M,"W")+COUNTIFS(Melee!$I:$I,$B95,Melee!$M:$M,"L"))</f>
        <v>1</v>
      </c>
      <c r="G95" s="512">
        <f>sum(COUNTIFS(Melee!$I:$I,$B95,Melee!$M:$M,"W"),COUNTIFS(Melee!$I:$I,$B95,Melee!$M:$M,"L"))</f>
        <v>5</v>
      </c>
      <c r="H95" s="515" t="str">
        <f>concatenate(COUNTIFS(Melee!$I:$I,$B95,Melee!$M:$M,"W")," - ",COUNTIFS(Melee!$I:$I,$B95,Melee!$M:$M,"L"))</f>
        <v>5 - 0</v>
      </c>
    </row>
    <row r="96">
      <c r="A96" s="509">
        <v>94.0</v>
      </c>
      <c r="B96" s="510" t="str">
        <f t="array" ref="B96">INDEX(Melee!I:I,MODE(IF((Melee!I:I&lt;&gt;"")*ISNA(MATCH(Melee!I:I,$B$2:$B95,0)),MATCH(Melee!I:I,Melee!I:I,0))))</f>
        <v>S2j</v>
      </c>
      <c r="C96" s="511">
        <f>COUNTIFS(Melee!$I:$I,B96,Melee!$L:$L,"W")/(COUNTIFS(Melee!$I:$I,$B96,Melee!$L:$L,"W")+COUNTIFS(Melee!$I:$I,$B96,Melee!$L:$L,"L"))</f>
        <v>0.2222222222</v>
      </c>
      <c r="D96" s="512">
        <f>sum(COUNTIFS(Melee!$I:$I,$B96,Melee!$L:$L,"W"),COUNTIFS(Melee!$I:$I,$B96,Melee!$L:$L,"L"))</f>
        <v>9</v>
      </c>
      <c r="E96" s="513" t="str">
        <f>concatenate(COUNTIFS(Melee!$I:$I,$B96,Melee!$L:$L,"W")," - ",COUNTIFS(Melee!$I:$I,$B96,Melee!$L:$L,"L"))</f>
        <v>2 - 7</v>
      </c>
      <c r="F96" s="514">
        <f>COUNTIFS(Melee!$I:$I,B96,Melee!$M:$M,"W")/(COUNTIFS(Melee!$I:$I,$B96,Melee!$M:$M,"W")+COUNTIFS(Melee!$I:$I,$B96,Melee!$M:$M,"L"))</f>
        <v>0.25</v>
      </c>
      <c r="G96" s="512">
        <f>sum(COUNTIFS(Melee!$I:$I,$B96,Melee!$M:$M,"W"),COUNTIFS(Melee!$I:$I,$B96,Melee!$M:$M,"L"))</f>
        <v>4</v>
      </c>
      <c r="H96" s="515" t="str">
        <f>concatenate(COUNTIFS(Melee!$I:$I,$B96,Melee!$M:$M,"W")," - ",COUNTIFS(Melee!$I:$I,$B96,Melee!$M:$M,"L"))</f>
        <v>1 - 3</v>
      </c>
    </row>
    <row r="97">
      <c r="A97" s="509">
        <v>95.0</v>
      </c>
      <c r="B97" s="510" t="str">
        <f t="array" ref="B97">INDEX(Melee!I:I,MODE(IF((Melee!I:I&lt;&gt;"")*ISNA(MATCH(Melee!I:I,$B$2:$B96,0)),MATCH(Melee!I:I,Melee!I:I,0))))</f>
        <v>Will</v>
      </c>
      <c r="C97" s="511">
        <f>COUNTIFS(Melee!$I:$I,B97,Melee!$L:$L,"W")/(COUNTIFS(Melee!$I:$I,$B97,Melee!$L:$L,"W")+COUNTIFS(Melee!$I:$I,$B97,Melee!$L:$L,"L"))</f>
        <v>0.1111111111</v>
      </c>
      <c r="D97" s="512">
        <f>sum(COUNTIFS(Melee!$I:$I,$B97,Melee!$L:$L,"W"),COUNTIFS(Melee!$I:$I,$B97,Melee!$L:$L,"L"))</f>
        <v>9</v>
      </c>
      <c r="E97" s="513" t="str">
        <f>concatenate(COUNTIFS(Melee!$I:$I,$B97,Melee!$L:$L,"W")," - ",COUNTIFS(Melee!$I:$I,$B97,Melee!$L:$L,"L"))</f>
        <v>1 - 8</v>
      </c>
      <c r="F97" s="514">
        <f>COUNTIFS(Melee!$I:$I,B97,Melee!$M:$M,"W")/(COUNTIFS(Melee!$I:$I,$B97,Melee!$M:$M,"W")+COUNTIFS(Melee!$I:$I,$B97,Melee!$M:$M,"L"))</f>
        <v>0</v>
      </c>
      <c r="G97" s="512">
        <f>sum(COUNTIFS(Melee!$I:$I,$B97,Melee!$M:$M,"W"),COUNTIFS(Melee!$I:$I,$B97,Melee!$M:$M,"L"))</f>
        <v>4</v>
      </c>
      <c r="H97" s="515" t="str">
        <f>concatenate(COUNTIFS(Melee!$I:$I,$B97,Melee!$M:$M,"W")," - ",COUNTIFS(Melee!$I:$I,$B97,Melee!$M:$M,"L"))</f>
        <v>0 - 4</v>
      </c>
    </row>
    <row r="98">
      <c r="A98" s="509">
        <v>96.0</v>
      </c>
      <c r="B98" s="510" t="str">
        <f t="array" ref="B98">INDEX(Melee!I:I,MODE(IF((Melee!I:I&lt;&gt;"")*ISNA(MATCH(Melee!I:I,$B$2:$B97,0)),MATCH(Melee!I:I,Melee!I:I,0))))</f>
        <v>Iron</v>
      </c>
      <c r="C98" s="511">
        <f>COUNTIFS(Melee!$I:$I,B98,Melee!$L:$L,"W")/(COUNTIFS(Melee!$I:$I,$B98,Melee!$L:$L,"W")+COUNTIFS(Melee!$I:$I,$B98,Melee!$L:$L,"L"))</f>
        <v>0.4444444444</v>
      </c>
      <c r="D98" s="512">
        <f>sum(COUNTIFS(Melee!$I:$I,$B98,Melee!$L:$L,"W"),COUNTIFS(Melee!$I:$I,$B98,Melee!$L:$L,"L"))</f>
        <v>9</v>
      </c>
      <c r="E98" s="513" t="str">
        <f>concatenate(COUNTIFS(Melee!$I:$I,$B98,Melee!$L:$L,"W")," - ",COUNTIFS(Melee!$I:$I,$B98,Melee!$L:$L,"L"))</f>
        <v>4 - 5</v>
      </c>
      <c r="F98" s="514">
        <f>COUNTIFS(Melee!$I:$I,B98,Melee!$M:$M,"W")/(COUNTIFS(Melee!$I:$I,$B98,Melee!$M:$M,"W")+COUNTIFS(Melee!$I:$I,$B98,Melee!$M:$M,"L"))</f>
        <v>0.5</v>
      </c>
      <c r="G98" s="512">
        <f>sum(COUNTIFS(Melee!$I:$I,$B98,Melee!$M:$M,"W"),COUNTIFS(Melee!$I:$I,$B98,Melee!$M:$M,"L"))</f>
        <v>4</v>
      </c>
      <c r="H98" s="515" t="str">
        <f>concatenate(COUNTIFS(Melee!$I:$I,$B98,Melee!$M:$M,"W")," - ",COUNTIFS(Melee!$I:$I,$B98,Melee!$M:$M,"L"))</f>
        <v>2 - 2</v>
      </c>
    </row>
    <row r="99">
      <c r="A99" s="509">
        <v>97.0</v>
      </c>
      <c r="B99" s="510" t="str">
        <f t="array" ref="B99">INDEX(Melee!I:I,MODE(IF((Melee!I:I&lt;&gt;"")*ISNA(MATCH(Melee!I:I,$B$2:$B98,0)),MATCH(Melee!I:I,Melee!I:I,0))))</f>
        <v>ADKnight</v>
      </c>
      <c r="C99" s="511">
        <f>COUNTIFS(Melee!$I:$I,B99,Melee!$L:$L,"W")/(COUNTIFS(Melee!$I:$I,$B99,Melee!$L:$L,"W")+COUNTIFS(Melee!$I:$I,$B99,Melee!$L:$L,"L"))</f>
        <v>0.4444444444</v>
      </c>
      <c r="D99" s="512">
        <f>sum(COUNTIFS(Melee!$I:$I,$B99,Melee!$L:$L,"W"),COUNTIFS(Melee!$I:$I,$B99,Melee!$L:$L,"L"))</f>
        <v>9</v>
      </c>
      <c r="E99" s="513" t="str">
        <f>concatenate(COUNTIFS(Melee!$I:$I,$B99,Melee!$L:$L,"W")," - ",COUNTIFS(Melee!$I:$I,$B99,Melee!$L:$L,"L"))</f>
        <v>4 - 5</v>
      </c>
      <c r="F99" s="514">
        <f>COUNTIFS(Melee!$I:$I,B99,Melee!$M:$M,"W")/(COUNTIFS(Melee!$I:$I,$B99,Melee!$M:$M,"W")+COUNTIFS(Melee!$I:$I,$B99,Melee!$M:$M,"L"))</f>
        <v>0.5</v>
      </c>
      <c r="G99" s="512">
        <f>sum(COUNTIFS(Melee!$I:$I,$B99,Melee!$M:$M,"W"),COUNTIFS(Melee!$I:$I,$B99,Melee!$M:$M,"L"))</f>
        <v>4</v>
      </c>
      <c r="H99" s="515" t="str">
        <f>concatenate(COUNTIFS(Melee!$I:$I,$B99,Melee!$M:$M,"W")," - ",COUNTIFS(Melee!$I:$I,$B99,Melee!$M:$M,"L"))</f>
        <v>2 - 2</v>
      </c>
    </row>
    <row r="100">
      <c r="A100" s="509">
        <v>98.0</v>
      </c>
      <c r="B100" s="510" t="str">
        <f t="array" ref="B100">INDEX(Melee!I:I,MODE(IF((Melee!I:I&lt;&gt;"")*ISNA(MATCH(Melee!I:I,$B$2:$B99,0)),MATCH(Melee!I:I,Melee!I:I,0))))</f>
        <v>Groovy</v>
      </c>
      <c r="C100" s="511">
        <f>COUNTIFS(Melee!$I:$I,B100,Melee!$L:$L,"W")/(COUNTIFS(Melee!$I:$I,$B100,Melee!$L:$L,"W")+COUNTIFS(Melee!$I:$I,$B100,Melee!$L:$L,"L"))</f>
        <v>0.7777777778</v>
      </c>
      <c r="D100" s="512">
        <f>sum(COUNTIFS(Melee!$I:$I,$B100,Melee!$L:$L,"W"),COUNTIFS(Melee!$I:$I,$B100,Melee!$L:$L,"L"))</f>
        <v>9</v>
      </c>
      <c r="E100" s="513" t="str">
        <f>concatenate(COUNTIFS(Melee!$I:$I,$B100,Melee!$L:$L,"W")," - ",COUNTIFS(Melee!$I:$I,$B100,Melee!$L:$L,"L"))</f>
        <v>7 - 2</v>
      </c>
      <c r="F100" s="514">
        <f>COUNTIFS(Melee!$I:$I,B100,Melee!$M:$M,"W")/(COUNTIFS(Melee!$I:$I,$B100,Melee!$M:$M,"W")+COUNTIFS(Melee!$I:$I,$B100,Melee!$M:$M,"L"))</f>
        <v>1</v>
      </c>
      <c r="G100" s="512">
        <f>sum(COUNTIFS(Melee!$I:$I,$B100,Melee!$M:$M,"W"),COUNTIFS(Melee!$I:$I,$B100,Melee!$M:$M,"L"))</f>
        <v>3</v>
      </c>
      <c r="H100" s="515" t="str">
        <f>concatenate(COUNTIFS(Melee!$I:$I,$B100,Melee!$M:$M,"W")," - ",COUNTIFS(Melee!$I:$I,$B100,Melee!$M:$M,"L"))</f>
        <v>3 - 0</v>
      </c>
    </row>
    <row r="101">
      <c r="A101" s="509">
        <v>99.0</v>
      </c>
      <c r="B101" s="510" t="str">
        <f t="array" ref="B101">INDEX(Melee!I:I,MODE(IF((Melee!I:I&lt;&gt;"")*ISNA(MATCH(Melee!I:I,$B$2:$B100,0)),MATCH(Melee!I:I,Melee!I:I,0))))</f>
        <v>Uguize</v>
      </c>
      <c r="C101" s="511">
        <f>COUNTIFS(Melee!$I:$I,B101,Melee!$L:$L,"W")/(COUNTIFS(Melee!$I:$I,$B101,Melee!$L:$L,"W")+COUNTIFS(Melee!$I:$I,$B101,Melee!$L:$L,"L"))</f>
        <v>1</v>
      </c>
      <c r="D101" s="512">
        <f>sum(COUNTIFS(Melee!$I:$I,$B101,Melee!$L:$L,"W"),COUNTIFS(Melee!$I:$I,$B101,Melee!$L:$L,"L"))</f>
        <v>8</v>
      </c>
      <c r="E101" s="513" t="str">
        <f>concatenate(COUNTIFS(Melee!$I:$I,$B101,Melee!$L:$L,"W")," - ",COUNTIFS(Melee!$I:$I,$B101,Melee!$L:$L,"L"))</f>
        <v>8 - 0</v>
      </c>
      <c r="F101" s="514">
        <f>COUNTIFS(Melee!$I:$I,B101,Melee!$M:$M,"W")/(COUNTIFS(Melee!$I:$I,$B101,Melee!$M:$M,"W")+COUNTIFS(Melee!$I:$I,$B101,Melee!$M:$M,"L"))</f>
        <v>1</v>
      </c>
      <c r="G101" s="512">
        <f>sum(COUNTIFS(Melee!$I:$I,$B101,Melee!$M:$M,"W"),COUNTIFS(Melee!$I:$I,$B101,Melee!$M:$M,"L"))</f>
        <v>4</v>
      </c>
      <c r="H101" s="515" t="str">
        <f>concatenate(COUNTIFS(Melee!$I:$I,$B101,Melee!$M:$M,"W")," - ",COUNTIFS(Melee!$I:$I,$B101,Melee!$M:$M,"L"))</f>
        <v>4 - 0</v>
      </c>
    </row>
    <row r="102">
      <c r="A102" s="509">
        <v>100.0</v>
      </c>
      <c r="B102" s="510" t="str">
        <f t="array" ref="B102">INDEX(Melee!I:I,MODE(IF((Melee!I:I&lt;&gt;"")*ISNA(MATCH(Melee!I:I,$B$2:$B101,0)),MATCH(Melee!I:I,Melee!I:I,0))))</f>
        <v>Pillars</v>
      </c>
      <c r="C102" s="511">
        <f>COUNTIFS(Melee!$I:$I,B102,Melee!$L:$L,"W")/(COUNTIFS(Melee!$I:$I,$B102,Melee!$L:$L,"W")+COUNTIFS(Melee!$I:$I,$B102,Melee!$L:$L,"L"))</f>
        <v>0.5</v>
      </c>
      <c r="D102" s="512">
        <f>sum(COUNTIFS(Melee!$I:$I,$B102,Melee!$L:$L,"W"),COUNTIFS(Melee!$I:$I,$B102,Melee!$L:$L,"L"))</f>
        <v>8</v>
      </c>
      <c r="E102" s="513" t="str">
        <f>concatenate(COUNTIFS(Melee!$I:$I,$B102,Melee!$L:$L,"W")," - ",COUNTIFS(Melee!$I:$I,$B102,Melee!$L:$L,"L"))</f>
        <v>4 - 4</v>
      </c>
      <c r="F102" s="514">
        <f>COUNTIFS(Melee!$I:$I,B102,Melee!$M:$M,"W")/(COUNTIFS(Melee!$I:$I,$B102,Melee!$M:$M,"W")+COUNTIFS(Melee!$I:$I,$B102,Melee!$M:$M,"L"))</f>
        <v>0.5</v>
      </c>
      <c r="G102" s="512">
        <f>sum(COUNTIFS(Melee!$I:$I,$B102,Melee!$M:$M,"W"),COUNTIFS(Melee!$I:$I,$B102,Melee!$M:$M,"L"))</f>
        <v>2</v>
      </c>
      <c r="H102" s="515" t="str">
        <f>concatenate(COUNTIFS(Melee!$I:$I,$B102,Melee!$M:$M,"W")," - ",COUNTIFS(Melee!$I:$I,$B102,Melee!$M:$M,"L"))</f>
        <v>1 - 1</v>
      </c>
    </row>
  </sheetData>
  <mergeCells count="2">
    <mergeCell ref="C1:E1"/>
    <mergeCell ref="F1:H1"/>
  </mergeCells>
  <conditionalFormatting sqref="C3:C102">
    <cfRule type="colorScale" priority="1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C3:C102">
    <cfRule type="colorScale" priority="2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D3:E102">
    <cfRule type="colorScale" priority="3">
      <colorScale>
        <cfvo type="min"/>
        <cfvo type="percentile" val="50"/>
        <cfvo type="max"/>
        <color rgb="FFFF0000"/>
        <color rgb="FFFFFF00"/>
        <color rgb="FF00FFFF"/>
      </colorScale>
    </cfRule>
  </conditionalFormatting>
  <conditionalFormatting sqref="F3:F102">
    <cfRule type="colorScale" priority="4">
      <colorScale>
        <cfvo type="min"/>
        <cfvo type="percent" val="50"/>
        <cfvo type="max"/>
        <color rgb="FFFF0000"/>
        <color rgb="FFFFFF00"/>
        <color rgb="FF00FFFF"/>
      </colorScale>
    </cfRule>
  </conditionalFormatting>
  <conditionalFormatting sqref="D3:D102 G3:G102">
    <cfRule type="colorScale" priority="5">
      <colorScale>
        <cfvo type="min"/>
        <cfvo type="percentile" val="50"/>
        <cfvo type="max"/>
        <color rgb="FFFF0000"/>
        <color rgb="FFFFFF00"/>
        <color rgb="FF00FFFF"/>
      </colorScale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34.71"/>
    <col customWidth="1" min="2" max="2" width="9.14"/>
    <col customWidth="1" min="4" max="4" width="13.71"/>
    <col customWidth="1" min="6" max="6" width="13.0"/>
    <col customWidth="1" min="7" max="7" width="8.71"/>
    <col customWidth="1" min="8" max="8" width="10.71"/>
    <col customWidth="1" min="9" max="9" width="18.43"/>
    <col customWidth="1" min="10" max="10" width="10.86"/>
    <col customWidth="1" min="11" max="11" width="13.86"/>
  </cols>
  <sheetData>
    <row r="1">
      <c r="A1" s="449" t="s">
        <v>1420</v>
      </c>
    </row>
    <row r="2" ht="31.5" customHeight="1">
      <c r="A2" s="516" t="str">
        <f>IFERROR(__xludf.DUMMYFUNCTION("filter(Melee!D:D, Melee!$P:$P &lt;&gt; """")"),"Tournament Name")</f>
        <v>Tournament Name</v>
      </c>
      <c r="B2" s="517" t="str">
        <f>IFERROR(__xludf.DUMMYFUNCTION("filter(Melee!E:E, Melee!$P:$P &lt;&gt; """")"),"Date")</f>
        <v>Date</v>
      </c>
      <c r="C2" s="516" t="str">
        <f>IFERROR(__xludf.DUMMYFUNCTION("filter(Melee!G:G, Melee!$P:$P &lt;&gt; """")"),"Game #")</f>
        <v>Game #</v>
      </c>
      <c r="D2" s="516" t="str">
        <f>IFERROR(__xludf.DUMMYFUNCTION("filter(Melee!H:H, Melee!$P:$P &lt;&gt; """")"),"Match Type")</f>
        <v>Match Type</v>
      </c>
      <c r="E2" s="518" t="str">
        <f>IFERROR(__xludf.DUMMYFUNCTION("filter(Melee!I:I, Melee!$P:$P &lt;&gt; """")"),"Opponent")</f>
        <v>Opponent</v>
      </c>
      <c r="F2" s="516" t="str">
        <f>IFERROR(__xludf.DUMMYFUNCTION("filter(Melee!J:J, Melee!$P:$P &lt;&gt; """")"),"Opponent's Character")</f>
        <v>Opponent's Character</v>
      </c>
      <c r="G2" s="516" t="str">
        <f>IFERROR(__xludf.DUMMYFUNCTION("filter(Melee!K:K, Melee!$P:$P &lt;&gt; """")"),"Falco")</f>
        <v>Falco</v>
      </c>
      <c r="H2" s="516" t="str">
        <f>IFERROR(__xludf.DUMMYFUNCTION("filter(Melee!L:L, Melee!$P:$P &lt;&gt; """")"),"Game Win/Loss")</f>
        <v>Game Win/Loss</v>
      </c>
      <c r="I2" s="516" t="str">
        <f>IFERROR(__xludf.DUMMYFUNCTION("filter(Melee!N:N, Melee!$P:$P &lt;&gt; """")"),"Stage")</f>
        <v>Stage</v>
      </c>
      <c r="J2" s="516" t="str">
        <f>IFERROR(__xludf.DUMMYFUNCTION("filter(Melee!O:O, Melee!$P:$P &lt;&gt; """")"),"Local PR Rank #")</f>
        <v>Local PR Rank #</v>
      </c>
      <c r="K2" s="516" t="str">
        <f>IFERROR(__xludf.DUMMYFUNCTION("filter(Melee!P:P, Melee!$P:$P &lt;&gt; """")"),"PR Location")</f>
        <v>PR Location</v>
      </c>
    </row>
    <row r="3">
      <c r="A3" s="519" t="str">
        <f>IFERROR(__xludf.DUMMYFUNCTION("""COMPUTED_VALUE"""),"UMeMe 73")</f>
        <v>UMeMe 73</v>
      </c>
      <c r="B3" s="520">
        <f>IFERROR(__xludf.DUMMYFUNCTION("""COMPUTED_VALUE"""),42995.0)</f>
        <v>42995</v>
      </c>
      <c r="C3" s="521" t="str">
        <f>IFERROR(__xludf.DUMMYFUNCTION("""COMPUTED_VALUE"""),"Game 1 (Bo3)")</f>
        <v>Game 1 (Bo3)</v>
      </c>
      <c r="D3" s="521" t="str">
        <f>IFERROR(__xludf.DUMMYFUNCTION("""COMPUTED_VALUE"""),"Bracket")</f>
        <v>Bracket</v>
      </c>
      <c r="E3" s="522" t="str">
        <f>IFERROR(__xludf.DUMMYFUNCTION("""COMPUTED_VALUE"""),"Russell")</f>
        <v>Russell</v>
      </c>
      <c r="F3" s="521" t="str">
        <f>IFERROR(__xludf.DUMMYFUNCTION("""COMPUTED_VALUE"""),"Fox")</f>
        <v>Fox</v>
      </c>
      <c r="G3" s="521" t="str">
        <f>IFERROR(__xludf.DUMMYFUNCTION("""COMPUTED_VALUE"""),"Falco")</f>
        <v>Falco</v>
      </c>
      <c r="H3" s="521" t="str">
        <f>IFERROR(__xludf.DUMMYFUNCTION("""COMPUTED_VALUE"""),"L")</f>
        <v>L</v>
      </c>
      <c r="I3" s="521" t="str">
        <f>IFERROR(__xludf.DUMMYFUNCTION("""COMPUTED_VALUE"""),"ys")</f>
        <v>ys</v>
      </c>
      <c r="J3" s="521">
        <f>IFERROR(__xludf.DUMMYFUNCTION("""COMPUTED_VALUE"""),13.0)</f>
        <v>13</v>
      </c>
      <c r="K3" s="523" t="str">
        <f>IFERROR(__xludf.DUMMYFUNCTION("""COMPUTED_VALUE"""),"Michigan")</f>
        <v>Michigan</v>
      </c>
    </row>
    <row r="4">
      <c r="A4" s="524" t="str">
        <f>IFERROR(__xludf.DUMMYFUNCTION("""COMPUTED_VALUE"""),"UMeMe 73")</f>
        <v>UMeMe 73</v>
      </c>
      <c r="B4" s="525">
        <f>IFERROR(__xludf.DUMMYFUNCTION("""COMPUTED_VALUE"""),42995.0)</f>
        <v>42995</v>
      </c>
      <c r="C4" t="str">
        <f>IFERROR(__xludf.DUMMYFUNCTION("""COMPUTED_VALUE"""),"Game 2 (Bo3)")</f>
        <v>Game 2 (Bo3)</v>
      </c>
      <c r="D4" t="str">
        <f>IFERROR(__xludf.DUMMYFUNCTION("""COMPUTED_VALUE"""),"Bracket")</f>
        <v>Bracket</v>
      </c>
      <c r="E4" s="23" t="str">
        <f>IFERROR(__xludf.DUMMYFUNCTION("""COMPUTED_VALUE"""),"Russell")</f>
        <v>Russell</v>
      </c>
      <c r="F4" t="str">
        <f>IFERROR(__xludf.DUMMYFUNCTION("""COMPUTED_VALUE"""),"Fox")</f>
        <v>Fox</v>
      </c>
      <c r="G4" t="str">
        <f>IFERROR(__xludf.DUMMYFUNCTION("""COMPUTED_VALUE"""),"Falco")</f>
        <v>Falco</v>
      </c>
      <c r="H4" t="str">
        <f>IFERROR(__xludf.DUMMYFUNCTION("""COMPUTED_VALUE"""),"W")</f>
        <v>W</v>
      </c>
      <c r="I4" t="str">
        <f>IFERROR(__xludf.DUMMYFUNCTION("""COMPUTED_VALUE"""),"ps")</f>
        <v>ps</v>
      </c>
      <c r="J4">
        <f>IFERROR(__xludf.DUMMYFUNCTION("""COMPUTED_VALUE"""),13.0)</f>
        <v>13</v>
      </c>
      <c r="K4" s="526" t="str">
        <f>IFERROR(__xludf.DUMMYFUNCTION("""COMPUTED_VALUE"""),"Michigan")</f>
        <v>Michigan</v>
      </c>
    </row>
    <row r="5">
      <c r="A5" s="527" t="str">
        <f>IFERROR(__xludf.DUMMYFUNCTION("""COMPUTED_VALUE"""),"UMeMe 73")</f>
        <v>UMeMe 73</v>
      </c>
      <c r="B5" s="528">
        <f>IFERROR(__xludf.DUMMYFUNCTION("""COMPUTED_VALUE"""),42995.0)</f>
        <v>42995</v>
      </c>
      <c r="C5" s="529" t="str">
        <f>IFERROR(__xludf.DUMMYFUNCTION("""COMPUTED_VALUE"""),"Game 3 (Bo3)")</f>
        <v>Game 3 (Bo3)</v>
      </c>
      <c r="D5" s="529" t="str">
        <f>IFERROR(__xludf.DUMMYFUNCTION("""COMPUTED_VALUE"""),"Bracket")</f>
        <v>Bracket</v>
      </c>
      <c r="E5" s="530" t="str">
        <f>IFERROR(__xludf.DUMMYFUNCTION("""COMPUTED_VALUE"""),"Russell")</f>
        <v>Russell</v>
      </c>
      <c r="F5" s="529" t="str">
        <f>IFERROR(__xludf.DUMMYFUNCTION("""COMPUTED_VALUE"""),"Fox")</f>
        <v>Fox</v>
      </c>
      <c r="G5" s="529" t="str">
        <f>IFERROR(__xludf.DUMMYFUNCTION("""COMPUTED_VALUE"""),"Falco")</f>
        <v>Falco</v>
      </c>
      <c r="H5" s="529" t="str">
        <f>IFERROR(__xludf.DUMMYFUNCTION("""COMPUTED_VALUE"""),"W")</f>
        <v>W</v>
      </c>
      <c r="I5" s="529" t="str">
        <f>IFERROR(__xludf.DUMMYFUNCTION("""COMPUTED_VALUE"""),"dl")</f>
        <v>dl</v>
      </c>
      <c r="J5" s="529">
        <f>IFERROR(__xludf.DUMMYFUNCTION("""COMPUTED_VALUE"""),13.0)</f>
        <v>13</v>
      </c>
      <c r="K5" s="531" t="str">
        <f>IFERROR(__xludf.DUMMYFUNCTION("""COMPUTED_VALUE"""),"Michigan")</f>
        <v>Michigan</v>
      </c>
    </row>
    <row r="6">
      <c r="A6" s="519" t="str">
        <f>IFERROR(__xludf.DUMMYFUNCTION("""COMPUTED_VALUE"""),"Corner Pressure VII")</f>
        <v>Corner Pressure VII</v>
      </c>
      <c r="B6" s="520">
        <f>IFERROR(__xludf.DUMMYFUNCTION("""COMPUTED_VALUE"""),43106.0)</f>
        <v>43106</v>
      </c>
      <c r="C6" s="521" t="str">
        <f>IFERROR(__xludf.DUMMYFUNCTION("""COMPUTED_VALUE"""),"Game 1 (Bo3)")</f>
        <v>Game 1 (Bo3)</v>
      </c>
      <c r="D6" s="521" t="str">
        <f>IFERROR(__xludf.DUMMYFUNCTION("""COMPUTED_VALUE"""),"Bracket Pools")</f>
        <v>Bracket Pools</v>
      </c>
      <c r="E6" s="522" t="str">
        <f>IFERROR(__xludf.DUMMYFUNCTION("""COMPUTED_VALUE"""),"TM")</f>
        <v>TM</v>
      </c>
      <c r="F6" s="521" t="str">
        <f>IFERROR(__xludf.DUMMYFUNCTION("""COMPUTED_VALUE"""),"Ganon")</f>
        <v>Ganon</v>
      </c>
      <c r="G6" s="521" t="str">
        <f>IFERROR(__xludf.DUMMYFUNCTION("""COMPUTED_VALUE"""),"Falco")</f>
        <v>Falco</v>
      </c>
      <c r="H6" s="521" t="str">
        <f>IFERROR(__xludf.DUMMYFUNCTION("""COMPUTED_VALUE"""),"L")</f>
        <v>L</v>
      </c>
      <c r="I6" s="521" t="str">
        <f>IFERROR(__xludf.DUMMYFUNCTION("""COMPUTED_VALUE"""),"bf")</f>
        <v>bf</v>
      </c>
      <c r="J6" s="521">
        <f>IFERROR(__xludf.DUMMYFUNCTION("""COMPUTED_VALUE"""),10.0)</f>
        <v>10</v>
      </c>
      <c r="K6" s="523" t="str">
        <f>IFERROR(__xludf.DUMMYFUNCTION("""COMPUTED_VALUE"""),"Michigan")</f>
        <v>Michigan</v>
      </c>
    </row>
    <row r="7">
      <c r="A7" s="524" t="str">
        <f>IFERROR(__xludf.DUMMYFUNCTION("""COMPUTED_VALUE"""),"Corner Pressure VII")</f>
        <v>Corner Pressure VII</v>
      </c>
      <c r="B7" s="525">
        <f>IFERROR(__xludf.DUMMYFUNCTION("""COMPUTED_VALUE"""),43106.0)</f>
        <v>43106</v>
      </c>
      <c r="C7" t="str">
        <f>IFERROR(__xludf.DUMMYFUNCTION("""COMPUTED_VALUE"""),"Game 2 (Bo3)")</f>
        <v>Game 2 (Bo3)</v>
      </c>
      <c r="D7" t="str">
        <f>IFERROR(__xludf.DUMMYFUNCTION("""COMPUTED_VALUE"""),"Bracket Pools")</f>
        <v>Bracket Pools</v>
      </c>
      <c r="E7" s="23" t="str">
        <f>IFERROR(__xludf.DUMMYFUNCTION("""COMPUTED_VALUE"""),"TM")</f>
        <v>TM</v>
      </c>
      <c r="F7" t="str">
        <f>IFERROR(__xludf.DUMMYFUNCTION("""COMPUTED_VALUE"""),"Marth")</f>
        <v>Marth</v>
      </c>
      <c r="G7" t="str">
        <f>IFERROR(__xludf.DUMMYFUNCTION("""COMPUTED_VALUE"""),"Falco")</f>
        <v>Falco</v>
      </c>
      <c r="H7" t="str">
        <f>IFERROR(__xludf.DUMMYFUNCTION("""COMPUTED_VALUE"""),"W")</f>
        <v>W</v>
      </c>
      <c r="I7" t="str">
        <f>IFERROR(__xludf.DUMMYFUNCTION("""COMPUTED_VALUE"""),"ps")</f>
        <v>ps</v>
      </c>
      <c r="J7">
        <f>IFERROR(__xludf.DUMMYFUNCTION("""COMPUTED_VALUE"""),10.0)</f>
        <v>10</v>
      </c>
      <c r="K7" s="526" t="str">
        <f>IFERROR(__xludf.DUMMYFUNCTION("""COMPUTED_VALUE"""),"Michigan")</f>
        <v>Michigan</v>
      </c>
    </row>
    <row r="8">
      <c r="A8" s="527" t="str">
        <f>IFERROR(__xludf.DUMMYFUNCTION("""COMPUTED_VALUE"""),"Corner Pressure VII")</f>
        <v>Corner Pressure VII</v>
      </c>
      <c r="B8" s="528">
        <f>IFERROR(__xludf.DUMMYFUNCTION("""COMPUTED_VALUE"""),43106.0)</f>
        <v>43106</v>
      </c>
      <c r="C8" s="529" t="str">
        <f>IFERROR(__xludf.DUMMYFUNCTION("""COMPUTED_VALUE"""),"Game 3 (Bo3)")</f>
        <v>Game 3 (Bo3)</v>
      </c>
      <c r="D8" s="529" t="str">
        <f>IFERROR(__xludf.DUMMYFUNCTION("""COMPUTED_VALUE"""),"Bracket Pools")</f>
        <v>Bracket Pools</v>
      </c>
      <c r="E8" s="530" t="str">
        <f>IFERROR(__xludf.DUMMYFUNCTION("""COMPUTED_VALUE"""),"TM")</f>
        <v>TM</v>
      </c>
      <c r="F8" s="529" t="str">
        <f>IFERROR(__xludf.DUMMYFUNCTION("""COMPUTED_VALUE"""),"Ganon")</f>
        <v>Ganon</v>
      </c>
      <c r="G8" s="529" t="str">
        <f>IFERROR(__xludf.DUMMYFUNCTION("""COMPUTED_VALUE"""),"Falco")</f>
        <v>Falco</v>
      </c>
      <c r="H8" s="529" t="str">
        <f>IFERROR(__xludf.DUMMYFUNCTION("""COMPUTED_VALUE"""),"W")</f>
        <v>W</v>
      </c>
      <c r="I8" s="529" t="str">
        <f>IFERROR(__xludf.DUMMYFUNCTION("""COMPUTED_VALUE"""),"fod")</f>
        <v>fod</v>
      </c>
      <c r="J8" s="529">
        <f>IFERROR(__xludf.DUMMYFUNCTION("""COMPUTED_VALUE"""),10.0)</f>
        <v>10</v>
      </c>
      <c r="K8" s="531" t="str">
        <f>IFERROR(__xludf.DUMMYFUNCTION("""COMPUTED_VALUE"""),"Michigan")</f>
        <v>Michigan</v>
      </c>
    </row>
    <row r="9">
      <c r="A9" s="519" t="str">
        <f>IFERROR(__xludf.DUMMYFUNCTION("""COMPUTED_VALUE"""),"Showdown 3")</f>
        <v>Showdown 3</v>
      </c>
      <c r="B9" s="520">
        <f>IFERROR(__xludf.DUMMYFUNCTION("""COMPUTED_VALUE"""),43295.0)</f>
        <v>43295</v>
      </c>
      <c r="C9" s="521" t="str">
        <f>IFERROR(__xludf.DUMMYFUNCTION("""COMPUTED_VALUE"""),"Game 1 (Bo3)")</f>
        <v>Game 1 (Bo3)</v>
      </c>
      <c r="D9" s="521" t="str">
        <f>IFERROR(__xludf.DUMMYFUNCTION("""COMPUTED_VALUE"""),"RR Pools")</f>
        <v>RR Pools</v>
      </c>
      <c r="E9" s="521" t="str">
        <f>IFERROR(__xludf.DUMMYFUNCTION("""COMPUTED_VALUE"""),"Juggleguy")</f>
        <v>Juggleguy</v>
      </c>
      <c r="F9" s="521" t="str">
        <f>IFERROR(__xludf.DUMMYFUNCTION("""COMPUTED_VALUE"""),"Falcon")</f>
        <v>Falcon</v>
      </c>
      <c r="G9" s="521" t="str">
        <f>IFERROR(__xludf.DUMMYFUNCTION("""COMPUTED_VALUE"""),"Falco")</f>
        <v>Falco</v>
      </c>
      <c r="H9" s="521" t="str">
        <f>IFERROR(__xludf.DUMMYFUNCTION("""COMPUTED_VALUE"""),"W")</f>
        <v>W</v>
      </c>
      <c r="I9" s="521" t="str">
        <f>IFERROR(__xludf.DUMMYFUNCTION("""COMPUTED_VALUE"""),"ys")</f>
        <v>ys</v>
      </c>
      <c r="J9" s="521">
        <f>IFERROR(__xludf.DUMMYFUNCTION("""COMPUTED_VALUE"""),9.0)</f>
        <v>9</v>
      </c>
      <c r="K9" s="523" t="str">
        <f>IFERROR(__xludf.DUMMYFUNCTION("""COMPUTED_VALUE"""),"Michigan")</f>
        <v>Michigan</v>
      </c>
    </row>
    <row r="10">
      <c r="A10" s="524" t="str">
        <f>IFERROR(__xludf.DUMMYFUNCTION("""COMPUTED_VALUE"""),"Showdown 3")</f>
        <v>Showdown 3</v>
      </c>
      <c r="B10" s="525">
        <f>IFERROR(__xludf.DUMMYFUNCTION("""COMPUTED_VALUE"""),43295.0)</f>
        <v>43295</v>
      </c>
      <c r="C10" t="str">
        <f>IFERROR(__xludf.DUMMYFUNCTION("""COMPUTED_VALUE"""),"Game 2 (Bo3)")</f>
        <v>Game 2 (Bo3)</v>
      </c>
      <c r="D10" t="str">
        <f>IFERROR(__xludf.DUMMYFUNCTION("""COMPUTED_VALUE"""),"RR Pools")</f>
        <v>RR Pools</v>
      </c>
      <c r="E10" t="str">
        <f>IFERROR(__xludf.DUMMYFUNCTION("""COMPUTED_VALUE"""),"Juggleguy")</f>
        <v>Juggleguy</v>
      </c>
      <c r="F10" t="str">
        <f>IFERROR(__xludf.DUMMYFUNCTION("""COMPUTED_VALUE"""),"Falcon")</f>
        <v>Falcon</v>
      </c>
      <c r="G10" t="str">
        <f>IFERROR(__xludf.DUMMYFUNCTION("""COMPUTED_VALUE"""),"Falco")</f>
        <v>Falco</v>
      </c>
      <c r="H10" t="str">
        <f>IFERROR(__xludf.DUMMYFUNCTION("""COMPUTED_VALUE"""),"L")</f>
        <v>L</v>
      </c>
      <c r="I10" t="str">
        <f>IFERROR(__xludf.DUMMYFUNCTION("""COMPUTED_VALUE"""),"bf")</f>
        <v>bf</v>
      </c>
      <c r="J10">
        <f>IFERROR(__xludf.DUMMYFUNCTION("""COMPUTED_VALUE"""),9.0)</f>
        <v>9</v>
      </c>
      <c r="K10" s="526" t="str">
        <f>IFERROR(__xludf.DUMMYFUNCTION("""COMPUTED_VALUE"""),"Michigan")</f>
        <v>Michigan</v>
      </c>
    </row>
    <row r="11">
      <c r="A11" s="527" t="str">
        <f>IFERROR(__xludf.DUMMYFUNCTION("""COMPUTED_VALUE"""),"Showdown 3")</f>
        <v>Showdown 3</v>
      </c>
      <c r="B11" s="528">
        <f>IFERROR(__xludf.DUMMYFUNCTION("""COMPUTED_VALUE"""),43295.0)</f>
        <v>43295</v>
      </c>
      <c r="C11" s="529" t="str">
        <f>IFERROR(__xludf.DUMMYFUNCTION("""COMPUTED_VALUE"""),"Game 3 (Bo3)")</f>
        <v>Game 3 (Bo3)</v>
      </c>
      <c r="D11" s="529" t="str">
        <f>IFERROR(__xludf.DUMMYFUNCTION("""COMPUTED_VALUE"""),"RR Pools")</f>
        <v>RR Pools</v>
      </c>
      <c r="E11" s="529" t="str">
        <f>IFERROR(__xludf.DUMMYFUNCTION("""COMPUTED_VALUE"""),"Juggleguy")</f>
        <v>Juggleguy</v>
      </c>
      <c r="F11" s="529" t="str">
        <f>IFERROR(__xludf.DUMMYFUNCTION("""COMPUTED_VALUE"""),"Falcon")</f>
        <v>Falcon</v>
      </c>
      <c r="G11" s="529" t="str">
        <f>IFERROR(__xludf.DUMMYFUNCTION("""COMPUTED_VALUE"""),"Falco")</f>
        <v>Falco</v>
      </c>
      <c r="H11" s="529" t="str">
        <f>IFERROR(__xludf.DUMMYFUNCTION("""COMPUTED_VALUE"""),"W")</f>
        <v>W</v>
      </c>
      <c r="I11" s="529" t="str">
        <f>IFERROR(__xludf.DUMMYFUNCTION("""COMPUTED_VALUE"""),"fd")</f>
        <v>fd</v>
      </c>
      <c r="J11" s="529">
        <f>IFERROR(__xludf.DUMMYFUNCTION("""COMPUTED_VALUE"""),9.0)</f>
        <v>9</v>
      </c>
      <c r="K11" s="531" t="str">
        <f>IFERROR(__xludf.DUMMYFUNCTION("""COMPUTED_VALUE"""),"Michigan")</f>
        <v>Michigan</v>
      </c>
    </row>
    <row r="12">
      <c r="A12" t="str">
        <f>IFERROR(__xludf.DUMMYFUNCTION("""COMPUTED_VALUE"""),"UNITE: A Michigan Smash Event")</f>
        <v>UNITE: A Michigan Smash Event</v>
      </c>
      <c r="B12" s="339">
        <f>IFERROR(__xludf.DUMMYFUNCTION("""COMPUTED_VALUE"""),43485.0)</f>
        <v>43485</v>
      </c>
      <c r="C12" t="str">
        <f>IFERROR(__xludf.DUMMYFUNCTION("""COMPUTED_VALUE"""),"Game 1 (Bo3)")</f>
        <v>Game 1 (Bo3)</v>
      </c>
      <c r="D12" t="str">
        <f>IFERROR(__xludf.DUMMYFUNCTION("""COMPUTED_VALUE"""),"RR Pools")</f>
        <v>RR Pools</v>
      </c>
      <c r="E12" t="str">
        <f>IFERROR(__xludf.DUMMYFUNCTION("""COMPUTED_VALUE"""),"Kuyashi")</f>
        <v>Kuyashi</v>
      </c>
      <c r="F12" t="str">
        <f>IFERROR(__xludf.DUMMYFUNCTION("""COMPUTED_VALUE"""),"Marth")</f>
        <v>Marth</v>
      </c>
      <c r="G12" t="str">
        <f>IFERROR(__xludf.DUMMYFUNCTION("""COMPUTED_VALUE"""),"Falco")</f>
        <v>Falco</v>
      </c>
      <c r="H12" t="str">
        <f>IFERROR(__xludf.DUMMYFUNCTION("""COMPUTED_VALUE"""),"L")</f>
        <v>L</v>
      </c>
      <c r="I12" t="str">
        <f>IFERROR(__xludf.DUMMYFUNCTION("""COMPUTED_VALUE"""),"ys")</f>
        <v>ys</v>
      </c>
      <c r="J12">
        <f>IFERROR(__xludf.DUMMYFUNCTION("""COMPUTED_VALUE"""),9.0)</f>
        <v>9</v>
      </c>
      <c r="K12" t="str">
        <f>IFERROR(__xludf.DUMMYFUNCTION("""COMPUTED_VALUE"""),"Michigan")</f>
        <v>Michigan</v>
      </c>
    </row>
    <row r="13">
      <c r="A13" t="str">
        <f>IFERROR(__xludf.DUMMYFUNCTION("""COMPUTED_VALUE"""),"UNITE: A Michigan Smash Event")</f>
        <v>UNITE: A Michigan Smash Event</v>
      </c>
      <c r="B13" s="339">
        <f>IFERROR(__xludf.DUMMYFUNCTION("""COMPUTED_VALUE"""),43485.0)</f>
        <v>43485</v>
      </c>
      <c r="C13" t="str">
        <f>IFERROR(__xludf.DUMMYFUNCTION("""COMPUTED_VALUE"""),"Game 2 (Bo3)")</f>
        <v>Game 2 (Bo3)</v>
      </c>
      <c r="D13" t="str">
        <f>IFERROR(__xludf.DUMMYFUNCTION("""COMPUTED_VALUE"""),"RR Pools")</f>
        <v>RR Pools</v>
      </c>
      <c r="E13" t="str">
        <f>IFERROR(__xludf.DUMMYFUNCTION("""COMPUTED_VALUE"""),"Kuyashi")</f>
        <v>Kuyashi</v>
      </c>
      <c r="F13" t="str">
        <f>IFERROR(__xludf.DUMMYFUNCTION("""COMPUTED_VALUE"""),"Marth")</f>
        <v>Marth</v>
      </c>
      <c r="G13" t="str">
        <f>IFERROR(__xludf.DUMMYFUNCTION("""COMPUTED_VALUE"""),"Falco")</f>
        <v>Falco</v>
      </c>
      <c r="H13" t="str">
        <f>IFERROR(__xludf.DUMMYFUNCTION("""COMPUTED_VALUE"""),"W")</f>
        <v>W</v>
      </c>
      <c r="I13" t="str">
        <f>IFERROR(__xludf.DUMMYFUNCTION("""COMPUTED_VALUE"""),"ps")</f>
        <v>ps</v>
      </c>
      <c r="J13">
        <f>IFERROR(__xludf.DUMMYFUNCTION("""COMPUTED_VALUE"""),9.0)</f>
        <v>9</v>
      </c>
      <c r="K13" t="str">
        <f>IFERROR(__xludf.DUMMYFUNCTION("""COMPUTED_VALUE"""),"Michigan")</f>
        <v>Michigan</v>
      </c>
    </row>
    <row r="14">
      <c r="A14" t="str">
        <f>IFERROR(__xludf.DUMMYFUNCTION("""COMPUTED_VALUE"""),"UNITE: A Michigan Smash Event")</f>
        <v>UNITE: A Michigan Smash Event</v>
      </c>
      <c r="B14" s="339">
        <f>IFERROR(__xludf.DUMMYFUNCTION("""COMPUTED_VALUE"""),43485.0)</f>
        <v>43485</v>
      </c>
      <c r="C14" t="str">
        <f>IFERROR(__xludf.DUMMYFUNCTION("""COMPUTED_VALUE"""),"Game 3 (Bo3)")</f>
        <v>Game 3 (Bo3)</v>
      </c>
      <c r="D14" t="str">
        <f>IFERROR(__xludf.DUMMYFUNCTION("""COMPUTED_VALUE"""),"RR Pools")</f>
        <v>RR Pools</v>
      </c>
      <c r="E14" t="str">
        <f>IFERROR(__xludf.DUMMYFUNCTION("""COMPUTED_VALUE"""),"Kuyashi")</f>
        <v>Kuyashi</v>
      </c>
      <c r="F14" t="str">
        <f>IFERROR(__xludf.DUMMYFUNCTION("""COMPUTED_VALUE"""),"Marth")</f>
        <v>Marth</v>
      </c>
      <c r="G14" t="str">
        <f>IFERROR(__xludf.DUMMYFUNCTION("""COMPUTED_VALUE"""),"Falco")</f>
        <v>Falco</v>
      </c>
      <c r="H14" t="str">
        <f>IFERROR(__xludf.DUMMYFUNCTION("""COMPUTED_VALUE"""),"W")</f>
        <v>W</v>
      </c>
      <c r="I14" t="str">
        <f>IFERROR(__xludf.DUMMYFUNCTION("""COMPUTED_VALUE"""),"bf")</f>
        <v>bf</v>
      </c>
      <c r="J14">
        <f>IFERROR(__xludf.DUMMYFUNCTION("""COMPUTED_VALUE"""),9.0)</f>
        <v>9</v>
      </c>
      <c r="K14" t="str">
        <f>IFERROR(__xludf.DUMMYFUNCTION("""COMPUTED_VALUE"""),"Michigan")</f>
        <v>Michigan</v>
      </c>
    </row>
    <row r="17">
      <c r="F17" s="387"/>
    </row>
    <row r="18">
      <c r="F18" s="387"/>
    </row>
  </sheetData>
  <mergeCells count="1">
    <mergeCell ref="A1:K1"/>
  </mergeCells>
  <conditionalFormatting sqref="J3:J2967">
    <cfRule type="colorScale" priority="1">
      <colorScale>
        <cfvo type="min"/>
        <cfvo type="formula" val="7"/>
        <cfvo type="max"/>
        <color rgb="FF00FFFF"/>
        <color rgb="FFFFFF00"/>
        <color rgb="FFFF0000"/>
      </colorScale>
    </cfRule>
  </conditionalFormatting>
  <conditionalFormatting sqref="E3:I2967">
    <cfRule type="notContainsBlanks" dxfId="1" priority="2">
      <formula>LEN(TRIM(E3))&gt;0</formula>
    </cfRule>
  </conditionalFormatting>
  <conditionalFormatting sqref="A3:D2967">
    <cfRule type="notContainsBlanks" dxfId="2" priority="3">
      <formula>LEN(TRIM(A3))&gt;0</formula>
    </cfRule>
  </conditionalFormatting>
  <conditionalFormatting sqref="J3:J11">
    <cfRule type="notContainsBlanks" dxfId="3" priority="4">
      <formula>LEN(TRIM(J3))&gt;0</formula>
    </cfRule>
  </conditionalFormatting>
  <conditionalFormatting sqref="K3:K2967">
    <cfRule type="notContainsBlanks" dxfId="1" priority="5">
      <formula>LEN(TRIM(K3))&gt;0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7.14"/>
    <col hidden="1" min="2" max="3" width="14.43"/>
    <col customWidth="1" min="8" max="8" width="11.86"/>
    <col customWidth="1" min="9" max="9" width="12.29"/>
    <col customWidth="1" min="10" max="10" width="18.57"/>
  </cols>
  <sheetData>
    <row r="1">
      <c r="A1" s="2" t="s">
        <v>1421</v>
      </c>
      <c r="B1" s="3" t="s">
        <v>3</v>
      </c>
      <c r="C1" s="2" t="s">
        <v>3</v>
      </c>
      <c r="D1" s="1" t="s">
        <v>5</v>
      </c>
      <c r="E1" s="1" t="s">
        <v>6</v>
      </c>
      <c r="F1" s="5" t="s">
        <v>7</v>
      </c>
      <c r="G1" s="5" t="s">
        <v>8</v>
      </c>
      <c r="H1" s="5" t="s">
        <v>9</v>
      </c>
      <c r="I1" s="5" t="s">
        <v>1422</v>
      </c>
      <c r="J1" s="1" t="s">
        <v>12</v>
      </c>
      <c r="K1" s="2" t="s">
        <v>15</v>
      </c>
    </row>
    <row r="2">
      <c r="A2" s="171" t="s">
        <v>150</v>
      </c>
      <c r="B2" s="532">
        <v>42524.0</v>
      </c>
      <c r="C2" s="447" t="str">
        <f t="shared" ref="C2:C5" si="1">TEXT(B2, "mmm") &amp; "-" &amp; TEXT(B2, "yyyy")</f>
        <v>Jun-2016</v>
      </c>
      <c r="D2" s="25" t="s">
        <v>20</v>
      </c>
      <c r="E2" s="25" t="s">
        <v>35</v>
      </c>
      <c r="F2" s="25" t="s">
        <v>229</v>
      </c>
      <c r="G2" s="25" t="s">
        <v>71</v>
      </c>
      <c r="H2" s="25" t="s">
        <v>1212</v>
      </c>
      <c r="I2" s="25" t="s">
        <v>24</v>
      </c>
      <c r="J2" s="25" t="s">
        <v>1406</v>
      </c>
    </row>
    <row r="3">
      <c r="A3" s="171" t="s">
        <v>151</v>
      </c>
      <c r="B3" s="532">
        <v>42524.0</v>
      </c>
      <c r="C3" s="447" t="str">
        <f t="shared" si="1"/>
        <v>Jun-2016</v>
      </c>
      <c r="D3" s="25" t="s">
        <v>25</v>
      </c>
      <c r="E3" s="25" t="s">
        <v>35</v>
      </c>
      <c r="F3" s="25" t="s">
        <v>229</v>
      </c>
      <c r="G3" s="25" t="s">
        <v>71</v>
      </c>
      <c r="H3" s="25" t="s">
        <v>1212</v>
      </c>
      <c r="I3" s="25" t="s">
        <v>24</v>
      </c>
      <c r="J3" s="25" t="s">
        <v>1423</v>
      </c>
    </row>
    <row r="4">
      <c r="A4" s="533">
        <v>42524.0</v>
      </c>
      <c r="B4" s="534">
        <v>42524.0</v>
      </c>
      <c r="C4" s="535" t="str">
        <f t="shared" si="1"/>
        <v>Jun-2016</v>
      </c>
      <c r="D4" s="16" t="s">
        <v>20</v>
      </c>
      <c r="E4" s="16" t="s">
        <v>35</v>
      </c>
      <c r="F4" s="16" t="s">
        <v>1424</v>
      </c>
      <c r="G4" s="16" t="s">
        <v>216</v>
      </c>
      <c r="H4" s="16" t="s">
        <v>1212</v>
      </c>
      <c r="I4" s="16" t="s">
        <v>24</v>
      </c>
      <c r="J4" s="16" t="s">
        <v>1423</v>
      </c>
      <c r="K4" s="101"/>
    </row>
    <row r="5">
      <c r="A5" s="172"/>
      <c r="B5" s="534">
        <v>42524.0</v>
      </c>
      <c r="C5" s="535" t="str">
        <f t="shared" si="1"/>
        <v>Jun-2016</v>
      </c>
      <c r="D5" s="16" t="s">
        <v>25</v>
      </c>
      <c r="E5" s="16" t="s">
        <v>35</v>
      </c>
      <c r="F5" s="16" t="s">
        <v>1424</v>
      </c>
      <c r="G5" s="16" t="s">
        <v>216</v>
      </c>
      <c r="H5" s="16" t="s">
        <v>9</v>
      </c>
      <c r="I5" s="16" t="s">
        <v>24</v>
      </c>
      <c r="J5" s="16" t="s">
        <v>1411</v>
      </c>
      <c r="K5" s="101"/>
    </row>
    <row r="6">
      <c r="A6" s="94"/>
      <c r="C6" s="447"/>
      <c r="E6" s="25"/>
    </row>
    <row r="7">
      <c r="A7" s="171" t="s">
        <v>162</v>
      </c>
      <c r="B7" s="532">
        <v>42531.0</v>
      </c>
      <c r="C7" s="447" t="str">
        <f t="shared" ref="C7:C12" si="2">TEXT(B7, "mmm") &amp; "-" &amp; TEXT(B7, "yyyy")</f>
        <v>Jun-2016</v>
      </c>
      <c r="D7" s="25" t="s">
        <v>20</v>
      </c>
      <c r="E7" s="25" t="s">
        <v>35</v>
      </c>
      <c r="F7" s="25" t="s">
        <v>232</v>
      </c>
      <c r="G7" s="25" t="s">
        <v>1425</v>
      </c>
      <c r="H7" s="25" t="s">
        <v>9</v>
      </c>
      <c r="I7" s="25" t="s">
        <v>24</v>
      </c>
      <c r="J7" s="25" t="s">
        <v>1423</v>
      </c>
    </row>
    <row r="8">
      <c r="A8" s="171" t="s">
        <v>151</v>
      </c>
      <c r="B8" s="532">
        <v>42531.0</v>
      </c>
      <c r="C8" s="447" t="str">
        <f t="shared" si="2"/>
        <v>Jun-2016</v>
      </c>
      <c r="D8" s="25" t="s">
        <v>25</v>
      </c>
      <c r="E8" s="25" t="s">
        <v>35</v>
      </c>
      <c r="F8" s="25" t="s">
        <v>232</v>
      </c>
      <c r="G8" s="25" t="s">
        <v>1425</v>
      </c>
      <c r="H8" s="25" t="s">
        <v>9</v>
      </c>
      <c r="I8" s="25" t="s">
        <v>24</v>
      </c>
      <c r="J8" s="25" t="s">
        <v>1408</v>
      </c>
    </row>
    <row r="9">
      <c r="A9" s="533">
        <v>42531.0</v>
      </c>
      <c r="B9" s="532">
        <v>42531.0</v>
      </c>
      <c r="C9" s="535" t="str">
        <f t="shared" si="2"/>
        <v>Jun-2016</v>
      </c>
      <c r="D9" s="16" t="s">
        <v>20</v>
      </c>
      <c r="E9" s="16" t="s">
        <v>35</v>
      </c>
      <c r="F9" s="16" t="s">
        <v>1426</v>
      </c>
      <c r="G9" s="16" t="s">
        <v>27</v>
      </c>
      <c r="H9" s="16" t="s">
        <v>9</v>
      </c>
      <c r="I9" s="16" t="s">
        <v>30</v>
      </c>
      <c r="J9" s="16" t="s">
        <v>1423</v>
      </c>
      <c r="K9" s="101"/>
    </row>
    <row r="10">
      <c r="A10" s="172"/>
      <c r="B10" s="532">
        <v>42531.0</v>
      </c>
      <c r="C10" s="535" t="str">
        <f t="shared" si="2"/>
        <v>Jun-2016</v>
      </c>
      <c r="D10" s="16" t="s">
        <v>25</v>
      </c>
      <c r="E10" s="16" t="s">
        <v>35</v>
      </c>
      <c r="F10" s="16" t="s">
        <v>1426</v>
      </c>
      <c r="G10" s="16" t="s">
        <v>27</v>
      </c>
      <c r="H10" s="16" t="s">
        <v>9</v>
      </c>
      <c r="I10" s="16" t="s">
        <v>30</v>
      </c>
      <c r="J10" s="16" t="s">
        <v>1427</v>
      </c>
      <c r="K10" s="101"/>
    </row>
    <row r="11">
      <c r="A11" s="172"/>
      <c r="B11" s="532">
        <v>42531.0</v>
      </c>
      <c r="C11" s="447" t="str">
        <f t="shared" si="2"/>
        <v>Jun-2016</v>
      </c>
      <c r="D11" s="25" t="s">
        <v>20</v>
      </c>
      <c r="E11" s="25" t="s">
        <v>35</v>
      </c>
      <c r="F11" s="25" t="s">
        <v>163</v>
      </c>
      <c r="G11" s="25" t="s">
        <v>1428</v>
      </c>
      <c r="H11" s="25" t="s">
        <v>9</v>
      </c>
      <c r="I11" s="25" t="s">
        <v>24</v>
      </c>
      <c r="J11" s="25" t="s">
        <v>1406</v>
      </c>
    </row>
    <row r="12">
      <c r="A12" s="172"/>
      <c r="B12" s="532">
        <v>42531.0</v>
      </c>
      <c r="C12" s="447" t="str">
        <f t="shared" si="2"/>
        <v>Jun-2016</v>
      </c>
      <c r="D12" s="25" t="s">
        <v>25</v>
      </c>
      <c r="E12" s="25" t="s">
        <v>35</v>
      </c>
      <c r="F12" s="25" t="s">
        <v>163</v>
      </c>
      <c r="G12" s="25" t="s">
        <v>44</v>
      </c>
      <c r="H12" s="25" t="s">
        <v>9</v>
      </c>
      <c r="I12" s="25" t="s">
        <v>24</v>
      </c>
      <c r="J12" s="25" t="s">
        <v>1423</v>
      </c>
    </row>
    <row r="13">
      <c r="A13" s="94"/>
    </row>
    <row r="14">
      <c r="A14" s="171" t="s">
        <v>192</v>
      </c>
      <c r="B14" s="533">
        <v>42552.0</v>
      </c>
      <c r="C14" s="447" t="str">
        <f t="shared" ref="C14:C18" si="3">TEXT(B14, "mmm") &amp; "-" &amp; TEXT(B14, "yyyy")</f>
        <v>Jul-2016</v>
      </c>
      <c r="D14" s="25" t="s">
        <v>20</v>
      </c>
      <c r="E14" s="25" t="s">
        <v>35</v>
      </c>
      <c r="F14" s="25" t="s">
        <v>735</v>
      </c>
      <c r="G14" s="25" t="s">
        <v>1429</v>
      </c>
      <c r="H14" s="25" t="s">
        <v>102</v>
      </c>
      <c r="I14" s="25" t="s">
        <v>24</v>
      </c>
      <c r="J14" s="25" t="s">
        <v>1423</v>
      </c>
    </row>
    <row r="15">
      <c r="A15" s="171" t="s">
        <v>151</v>
      </c>
      <c r="B15" s="533">
        <v>42552.0</v>
      </c>
      <c r="C15" s="447" t="str">
        <f t="shared" si="3"/>
        <v>Jul-2016</v>
      </c>
      <c r="D15" s="25" t="s">
        <v>25</v>
      </c>
      <c r="E15" s="25" t="s">
        <v>35</v>
      </c>
      <c r="F15" s="25" t="s">
        <v>735</v>
      </c>
      <c r="G15" s="25" t="s">
        <v>1429</v>
      </c>
      <c r="H15" s="25" t="s">
        <v>27</v>
      </c>
      <c r="I15" s="25" t="s">
        <v>24</v>
      </c>
      <c r="J15" s="25" t="s">
        <v>1406</v>
      </c>
    </row>
    <row r="16">
      <c r="A16" s="533">
        <v>42552.0</v>
      </c>
      <c r="B16" s="533">
        <v>42552.0</v>
      </c>
      <c r="C16" s="535" t="str">
        <f t="shared" si="3"/>
        <v>Jul-2016</v>
      </c>
      <c r="D16" s="16" t="s">
        <v>20</v>
      </c>
      <c r="E16" s="16" t="s">
        <v>35</v>
      </c>
      <c r="F16" s="16" t="s">
        <v>1430</v>
      </c>
      <c r="G16" s="16" t="s">
        <v>44</v>
      </c>
      <c r="H16" s="16" t="s">
        <v>64</v>
      </c>
      <c r="I16" s="16" t="s">
        <v>24</v>
      </c>
      <c r="J16" s="16" t="s">
        <v>1423</v>
      </c>
      <c r="K16" s="101"/>
    </row>
    <row r="17">
      <c r="A17" s="172"/>
      <c r="B17" s="533">
        <v>42552.0</v>
      </c>
      <c r="C17" s="535" t="str">
        <f t="shared" si="3"/>
        <v>Jul-2016</v>
      </c>
      <c r="D17" s="16" t="s">
        <v>25</v>
      </c>
      <c r="E17" s="16" t="s">
        <v>35</v>
      </c>
      <c r="F17" s="16" t="s">
        <v>1430</v>
      </c>
      <c r="G17" s="16" t="s">
        <v>44</v>
      </c>
      <c r="H17" s="16" t="s">
        <v>27</v>
      </c>
      <c r="I17" s="16" t="s">
        <v>30</v>
      </c>
      <c r="J17" s="16" t="s">
        <v>1406</v>
      </c>
      <c r="K17" s="101"/>
    </row>
    <row r="18">
      <c r="A18" s="172"/>
      <c r="B18" s="533">
        <v>42552.0</v>
      </c>
      <c r="C18" s="535" t="str">
        <f t="shared" si="3"/>
        <v>Jul-2016</v>
      </c>
      <c r="D18" s="16" t="s">
        <v>32</v>
      </c>
      <c r="E18" s="16" t="s">
        <v>35</v>
      </c>
      <c r="F18" s="16" t="s">
        <v>1430</v>
      </c>
      <c r="G18" s="16" t="s">
        <v>1431</v>
      </c>
      <c r="H18" s="16" t="s">
        <v>27</v>
      </c>
      <c r="I18" s="16" t="s">
        <v>24</v>
      </c>
      <c r="J18" s="16" t="s">
        <v>1408</v>
      </c>
      <c r="K18" s="101"/>
    </row>
    <row r="19">
      <c r="A19" s="94"/>
    </row>
    <row r="20">
      <c r="A20" s="171" t="s">
        <v>209</v>
      </c>
      <c r="B20" s="533">
        <v>42559.0</v>
      </c>
      <c r="C20" s="447" t="str">
        <f t="shared" ref="C20:C27" si="4">TEXT(B20, "mmm") &amp; "-" &amp; TEXT(B20, "yyyy")</f>
        <v>Jul-2016</v>
      </c>
      <c r="D20" s="25" t="s">
        <v>20</v>
      </c>
      <c r="E20" s="25" t="s">
        <v>35</v>
      </c>
      <c r="F20" s="25" t="s">
        <v>1432</v>
      </c>
      <c r="G20" s="25" t="s">
        <v>44</v>
      </c>
      <c r="H20" s="25" t="s">
        <v>64</v>
      </c>
      <c r="I20" s="25" t="s">
        <v>24</v>
      </c>
      <c r="J20" s="25" t="s">
        <v>1423</v>
      </c>
    </row>
    <row r="21">
      <c r="A21" s="171" t="s">
        <v>151</v>
      </c>
      <c r="B21" s="533">
        <v>42559.0</v>
      </c>
      <c r="C21" s="447" t="str">
        <f t="shared" si="4"/>
        <v>Jul-2016</v>
      </c>
      <c r="D21" s="25" t="s">
        <v>25</v>
      </c>
      <c r="E21" s="25" t="s">
        <v>35</v>
      </c>
      <c r="F21" s="25" t="s">
        <v>1432</v>
      </c>
      <c r="G21" s="25" t="s">
        <v>44</v>
      </c>
      <c r="H21" s="25" t="s">
        <v>27</v>
      </c>
      <c r="I21" s="25" t="s">
        <v>30</v>
      </c>
      <c r="J21" s="25" t="s">
        <v>1406</v>
      </c>
    </row>
    <row r="22">
      <c r="A22" s="171"/>
      <c r="B22" s="533">
        <v>42560.0</v>
      </c>
      <c r="C22" s="447" t="str">
        <f t="shared" si="4"/>
        <v>Jul-2016</v>
      </c>
      <c r="D22" s="25" t="s">
        <v>32</v>
      </c>
      <c r="E22" s="25" t="s">
        <v>35</v>
      </c>
      <c r="F22" s="25" t="s">
        <v>1432</v>
      </c>
      <c r="G22" s="25" t="s">
        <v>44</v>
      </c>
      <c r="H22" s="25" t="s">
        <v>27</v>
      </c>
      <c r="I22" s="25" t="s">
        <v>30</v>
      </c>
      <c r="J22" s="25" t="s">
        <v>1433</v>
      </c>
    </row>
    <row r="23">
      <c r="A23" s="533">
        <v>42559.0</v>
      </c>
      <c r="B23" s="533">
        <v>42559.0</v>
      </c>
      <c r="C23" s="535" t="str">
        <f t="shared" si="4"/>
        <v>Jul-2016</v>
      </c>
      <c r="D23" s="16" t="s">
        <v>20</v>
      </c>
      <c r="E23" s="16" t="s">
        <v>35</v>
      </c>
      <c r="F23" s="16" t="s">
        <v>1434</v>
      </c>
      <c r="G23" s="16" t="s">
        <v>1435</v>
      </c>
      <c r="H23" s="16" t="s">
        <v>9</v>
      </c>
      <c r="I23" s="16" t="s">
        <v>24</v>
      </c>
      <c r="J23" s="16" t="s">
        <v>1406</v>
      </c>
      <c r="K23" s="101"/>
    </row>
    <row r="24">
      <c r="A24" s="172"/>
      <c r="B24" s="533">
        <v>42559.0</v>
      </c>
      <c r="C24" s="535" t="str">
        <f t="shared" si="4"/>
        <v>Jul-2016</v>
      </c>
      <c r="D24" s="16" t="s">
        <v>25</v>
      </c>
      <c r="E24" s="16" t="s">
        <v>35</v>
      </c>
      <c r="F24" s="16" t="s">
        <v>1434</v>
      </c>
      <c r="G24" s="16" t="s">
        <v>1435</v>
      </c>
      <c r="H24" s="16" t="s">
        <v>9</v>
      </c>
      <c r="I24" s="16" t="s">
        <v>24</v>
      </c>
      <c r="J24" s="16" t="s">
        <v>1427</v>
      </c>
      <c r="K24" s="101"/>
    </row>
    <row r="25">
      <c r="A25" s="172"/>
      <c r="B25" s="533">
        <v>42559.0</v>
      </c>
      <c r="C25" s="447" t="str">
        <f t="shared" si="4"/>
        <v>Jul-2016</v>
      </c>
      <c r="D25" s="119" t="s">
        <v>20</v>
      </c>
      <c r="E25" s="119" t="s">
        <v>35</v>
      </c>
      <c r="F25" s="119" t="s">
        <v>375</v>
      </c>
      <c r="G25" s="119" t="s">
        <v>27</v>
      </c>
      <c r="H25" s="119" t="s">
        <v>9</v>
      </c>
      <c r="I25" s="119" t="s">
        <v>30</v>
      </c>
      <c r="J25" s="119" t="s">
        <v>1423</v>
      </c>
      <c r="K25" s="174"/>
    </row>
    <row r="26">
      <c r="A26" s="172"/>
      <c r="B26" s="533">
        <v>42559.0</v>
      </c>
      <c r="C26" s="447" t="str">
        <f t="shared" si="4"/>
        <v>Jul-2016</v>
      </c>
      <c r="D26" s="119" t="s">
        <v>25</v>
      </c>
      <c r="E26" s="119" t="s">
        <v>35</v>
      </c>
      <c r="F26" s="119" t="s">
        <v>375</v>
      </c>
      <c r="G26" s="119" t="s">
        <v>1436</v>
      </c>
      <c r="H26" s="119" t="s">
        <v>9</v>
      </c>
      <c r="I26" s="119" t="s">
        <v>24</v>
      </c>
      <c r="J26" s="119" t="s">
        <v>1409</v>
      </c>
      <c r="K26" s="174"/>
    </row>
    <row r="27">
      <c r="A27" s="172"/>
      <c r="B27" s="533">
        <v>42559.0</v>
      </c>
      <c r="C27" s="447" t="str">
        <f t="shared" si="4"/>
        <v>Jul-2016</v>
      </c>
      <c r="D27" s="119" t="s">
        <v>32</v>
      </c>
      <c r="E27" s="119" t="s">
        <v>35</v>
      </c>
      <c r="F27" s="119" t="s">
        <v>375</v>
      </c>
      <c r="G27" s="119" t="s">
        <v>1436</v>
      </c>
      <c r="H27" s="119" t="s">
        <v>9</v>
      </c>
      <c r="I27" s="119" t="s">
        <v>24</v>
      </c>
      <c r="J27" s="119" t="s">
        <v>1406</v>
      </c>
      <c r="K27" s="174"/>
    </row>
    <row r="28">
      <c r="A28" s="94"/>
    </row>
    <row r="29">
      <c r="A29" s="171" t="s">
        <v>225</v>
      </c>
      <c r="B29" s="533">
        <v>42580.0</v>
      </c>
      <c r="C29" s="447" t="str">
        <f t="shared" ref="C29:C35" si="5">TEXT(B29, "mmm") &amp; "-" &amp; TEXT(B29, "yyyy")</f>
        <v>Jul-2016</v>
      </c>
      <c r="D29" s="25" t="s">
        <v>20</v>
      </c>
      <c r="E29" s="25" t="s">
        <v>35</v>
      </c>
      <c r="F29" s="25" t="s">
        <v>259</v>
      </c>
      <c r="G29" s="25" t="s">
        <v>97</v>
      </c>
      <c r="H29" s="25" t="s">
        <v>27</v>
      </c>
      <c r="I29" s="25" t="s">
        <v>24</v>
      </c>
      <c r="J29" s="25" t="s">
        <v>1406</v>
      </c>
    </row>
    <row r="30">
      <c r="A30" s="171" t="s">
        <v>151</v>
      </c>
      <c r="B30" s="533">
        <v>42580.0</v>
      </c>
      <c r="C30" s="447" t="str">
        <f t="shared" si="5"/>
        <v>Jul-2016</v>
      </c>
      <c r="D30" s="25" t="s">
        <v>25</v>
      </c>
      <c r="E30" s="25" t="s">
        <v>35</v>
      </c>
      <c r="F30" s="25" t="s">
        <v>259</v>
      </c>
      <c r="G30" s="25" t="s">
        <v>97</v>
      </c>
      <c r="H30" s="25" t="s">
        <v>9</v>
      </c>
      <c r="I30" s="25" t="s">
        <v>24</v>
      </c>
      <c r="J30" s="25" t="s">
        <v>1423</v>
      </c>
    </row>
    <row r="31">
      <c r="A31" s="533">
        <v>42580.0</v>
      </c>
      <c r="B31" s="533">
        <v>42580.0</v>
      </c>
      <c r="C31" s="535" t="str">
        <f t="shared" si="5"/>
        <v>Jul-2016</v>
      </c>
      <c r="D31" s="16" t="s">
        <v>20</v>
      </c>
      <c r="E31" s="16" t="s">
        <v>35</v>
      </c>
      <c r="F31" s="16" t="s">
        <v>1437</v>
      </c>
      <c r="G31" s="16" t="s">
        <v>1438</v>
      </c>
      <c r="H31" s="16" t="s">
        <v>27</v>
      </c>
      <c r="I31" s="16" t="s">
        <v>30</v>
      </c>
      <c r="J31" s="16" t="s">
        <v>1406</v>
      </c>
      <c r="K31" s="101"/>
    </row>
    <row r="32">
      <c r="A32" s="172"/>
      <c r="B32" s="533">
        <v>42580.0</v>
      </c>
      <c r="C32" s="535" t="str">
        <f t="shared" si="5"/>
        <v>Jul-2016</v>
      </c>
      <c r="D32" s="16" t="s">
        <v>25</v>
      </c>
      <c r="E32" s="16" t="s">
        <v>35</v>
      </c>
      <c r="F32" s="16" t="s">
        <v>1437</v>
      </c>
      <c r="G32" s="16" t="s">
        <v>140</v>
      </c>
      <c r="H32" s="16" t="s">
        <v>27</v>
      </c>
      <c r="I32" s="16" t="s">
        <v>30</v>
      </c>
      <c r="J32" s="16" t="s">
        <v>1427</v>
      </c>
      <c r="K32" s="101"/>
    </row>
    <row r="33">
      <c r="A33" s="172"/>
      <c r="B33" s="533">
        <v>42580.0</v>
      </c>
      <c r="C33" s="447" t="str">
        <f t="shared" si="5"/>
        <v>Jul-2016</v>
      </c>
      <c r="D33" s="119" t="s">
        <v>20</v>
      </c>
      <c r="E33" s="119" t="s">
        <v>35</v>
      </c>
      <c r="F33" s="119" t="s">
        <v>369</v>
      </c>
      <c r="G33" s="119" t="s">
        <v>1361</v>
      </c>
      <c r="H33" s="119" t="s">
        <v>27</v>
      </c>
      <c r="I33" s="119" t="s">
        <v>24</v>
      </c>
      <c r="J33" s="119" t="s">
        <v>1406</v>
      </c>
      <c r="K33" s="174"/>
    </row>
    <row r="34">
      <c r="A34" s="172"/>
      <c r="B34" s="533">
        <v>42580.0</v>
      </c>
      <c r="C34" s="447" t="str">
        <f t="shared" si="5"/>
        <v>Jul-2016</v>
      </c>
      <c r="D34" s="119" t="s">
        <v>25</v>
      </c>
      <c r="E34" s="119" t="s">
        <v>35</v>
      </c>
      <c r="F34" s="119" t="s">
        <v>369</v>
      </c>
      <c r="G34" s="119" t="s">
        <v>1361</v>
      </c>
      <c r="H34" s="119" t="s">
        <v>9</v>
      </c>
      <c r="I34" s="119" t="s">
        <v>30</v>
      </c>
      <c r="J34" s="119" t="s">
        <v>1406</v>
      </c>
      <c r="K34" s="174"/>
    </row>
    <row r="35">
      <c r="A35" s="172"/>
      <c r="B35" s="533">
        <v>42580.0</v>
      </c>
      <c r="C35" s="447" t="str">
        <f t="shared" si="5"/>
        <v>Jul-2016</v>
      </c>
      <c r="D35" s="119" t="s">
        <v>32</v>
      </c>
      <c r="E35" s="119" t="s">
        <v>35</v>
      </c>
      <c r="F35" s="119" t="s">
        <v>369</v>
      </c>
      <c r="G35" s="119" t="s">
        <v>97</v>
      </c>
      <c r="H35" s="119" t="s">
        <v>9</v>
      </c>
      <c r="I35" s="119" t="s">
        <v>24</v>
      </c>
      <c r="J35" s="119" t="s">
        <v>1439</v>
      </c>
      <c r="K35" s="174"/>
    </row>
    <row r="36">
      <c r="A36" s="94"/>
    </row>
    <row r="37">
      <c r="A37" s="171" t="s">
        <v>227</v>
      </c>
      <c r="B37" s="533">
        <v>42581.0</v>
      </c>
      <c r="C37" s="535" t="str">
        <f t="shared" ref="C37:C46" si="6">TEXT(B37, "mmm") &amp; "-" &amp; TEXT(B37, "yyyy")</f>
        <v>Jul-2016</v>
      </c>
      <c r="D37" s="16" t="s">
        <v>20</v>
      </c>
      <c r="E37" s="16" t="s">
        <v>589</v>
      </c>
      <c r="F37" s="16" t="s">
        <v>1440</v>
      </c>
      <c r="G37" s="16" t="s">
        <v>1364</v>
      </c>
      <c r="H37" s="16" t="s">
        <v>27</v>
      </c>
      <c r="I37" s="16" t="s">
        <v>24</v>
      </c>
      <c r="J37" s="16" t="s">
        <v>1406</v>
      </c>
      <c r="K37" s="101"/>
    </row>
    <row r="38">
      <c r="A38" s="171" t="s">
        <v>228</v>
      </c>
      <c r="B38" s="533">
        <v>42581.0</v>
      </c>
      <c r="C38" s="535" t="str">
        <f t="shared" si="6"/>
        <v>Jul-2016</v>
      </c>
      <c r="D38" s="16" t="s">
        <v>25</v>
      </c>
      <c r="E38" s="16" t="s">
        <v>589</v>
      </c>
      <c r="F38" s="16" t="s">
        <v>1440</v>
      </c>
      <c r="G38" s="16" t="s">
        <v>1364</v>
      </c>
      <c r="H38" s="16" t="s">
        <v>9</v>
      </c>
      <c r="I38" s="16" t="s">
        <v>24</v>
      </c>
      <c r="J38" s="16" t="s">
        <v>1423</v>
      </c>
      <c r="K38" s="101"/>
    </row>
    <row r="39">
      <c r="A39" s="533">
        <v>42581.0</v>
      </c>
      <c r="B39" s="533">
        <v>42581.0</v>
      </c>
      <c r="C39" s="447" t="str">
        <f t="shared" si="6"/>
        <v>Jul-2016</v>
      </c>
      <c r="D39" s="25" t="s">
        <v>20</v>
      </c>
      <c r="E39" s="25" t="s">
        <v>589</v>
      </c>
      <c r="F39" s="25" t="s">
        <v>259</v>
      </c>
      <c r="G39" s="25" t="s">
        <v>97</v>
      </c>
      <c r="H39" s="25" t="s">
        <v>64</v>
      </c>
      <c r="I39" s="25" t="s">
        <v>24</v>
      </c>
      <c r="J39" s="25" t="s">
        <v>1406</v>
      </c>
    </row>
    <row r="40">
      <c r="A40" s="172"/>
      <c r="B40" s="533">
        <v>42581.0</v>
      </c>
      <c r="C40" s="447" t="str">
        <f t="shared" si="6"/>
        <v>Jul-2016</v>
      </c>
      <c r="D40" s="25" t="s">
        <v>25</v>
      </c>
      <c r="E40" s="25" t="s">
        <v>589</v>
      </c>
      <c r="F40" s="25" t="s">
        <v>259</v>
      </c>
      <c r="G40" s="25" t="s">
        <v>97</v>
      </c>
      <c r="H40" s="25" t="s">
        <v>86</v>
      </c>
      <c r="I40" s="25" t="s">
        <v>24</v>
      </c>
      <c r="J40" s="25" t="s">
        <v>1423</v>
      </c>
    </row>
    <row r="41">
      <c r="A41" s="172"/>
      <c r="B41" s="533">
        <v>42581.0</v>
      </c>
      <c r="C41" s="535" t="str">
        <f t="shared" si="6"/>
        <v>Jul-2016</v>
      </c>
      <c r="D41" s="16" t="s">
        <v>20</v>
      </c>
      <c r="E41" s="16" t="s">
        <v>589</v>
      </c>
      <c r="F41" s="16" t="s">
        <v>266</v>
      </c>
      <c r="G41" s="16" t="s">
        <v>1362</v>
      </c>
      <c r="H41" s="16" t="s">
        <v>1212</v>
      </c>
      <c r="I41" s="16" t="s">
        <v>24</v>
      </c>
      <c r="J41" s="16" t="s">
        <v>1406</v>
      </c>
      <c r="K41" s="101"/>
    </row>
    <row r="42">
      <c r="A42" s="172"/>
      <c r="B42" s="533">
        <v>42581.0</v>
      </c>
      <c r="C42" s="535" t="str">
        <f t="shared" si="6"/>
        <v>Jul-2016</v>
      </c>
      <c r="D42" s="16" t="s">
        <v>25</v>
      </c>
      <c r="E42" s="16" t="s">
        <v>589</v>
      </c>
      <c r="F42" s="16" t="s">
        <v>266</v>
      </c>
      <c r="G42" s="16" t="s">
        <v>1362</v>
      </c>
      <c r="H42" s="16" t="s">
        <v>27</v>
      </c>
      <c r="I42" s="16" t="s">
        <v>24</v>
      </c>
      <c r="J42" s="16" t="s">
        <v>1423</v>
      </c>
      <c r="K42" s="101"/>
    </row>
    <row r="43">
      <c r="A43" s="172"/>
      <c r="B43" s="533">
        <v>42581.0</v>
      </c>
      <c r="C43" s="447" t="str">
        <f t="shared" si="6"/>
        <v>Jul-2016</v>
      </c>
      <c r="D43" s="25" t="s">
        <v>20</v>
      </c>
      <c r="E43" s="25" t="s">
        <v>589</v>
      </c>
      <c r="F43" s="25" t="s">
        <v>1441</v>
      </c>
      <c r="G43" s="25" t="s">
        <v>1442</v>
      </c>
      <c r="H43" s="25" t="s">
        <v>27</v>
      </c>
      <c r="I43" s="25" t="s">
        <v>24</v>
      </c>
      <c r="J43" s="25" t="s">
        <v>1406</v>
      </c>
    </row>
    <row r="44">
      <c r="A44" s="172"/>
      <c r="B44" s="533">
        <v>42581.0</v>
      </c>
      <c r="C44" s="447" t="str">
        <f t="shared" si="6"/>
        <v>Jul-2016</v>
      </c>
      <c r="D44" s="25" t="s">
        <v>25</v>
      </c>
      <c r="E44" s="25" t="s">
        <v>589</v>
      </c>
      <c r="F44" s="25" t="s">
        <v>1441</v>
      </c>
      <c r="G44" s="25" t="s">
        <v>1442</v>
      </c>
      <c r="H44" s="25" t="s">
        <v>9</v>
      </c>
      <c r="I44" s="25" t="s">
        <v>24</v>
      </c>
      <c r="J44" s="25" t="s">
        <v>1427</v>
      </c>
    </row>
    <row r="45">
      <c r="A45" s="172"/>
      <c r="B45" s="533">
        <v>42581.0</v>
      </c>
      <c r="C45" s="535" t="str">
        <f t="shared" si="6"/>
        <v>Jul-2016</v>
      </c>
      <c r="D45" s="16" t="s">
        <v>20</v>
      </c>
      <c r="E45" s="16" t="s">
        <v>589</v>
      </c>
      <c r="F45" s="16" t="s">
        <v>541</v>
      </c>
      <c r="G45" s="16" t="s">
        <v>139</v>
      </c>
      <c r="H45" s="16" t="s">
        <v>9</v>
      </c>
      <c r="I45" s="16" t="s">
        <v>24</v>
      </c>
      <c r="J45" s="16" t="s">
        <v>1406</v>
      </c>
      <c r="K45" s="101"/>
    </row>
    <row r="46">
      <c r="A46" s="172"/>
      <c r="B46" s="533">
        <v>42581.0</v>
      </c>
      <c r="C46" s="535" t="str">
        <f t="shared" si="6"/>
        <v>Jul-2016</v>
      </c>
      <c r="D46" s="16" t="s">
        <v>25</v>
      </c>
      <c r="E46" s="16" t="s">
        <v>589</v>
      </c>
      <c r="F46" s="16" t="s">
        <v>541</v>
      </c>
      <c r="G46" s="16" t="s">
        <v>139</v>
      </c>
      <c r="H46" s="16" t="s">
        <v>9</v>
      </c>
      <c r="I46" s="16" t="s">
        <v>24</v>
      </c>
      <c r="J46" s="16" t="s">
        <v>1423</v>
      </c>
      <c r="K46" s="101"/>
    </row>
    <row r="47">
      <c r="A47" s="94"/>
    </row>
    <row r="48">
      <c r="A48" s="171" t="s">
        <v>483</v>
      </c>
      <c r="B48" s="533">
        <v>42877.0</v>
      </c>
      <c r="C48" s="447" t="str">
        <f t="shared" ref="C48:C55" si="7">TEXT(B48, "mmm") &amp; "-" &amp; TEXT(B48, "yyyy")</f>
        <v>May-2017</v>
      </c>
      <c r="D48" s="25" t="s">
        <v>20</v>
      </c>
      <c r="E48" s="119" t="s">
        <v>35</v>
      </c>
      <c r="F48" s="25" t="s">
        <v>1443</v>
      </c>
      <c r="G48" s="25" t="s">
        <v>1362</v>
      </c>
      <c r="H48" s="25" t="s">
        <v>9</v>
      </c>
      <c r="I48" s="25" t="s">
        <v>30</v>
      </c>
      <c r="J48" s="25" t="s">
        <v>1427</v>
      </c>
    </row>
    <row r="49">
      <c r="A49" s="171" t="s">
        <v>151</v>
      </c>
      <c r="B49" s="533">
        <v>42877.0</v>
      </c>
      <c r="C49" s="447" t="str">
        <f t="shared" si="7"/>
        <v>May-2017</v>
      </c>
      <c r="D49" s="25" t="s">
        <v>25</v>
      </c>
      <c r="E49" s="119" t="s">
        <v>35</v>
      </c>
      <c r="F49" s="25" t="s">
        <v>1443</v>
      </c>
      <c r="G49" s="25" t="s">
        <v>1444</v>
      </c>
      <c r="H49" s="25" t="s">
        <v>9</v>
      </c>
      <c r="I49" s="25" t="s">
        <v>30</v>
      </c>
      <c r="J49" s="25" t="s">
        <v>1445</v>
      </c>
    </row>
    <row r="50">
      <c r="A50" s="533">
        <v>42877.0</v>
      </c>
      <c r="B50" s="533">
        <v>42877.0</v>
      </c>
      <c r="C50" s="447" t="str">
        <f t="shared" si="7"/>
        <v>May-2017</v>
      </c>
      <c r="D50" s="25" t="s">
        <v>20</v>
      </c>
      <c r="E50" s="119" t="s">
        <v>35</v>
      </c>
      <c r="F50" s="25" t="s">
        <v>446</v>
      </c>
      <c r="G50" s="25" t="s">
        <v>1446</v>
      </c>
      <c r="H50" s="25" t="s">
        <v>9</v>
      </c>
      <c r="I50" s="25" t="s">
        <v>24</v>
      </c>
      <c r="J50" s="25" t="s">
        <v>1423</v>
      </c>
    </row>
    <row r="51">
      <c r="A51" s="172"/>
      <c r="B51" s="533">
        <v>42877.0</v>
      </c>
      <c r="C51" s="447" t="str">
        <f t="shared" si="7"/>
        <v>May-2017</v>
      </c>
      <c r="D51" s="25" t="s">
        <v>25</v>
      </c>
      <c r="E51" s="119" t="s">
        <v>35</v>
      </c>
      <c r="F51" s="25" t="s">
        <v>446</v>
      </c>
      <c r="G51" s="25" t="s">
        <v>1446</v>
      </c>
      <c r="H51" s="25" t="s">
        <v>64</v>
      </c>
      <c r="I51" s="25" t="s">
        <v>24</v>
      </c>
      <c r="J51" s="25" t="s">
        <v>1409</v>
      </c>
    </row>
    <row r="52">
      <c r="A52" s="172"/>
      <c r="B52" s="533">
        <v>42877.0</v>
      </c>
      <c r="C52" s="447" t="str">
        <f t="shared" si="7"/>
        <v>May-2017</v>
      </c>
      <c r="D52" s="25" t="s">
        <v>20</v>
      </c>
      <c r="E52" s="119" t="s">
        <v>35</v>
      </c>
      <c r="F52" s="25" t="s">
        <v>414</v>
      </c>
      <c r="G52" s="25" t="s">
        <v>1362</v>
      </c>
      <c r="H52" s="25" t="s">
        <v>9</v>
      </c>
      <c r="I52" s="25" t="s">
        <v>30</v>
      </c>
      <c r="J52" s="25" t="s">
        <v>1423</v>
      </c>
    </row>
    <row r="53">
      <c r="A53" s="172"/>
      <c r="B53" s="533">
        <v>42877.0</v>
      </c>
      <c r="C53" s="447" t="str">
        <f t="shared" si="7"/>
        <v>May-2017</v>
      </c>
      <c r="D53" s="25" t="s">
        <v>25</v>
      </c>
      <c r="E53" s="119" t="s">
        <v>35</v>
      </c>
      <c r="F53" s="25" t="s">
        <v>414</v>
      </c>
      <c r="G53" s="25" t="s">
        <v>1362</v>
      </c>
      <c r="H53" s="25" t="s">
        <v>9</v>
      </c>
      <c r="I53" s="25" t="s">
        <v>30</v>
      </c>
      <c r="J53" s="25" t="s">
        <v>1423</v>
      </c>
    </row>
    <row r="54">
      <c r="A54" s="172"/>
      <c r="B54" s="533">
        <v>42877.0</v>
      </c>
      <c r="C54" s="447" t="str">
        <f t="shared" si="7"/>
        <v>May-2017</v>
      </c>
      <c r="D54" s="25" t="s">
        <v>20</v>
      </c>
      <c r="E54" s="119" t="s">
        <v>35</v>
      </c>
      <c r="F54" s="25" t="s">
        <v>193</v>
      </c>
      <c r="G54" s="25" t="s">
        <v>1446</v>
      </c>
      <c r="H54" s="25" t="s">
        <v>64</v>
      </c>
      <c r="I54" s="25" t="s">
        <v>24</v>
      </c>
      <c r="J54" s="25" t="s">
        <v>1423</v>
      </c>
    </row>
    <row r="55">
      <c r="A55" s="172"/>
      <c r="B55" s="533">
        <v>42877.0</v>
      </c>
      <c r="C55" s="447" t="str">
        <f t="shared" si="7"/>
        <v>May-2017</v>
      </c>
      <c r="D55" s="25" t="s">
        <v>25</v>
      </c>
      <c r="E55" s="119" t="s">
        <v>35</v>
      </c>
      <c r="F55" s="25" t="s">
        <v>193</v>
      </c>
      <c r="G55" s="25" t="s">
        <v>1446</v>
      </c>
      <c r="H55" s="25" t="s">
        <v>9</v>
      </c>
      <c r="I55" s="25" t="s">
        <v>24</v>
      </c>
      <c r="J55" s="25" t="s">
        <v>1409</v>
      </c>
    </row>
    <row r="56">
      <c r="A56" s="94"/>
    </row>
    <row r="57">
      <c r="A57" s="171" t="s">
        <v>540</v>
      </c>
      <c r="B57" s="240">
        <v>42949.0</v>
      </c>
      <c r="C57" s="447" t="str">
        <f t="shared" ref="C57:C60" si="8">TEXT(B57, "mmm") &amp; "-" &amp; TEXT(B57, "yyyy")</f>
        <v>Aug-2017</v>
      </c>
      <c r="D57" s="25" t="s">
        <v>20</v>
      </c>
      <c r="E57" s="25" t="s">
        <v>35</v>
      </c>
      <c r="F57" s="25" t="s">
        <v>193</v>
      </c>
      <c r="G57" s="25" t="s">
        <v>1446</v>
      </c>
      <c r="H57" s="25" t="s">
        <v>9</v>
      </c>
      <c r="I57" s="25" t="s">
        <v>24</v>
      </c>
      <c r="J57" s="25" t="s">
        <v>1406</v>
      </c>
    </row>
    <row r="58">
      <c r="A58" s="171" t="s">
        <v>151</v>
      </c>
      <c r="B58" s="240">
        <v>42949.0</v>
      </c>
      <c r="C58" s="447" t="str">
        <f t="shared" si="8"/>
        <v>Aug-2017</v>
      </c>
      <c r="D58" s="25" t="s">
        <v>25</v>
      </c>
      <c r="E58" s="25" t="s">
        <v>35</v>
      </c>
      <c r="F58" s="25" t="s">
        <v>193</v>
      </c>
      <c r="G58" s="25" t="s">
        <v>1446</v>
      </c>
      <c r="H58" s="25" t="s">
        <v>1212</v>
      </c>
      <c r="I58" s="25" t="s">
        <v>24</v>
      </c>
      <c r="J58" s="25" t="s">
        <v>1439</v>
      </c>
    </row>
    <row r="59">
      <c r="A59" s="172"/>
      <c r="B59" s="240">
        <v>42949.0</v>
      </c>
      <c r="C59" s="447" t="str">
        <f t="shared" si="8"/>
        <v>Aug-2017</v>
      </c>
      <c r="D59" s="25" t="s">
        <v>20</v>
      </c>
      <c r="E59" s="25" t="s">
        <v>35</v>
      </c>
      <c r="F59" s="25" t="s">
        <v>916</v>
      </c>
      <c r="G59" s="25" t="s">
        <v>1446</v>
      </c>
      <c r="H59" s="25" t="s">
        <v>64</v>
      </c>
      <c r="I59" s="25" t="s">
        <v>24</v>
      </c>
      <c r="J59" s="25" t="s">
        <v>1406</v>
      </c>
    </row>
    <row r="60">
      <c r="A60" s="240">
        <v>42949.0</v>
      </c>
      <c r="B60" s="240">
        <v>42949.0</v>
      </c>
      <c r="C60" s="447" t="str">
        <f t="shared" si="8"/>
        <v>Aug-2017</v>
      </c>
      <c r="D60" s="25" t="s">
        <v>25</v>
      </c>
      <c r="E60" s="25" t="s">
        <v>35</v>
      </c>
      <c r="F60" s="25" t="s">
        <v>916</v>
      </c>
      <c r="G60" s="25" t="s">
        <v>1446</v>
      </c>
      <c r="H60" s="25" t="s">
        <v>1212</v>
      </c>
      <c r="I60" s="25" t="s">
        <v>24</v>
      </c>
      <c r="J60" s="25" t="s">
        <v>1447</v>
      </c>
    </row>
    <row r="61">
      <c r="A61" s="94"/>
    </row>
    <row r="62">
      <c r="A62" s="133" t="s">
        <v>874</v>
      </c>
      <c r="B62" s="168">
        <v>43224.0</v>
      </c>
      <c r="C62" s="447" t="str">
        <f t="shared" ref="C62:C69" si="9">TEXT(B62, "mmm") &amp; "-" &amp; TEXT(B62, "yyyy")</f>
        <v>May-2018</v>
      </c>
      <c r="D62" s="25" t="s">
        <v>20</v>
      </c>
      <c r="E62" s="25" t="s">
        <v>35</v>
      </c>
      <c r="F62" s="25" t="s">
        <v>880</v>
      </c>
      <c r="G62" s="25" t="s">
        <v>44</v>
      </c>
      <c r="H62" s="25" t="s">
        <v>9</v>
      </c>
      <c r="I62" s="25" t="s">
        <v>24</v>
      </c>
      <c r="J62" s="25" t="s">
        <v>1406</v>
      </c>
    </row>
    <row r="63">
      <c r="A63" s="134" t="s">
        <v>827</v>
      </c>
      <c r="B63" s="168">
        <v>43224.0</v>
      </c>
      <c r="C63" s="447" t="str">
        <f t="shared" si="9"/>
        <v>May-2018</v>
      </c>
      <c r="D63" s="25" t="s">
        <v>25</v>
      </c>
      <c r="E63" s="25" t="s">
        <v>35</v>
      </c>
      <c r="F63" s="25" t="s">
        <v>880</v>
      </c>
      <c r="G63" s="25" t="s">
        <v>44</v>
      </c>
      <c r="H63" s="25" t="s">
        <v>64</v>
      </c>
      <c r="I63" s="25" t="s">
        <v>24</v>
      </c>
      <c r="J63" s="25" t="s">
        <v>1409</v>
      </c>
    </row>
    <row r="64">
      <c r="A64" s="134" t="s">
        <v>829</v>
      </c>
      <c r="B64" s="168">
        <v>43224.0</v>
      </c>
      <c r="C64" s="447" t="str">
        <f t="shared" si="9"/>
        <v>May-2018</v>
      </c>
      <c r="D64" s="25" t="s">
        <v>20</v>
      </c>
      <c r="E64" s="25" t="s">
        <v>35</v>
      </c>
      <c r="F64" s="25" t="s">
        <v>414</v>
      </c>
      <c r="G64" s="25" t="s">
        <v>64</v>
      </c>
      <c r="H64" s="25" t="s">
        <v>64</v>
      </c>
      <c r="I64" s="25" t="s">
        <v>30</v>
      </c>
      <c r="J64" s="25" t="s">
        <v>1406</v>
      </c>
    </row>
    <row r="65">
      <c r="A65" s="168">
        <v>43224.0</v>
      </c>
      <c r="B65" s="168">
        <v>43224.0</v>
      </c>
      <c r="C65" s="447" t="str">
        <f t="shared" si="9"/>
        <v>May-2018</v>
      </c>
      <c r="D65" s="25" t="s">
        <v>25</v>
      </c>
      <c r="E65" s="25" t="s">
        <v>35</v>
      </c>
      <c r="F65" s="25" t="s">
        <v>414</v>
      </c>
      <c r="G65" s="25" t="s">
        <v>64</v>
      </c>
      <c r="H65" s="25" t="s">
        <v>64</v>
      </c>
      <c r="I65" s="25" t="s">
        <v>24</v>
      </c>
      <c r="J65" s="25" t="s">
        <v>1423</v>
      </c>
    </row>
    <row r="66">
      <c r="A66" s="176" t="s">
        <v>876</v>
      </c>
      <c r="B66" s="168">
        <v>43224.0</v>
      </c>
      <c r="C66" s="447" t="str">
        <f t="shared" si="9"/>
        <v>May-2018</v>
      </c>
      <c r="D66" s="119" t="s">
        <v>32</v>
      </c>
      <c r="E66" s="25" t="s">
        <v>35</v>
      </c>
      <c r="F66" s="25" t="s">
        <v>414</v>
      </c>
      <c r="G66" s="25" t="s">
        <v>64</v>
      </c>
      <c r="H66" s="25" t="s">
        <v>9</v>
      </c>
      <c r="I66" s="25" t="s">
        <v>30</v>
      </c>
      <c r="J66" s="25" t="s">
        <v>1423</v>
      </c>
    </row>
    <row r="67">
      <c r="A67" s="134" t="s">
        <v>74</v>
      </c>
      <c r="B67" s="168">
        <v>43224.0</v>
      </c>
      <c r="C67" s="447" t="str">
        <f t="shared" si="9"/>
        <v>May-2018</v>
      </c>
      <c r="D67" s="25" t="s">
        <v>20</v>
      </c>
      <c r="E67" s="25" t="s">
        <v>35</v>
      </c>
      <c r="F67" s="25" t="s">
        <v>878</v>
      </c>
      <c r="G67" s="25" t="s">
        <v>1361</v>
      </c>
      <c r="H67" s="25" t="s">
        <v>64</v>
      </c>
      <c r="I67" s="25" t="s">
        <v>30</v>
      </c>
      <c r="J67" s="25" t="s">
        <v>1439</v>
      </c>
    </row>
    <row r="68">
      <c r="A68" s="140"/>
      <c r="B68" s="168">
        <v>43224.0</v>
      </c>
      <c r="C68" s="447" t="str">
        <f t="shared" si="9"/>
        <v>May-2018</v>
      </c>
      <c r="D68" s="25" t="s">
        <v>25</v>
      </c>
      <c r="E68" s="25" t="s">
        <v>35</v>
      </c>
      <c r="F68" s="25" t="s">
        <v>878</v>
      </c>
      <c r="G68" s="25" t="s">
        <v>1361</v>
      </c>
      <c r="H68" s="25" t="s">
        <v>64</v>
      </c>
      <c r="I68" s="25" t="s">
        <v>24</v>
      </c>
      <c r="J68" s="25" t="s">
        <v>1423</v>
      </c>
    </row>
    <row r="69">
      <c r="A69" s="140"/>
      <c r="B69" s="168">
        <v>43224.0</v>
      </c>
      <c r="C69" s="447" t="str">
        <f t="shared" si="9"/>
        <v>May-2018</v>
      </c>
      <c r="D69" s="119" t="s">
        <v>32</v>
      </c>
      <c r="E69" s="25" t="s">
        <v>35</v>
      </c>
      <c r="F69" s="25" t="s">
        <v>878</v>
      </c>
      <c r="G69" s="25" t="s">
        <v>1361</v>
      </c>
      <c r="H69" s="25" t="s">
        <v>64</v>
      </c>
      <c r="I69" s="25" t="s">
        <v>24</v>
      </c>
      <c r="J69" s="25" t="s">
        <v>1406</v>
      </c>
    </row>
    <row r="70">
      <c r="A70" s="94"/>
    </row>
    <row r="71">
      <c r="A71" s="279" t="s">
        <v>893</v>
      </c>
      <c r="B71" s="240">
        <v>43259.0</v>
      </c>
      <c r="C71" s="447" t="str">
        <f t="shared" ref="C71:C76" si="10">TEXT(B71, "mmm") &amp; "-" &amp; TEXT(B71, "yyyy")</f>
        <v>Jun-2018</v>
      </c>
      <c r="D71" s="25" t="s">
        <v>20</v>
      </c>
      <c r="E71" s="25" t="s">
        <v>35</v>
      </c>
      <c r="F71" s="25" t="s">
        <v>1448</v>
      </c>
      <c r="G71" s="25" t="s">
        <v>1436</v>
      </c>
      <c r="H71" s="25" t="s">
        <v>64</v>
      </c>
      <c r="I71" s="25" t="s">
        <v>24</v>
      </c>
      <c r="J71" s="25" t="s">
        <v>1423</v>
      </c>
    </row>
    <row r="72">
      <c r="A72" s="171" t="s">
        <v>827</v>
      </c>
      <c r="B72" s="240">
        <v>43259.0</v>
      </c>
      <c r="C72" s="447" t="str">
        <f t="shared" si="10"/>
        <v>Jun-2018</v>
      </c>
      <c r="D72" s="25" t="s">
        <v>25</v>
      </c>
      <c r="E72" s="25" t="s">
        <v>35</v>
      </c>
      <c r="F72" s="25" t="s">
        <v>1448</v>
      </c>
      <c r="G72" s="25" t="s">
        <v>1436</v>
      </c>
      <c r="H72" s="25" t="s">
        <v>9</v>
      </c>
      <c r="I72" s="25" t="s">
        <v>30</v>
      </c>
      <c r="J72" s="25" t="s">
        <v>1406</v>
      </c>
    </row>
    <row r="73">
      <c r="A73" s="171" t="s">
        <v>896</v>
      </c>
      <c r="B73" s="240">
        <v>43259.0</v>
      </c>
      <c r="C73" s="447" t="str">
        <f t="shared" si="10"/>
        <v>Jun-2018</v>
      </c>
      <c r="D73" s="119" t="s">
        <v>32</v>
      </c>
      <c r="E73" s="25" t="s">
        <v>35</v>
      </c>
      <c r="F73" s="25" t="s">
        <v>1448</v>
      </c>
      <c r="G73" s="25" t="s">
        <v>1436</v>
      </c>
      <c r="H73" s="25" t="s">
        <v>9</v>
      </c>
      <c r="I73" s="25" t="s">
        <v>24</v>
      </c>
      <c r="J73" s="25" t="s">
        <v>1433</v>
      </c>
    </row>
    <row r="74">
      <c r="A74" s="240">
        <v>43259.0</v>
      </c>
      <c r="B74" s="240">
        <v>43259.0</v>
      </c>
      <c r="C74" s="447" t="str">
        <f t="shared" si="10"/>
        <v>Jun-2018</v>
      </c>
      <c r="D74" s="25" t="s">
        <v>20</v>
      </c>
      <c r="E74" s="25" t="s">
        <v>35</v>
      </c>
      <c r="F74" s="25" t="s">
        <v>1449</v>
      </c>
      <c r="G74" s="25" t="s">
        <v>1428</v>
      </c>
      <c r="H74" s="25" t="s">
        <v>64</v>
      </c>
      <c r="I74" s="25" t="s">
        <v>24</v>
      </c>
      <c r="J74" s="25" t="s">
        <v>1423</v>
      </c>
    </row>
    <row r="75">
      <c r="A75" s="171" t="s">
        <v>74</v>
      </c>
      <c r="B75" s="240">
        <v>43259.0</v>
      </c>
      <c r="C75" s="447" t="str">
        <f t="shared" si="10"/>
        <v>Jun-2018</v>
      </c>
      <c r="D75" s="25" t="s">
        <v>25</v>
      </c>
      <c r="E75" s="25" t="s">
        <v>35</v>
      </c>
      <c r="F75" s="25" t="s">
        <v>1449</v>
      </c>
      <c r="G75" s="25" t="s">
        <v>1428</v>
      </c>
      <c r="H75" s="25" t="s">
        <v>64</v>
      </c>
      <c r="I75" s="25" t="s">
        <v>24</v>
      </c>
      <c r="J75" s="25" t="s">
        <v>1406</v>
      </c>
    </row>
    <row r="76">
      <c r="A76" s="301" t="s">
        <v>1450</v>
      </c>
      <c r="B76" s="240">
        <v>43259.0</v>
      </c>
      <c r="C76" s="447" t="str">
        <f t="shared" si="10"/>
        <v>Jun-2018</v>
      </c>
    </row>
    <row r="77">
      <c r="A77" s="94"/>
    </row>
    <row r="78">
      <c r="A78" s="279" t="s">
        <v>929</v>
      </c>
      <c r="B78" s="240">
        <v>43294.0</v>
      </c>
      <c r="C78" s="447" t="str">
        <f t="shared" ref="C78:C89" si="11">TEXT(B78, "mmm") &amp; "-" &amp; TEXT(B78, "yyyy")</f>
        <v>Jul-2018</v>
      </c>
      <c r="D78" s="25" t="s">
        <v>20</v>
      </c>
      <c r="E78" s="25" t="s">
        <v>35</v>
      </c>
      <c r="F78" s="25" t="s">
        <v>1451</v>
      </c>
      <c r="G78" s="25" t="s">
        <v>1452</v>
      </c>
      <c r="H78" s="25" t="s">
        <v>64</v>
      </c>
      <c r="I78" s="25" t="s">
        <v>24</v>
      </c>
      <c r="J78" s="25" t="s">
        <v>1445</v>
      </c>
    </row>
    <row r="79">
      <c r="A79" s="171" t="s">
        <v>827</v>
      </c>
      <c r="B79" s="240">
        <v>43294.0</v>
      </c>
      <c r="C79" s="447" t="str">
        <f t="shared" si="11"/>
        <v>Jul-2018</v>
      </c>
      <c r="D79" s="25" t="s">
        <v>25</v>
      </c>
      <c r="E79" s="25" t="s">
        <v>35</v>
      </c>
      <c r="F79" s="25" t="s">
        <v>1451</v>
      </c>
      <c r="G79" s="25" t="s">
        <v>1452</v>
      </c>
      <c r="H79" s="25" t="s">
        <v>86</v>
      </c>
      <c r="I79" s="25" t="s">
        <v>24</v>
      </c>
      <c r="J79" s="25" t="s">
        <v>1406</v>
      </c>
    </row>
    <row r="80">
      <c r="A80" s="171" t="s">
        <v>896</v>
      </c>
      <c r="B80" s="240">
        <v>43294.0</v>
      </c>
      <c r="C80" s="447" t="str">
        <f t="shared" si="11"/>
        <v>Jul-2018</v>
      </c>
      <c r="D80" s="25" t="s">
        <v>20</v>
      </c>
      <c r="E80" s="25" t="s">
        <v>35</v>
      </c>
      <c r="F80" s="25" t="s">
        <v>878</v>
      </c>
      <c r="G80" s="25" t="s">
        <v>1361</v>
      </c>
      <c r="H80" s="25" t="s">
        <v>64</v>
      </c>
      <c r="I80" s="25" t="s">
        <v>24</v>
      </c>
      <c r="J80" s="25" t="s">
        <v>1433</v>
      </c>
      <c r="K80" s="25" t="s">
        <v>1453</v>
      </c>
    </row>
    <row r="81">
      <c r="A81" s="240">
        <v>43294.0</v>
      </c>
      <c r="B81" s="240">
        <v>43294.0</v>
      </c>
      <c r="C81" s="447" t="str">
        <f t="shared" si="11"/>
        <v>Jul-2018</v>
      </c>
      <c r="D81" s="25" t="s">
        <v>25</v>
      </c>
      <c r="E81" s="25" t="s">
        <v>35</v>
      </c>
      <c r="F81" s="25" t="s">
        <v>878</v>
      </c>
      <c r="G81" s="25" t="s">
        <v>1361</v>
      </c>
      <c r="H81" s="25" t="s">
        <v>9</v>
      </c>
      <c r="I81" s="25" t="s">
        <v>30</v>
      </c>
      <c r="J81" s="25" t="s">
        <v>1423</v>
      </c>
      <c r="K81" s="25" t="s">
        <v>1453</v>
      </c>
    </row>
    <row r="82">
      <c r="A82" s="171" t="s">
        <v>74</v>
      </c>
      <c r="B82" s="240">
        <v>43294.0</v>
      </c>
      <c r="C82" s="447" t="str">
        <f t="shared" si="11"/>
        <v>Jul-2018</v>
      </c>
      <c r="D82" s="119" t="s">
        <v>32</v>
      </c>
      <c r="E82" s="25" t="s">
        <v>35</v>
      </c>
      <c r="F82" s="25" t="s">
        <v>878</v>
      </c>
      <c r="G82" s="25" t="s">
        <v>1361</v>
      </c>
      <c r="H82" s="25" t="s">
        <v>9</v>
      </c>
      <c r="I82" s="25" t="s">
        <v>30</v>
      </c>
      <c r="J82" s="25" t="s">
        <v>1408</v>
      </c>
      <c r="K82" s="25" t="s">
        <v>1453</v>
      </c>
    </row>
    <row r="83">
      <c r="A83" s="301" t="s">
        <v>1454</v>
      </c>
      <c r="B83" s="240">
        <v>43294.0</v>
      </c>
      <c r="C83" s="447" t="str">
        <f t="shared" si="11"/>
        <v>Jul-2018</v>
      </c>
      <c r="D83" s="25" t="s">
        <v>20</v>
      </c>
      <c r="E83" s="25" t="s">
        <v>35</v>
      </c>
      <c r="F83" s="25" t="s">
        <v>1449</v>
      </c>
      <c r="G83" s="25" t="s">
        <v>1428</v>
      </c>
      <c r="H83" s="25" t="s">
        <v>9</v>
      </c>
      <c r="I83" s="25" t="s">
        <v>30</v>
      </c>
      <c r="J83" s="25" t="s">
        <v>1445</v>
      </c>
    </row>
    <row r="84">
      <c r="A84" s="172"/>
      <c r="B84" s="240">
        <v>43294.0</v>
      </c>
      <c r="C84" s="447" t="str">
        <f t="shared" si="11"/>
        <v>Jul-2018</v>
      </c>
      <c r="D84" s="25" t="s">
        <v>25</v>
      </c>
      <c r="E84" s="25" t="s">
        <v>35</v>
      </c>
      <c r="F84" s="25" t="s">
        <v>1449</v>
      </c>
      <c r="G84" s="25" t="s">
        <v>1428</v>
      </c>
      <c r="H84" s="25" t="s">
        <v>9</v>
      </c>
      <c r="I84" s="25" t="s">
        <v>30</v>
      </c>
      <c r="J84" s="25" t="s">
        <v>1408</v>
      </c>
    </row>
    <row r="85">
      <c r="A85" s="172"/>
      <c r="B85" s="240">
        <v>43294.0</v>
      </c>
      <c r="C85" s="447" t="str">
        <f t="shared" si="11"/>
        <v>Jul-2018</v>
      </c>
      <c r="D85" s="25" t="s">
        <v>20</v>
      </c>
      <c r="E85" s="25" t="s">
        <v>35</v>
      </c>
      <c r="F85" s="25" t="s">
        <v>1455</v>
      </c>
      <c r="G85" s="25" t="s">
        <v>1456</v>
      </c>
      <c r="H85" s="25" t="s">
        <v>9</v>
      </c>
      <c r="I85" s="25" t="s">
        <v>30</v>
      </c>
      <c r="J85" s="25" t="s">
        <v>1406</v>
      </c>
    </row>
    <row r="86">
      <c r="A86" s="172"/>
      <c r="B86" s="240">
        <v>43294.0</v>
      </c>
      <c r="C86" s="447" t="str">
        <f t="shared" si="11"/>
        <v>Jul-2018</v>
      </c>
      <c r="D86" s="25" t="s">
        <v>25</v>
      </c>
      <c r="E86" s="25" t="s">
        <v>35</v>
      </c>
      <c r="F86" s="25" t="s">
        <v>1455</v>
      </c>
      <c r="G86" s="25" t="s">
        <v>1362</v>
      </c>
      <c r="H86" s="25" t="s">
        <v>9</v>
      </c>
      <c r="I86" s="25" t="s">
        <v>24</v>
      </c>
      <c r="J86" s="25" t="s">
        <v>1427</v>
      </c>
    </row>
    <row r="87">
      <c r="A87" s="172"/>
      <c r="B87" s="240">
        <v>43294.0</v>
      </c>
      <c r="C87" s="447" t="str">
        <f t="shared" si="11"/>
        <v>Jul-2018</v>
      </c>
      <c r="D87" s="119" t="s">
        <v>32</v>
      </c>
      <c r="E87" s="25" t="s">
        <v>35</v>
      </c>
      <c r="F87" s="25" t="s">
        <v>1455</v>
      </c>
      <c r="G87" s="25" t="s">
        <v>1362</v>
      </c>
      <c r="H87" s="25" t="s">
        <v>9</v>
      </c>
      <c r="I87" s="25" t="s">
        <v>30</v>
      </c>
      <c r="J87" s="25" t="s">
        <v>1423</v>
      </c>
    </row>
    <row r="88">
      <c r="A88" s="172"/>
      <c r="B88" s="240">
        <v>43294.0</v>
      </c>
      <c r="C88" s="447" t="str">
        <f t="shared" si="11"/>
        <v>Jul-2018</v>
      </c>
      <c r="D88" s="25" t="s">
        <v>20</v>
      </c>
      <c r="E88" s="25" t="s">
        <v>35</v>
      </c>
      <c r="F88" s="25" t="s">
        <v>933</v>
      </c>
      <c r="G88" s="25" t="s">
        <v>140</v>
      </c>
      <c r="H88" s="25" t="s">
        <v>9</v>
      </c>
      <c r="I88" s="25" t="s">
        <v>24</v>
      </c>
      <c r="J88" s="25" t="s">
        <v>1445</v>
      </c>
    </row>
    <row r="89">
      <c r="A89" s="172"/>
      <c r="B89" s="240">
        <v>43294.0</v>
      </c>
      <c r="C89" s="447" t="str">
        <f t="shared" si="11"/>
        <v>Jul-2018</v>
      </c>
      <c r="D89" s="25" t="s">
        <v>25</v>
      </c>
      <c r="E89" s="25" t="s">
        <v>35</v>
      </c>
      <c r="F89" s="25" t="s">
        <v>933</v>
      </c>
      <c r="G89" s="25" t="s">
        <v>140</v>
      </c>
      <c r="H89" s="25" t="s">
        <v>9</v>
      </c>
      <c r="I89" s="25" t="s">
        <v>24</v>
      </c>
      <c r="J89" s="25" t="s">
        <v>1423</v>
      </c>
    </row>
    <row r="90">
      <c r="A90" s="94"/>
      <c r="C90" s="447"/>
      <c r="D90" s="119"/>
    </row>
    <row r="91">
      <c r="A91" s="279" t="s">
        <v>951</v>
      </c>
      <c r="B91" s="240">
        <v>43308.0</v>
      </c>
      <c r="C91" s="447" t="str">
        <f t="shared" ref="C91:C100" si="12">TEXT(B91, "mmm") &amp; "-" &amp; TEXT(B91, "yyyy")</f>
        <v>Jul-2018</v>
      </c>
      <c r="D91" s="25" t="s">
        <v>20</v>
      </c>
      <c r="E91" s="25" t="s">
        <v>35</v>
      </c>
      <c r="F91" s="25" t="s">
        <v>1457</v>
      </c>
      <c r="G91" s="25" t="s">
        <v>1458</v>
      </c>
      <c r="H91" s="25" t="s">
        <v>9</v>
      </c>
      <c r="I91" s="25" t="s">
        <v>24</v>
      </c>
      <c r="J91" s="25" t="s">
        <v>1406</v>
      </c>
    </row>
    <row r="92">
      <c r="A92" s="171" t="s">
        <v>827</v>
      </c>
      <c r="B92" s="240">
        <v>43308.0</v>
      </c>
      <c r="C92" s="447" t="str">
        <f t="shared" si="12"/>
        <v>Jul-2018</v>
      </c>
      <c r="D92" s="25" t="s">
        <v>25</v>
      </c>
      <c r="E92" s="25" t="s">
        <v>35</v>
      </c>
      <c r="F92" s="25" t="s">
        <v>1457</v>
      </c>
      <c r="G92" s="25" t="s">
        <v>1458</v>
      </c>
      <c r="H92" s="25" t="s">
        <v>9</v>
      </c>
      <c r="I92" s="25" t="s">
        <v>30</v>
      </c>
      <c r="J92" s="25" t="s">
        <v>1423</v>
      </c>
    </row>
    <row r="93">
      <c r="A93" s="171" t="s">
        <v>896</v>
      </c>
      <c r="B93" s="240">
        <v>43308.0</v>
      </c>
      <c r="C93" s="447" t="str">
        <f t="shared" si="12"/>
        <v>Jul-2018</v>
      </c>
      <c r="D93" s="119" t="s">
        <v>32</v>
      </c>
      <c r="E93" s="25" t="s">
        <v>35</v>
      </c>
      <c r="F93" s="25" t="s">
        <v>1457</v>
      </c>
      <c r="G93" s="25" t="s">
        <v>1458</v>
      </c>
      <c r="H93" s="25" t="s">
        <v>9</v>
      </c>
      <c r="I93" s="25" t="s">
        <v>30</v>
      </c>
      <c r="J93" s="25" t="s">
        <v>1409</v>
      </c>
    </row>
    <row r="94">
      <c r="A94" s="240">
        <v>43308.0</v>
      </c>
      <c r="B94" s="240">
        <v>43308.0</v>
      </c>
      <c r="C94" s="447" t="str">
        <f t="shared" si="12"/>
        <v>Jul-2018</v>
      </c>
      <c r="D94" s="25" t="s">
        <v>20</v>
      </c>
      <c r="E94" s="25" t="s">
        <v>35</v>
      </c>
      <c r="F94" s="25" t="s">
        <v>111</v>
      </c>
      <c r="G94" s="25" t="s">
        <v>1459</v>
      </c>
      <c r="H94" s="25" t="s">
        <v>9</v>
      </c>
      <c r="I94" s="25" t="s">
        <v>24</v>
      </c>
      <c r="J94" s="25" t="s">
        <v>1423</v>
      </c>
    </row>
    <row r="95">
      <c r="A95" s="171" t="s">
        <v>74</v>
      </c>
      <c r="B95" s="240">
        <v>43308.0</v>
      </c>
      <c r="C95" s="447" t="str">
        <f t="shared" si="12"/>
        <v>Jul-2018</v>
      </c>
      <c r="D95" s="25" t="s">
        <v>25</v>
      </c>
      <c r="E95" s="25" t="s">
        <v>35</v>
      </c>
      <c r="F95" s="25" t="s">
        <v>111</v>
      </c>
      <c r="G95" s="25" t="s">
        <v>1459</v>
      </c>
      <c r="H95" s="25" t="s">
        <v>64</v>
      </c>
      <c r="I95" s="25" t="s">
        <v>24</v>
      </c>
      <c r="J95" s="25" t="s">
        <v>1406</v>
      </c>
    </row>
    <row r="96">
      <c r="A96" s="301" t="s">
        <v>1460</v>
      </c>
      <c r="B96" s="240">
        <v>43308.0</v>
      </c>
      <c r="C96" s="447" t="str">
        <f t="shared" si="12"/>
        <v>Jul-2018</v>
      </c>
      <c r="D96" s="25" t="s">
        <v>20</v>
      </c>
      <c r="E96" s="25" t="s">
        <v>35</v>
      </c>
      <c r="F96" s="25" t="s">
        <v>1461</v>
      </c>
      <c r="G96" s="25" t="s">
        <v>1435</v>
      </c>
      <c r="H96" s="25" t="s">
        <v>9</v>
      </c>
      <c r="I96" s="25" t="s">
        <v>30</v>
      </c>
      <c r="J96" s="25" t="s">
        <v>1423</v>
      </c>
    </row>
    <row r="97">
      <c r="A97" s="172"/>
      <c r="B97" s="240">
        <v>43308.0</v>
      </c>
      <c r="C97" s="447" t="str">
        <f t="shared" si="12"/>
        <v>Jul-2018</v>
      </c>
      <c r="D97" s="25" t="s">
        <v>25</v>
      </c>
      <c r="E97" s="25" t="s">
        <v>35</v>
      </c>
      <c r="F97" s="25" t="s">
        <v>1461</v>
      </c>
      <c r="G97" s="25" t="s">
        <v>1435</v>
      </c>
      <c r="H97" s="25" t="s">
        <v>9</v>
      </c>
      <c r="I97" s="25" t="s">
        <v>30</v>
      </c>
      <c r="J97" s="25" t="s">
        <v>1427</v>
      </c>
    </row>
    <row r="98">
      <c r="A98" s="172"/>
      <c r="B98" s="240">
        <v>43308.0</v>
      </c>
      <c r="C98" s="447" t="str">
        <f t="shared" si="12"/>
        <v>Jul-2018</v>
      </c>
      <c r="D98" s="25" t="s">
        <v>20</v>
      </c>
      <c r="E98" s="25" t="s">
        <v>35</v>
      </c>
      <c r="F98" s="25" t="s">
        <v>394</v>
      </c>
      <c r="G98" s="25" t="s">
        <v>27</v>
      </c>
      <c r="H98" s="25" t="s">
        <v>9</v>
      </c>
      <c r="I98" s="25" t="s">
        <v>30</v>
      </c>
      <c r="J98" s="25" t="s">
        <v>1445</v>
      </c>
    </row>
    <row r="99">
      <c r="A99" s="172"/>
      <c r="B99" s="240">
        <v>43308.0</v>
      </c>
      <c r="C99" s="447" t="str">
        <f t="shared" si="12"/>
        <v>Jul-2018</v>
      </c>
      <c r="D99" s="25" t="s">
        <v>25</v>
      </c>
      <c r="E99" s="25" t="s">
        <v>35</v>
      </c>
      <c r="F99" s="25" t="s">
        <v>394</v>
      </c>
      <c r="G99" s="25" t="s">
        <v>91</v>
      </c>
      <c r="H99" s="25" t="s">
        <v>9</v>
      </c>
      <c r="I99" s="25" t="s">
        <v>24</v>
      </c>
      <c r="J99" s="25" t="s">
        <v>1427</v>
      </c>
    </row>
    <row r="100">
      <c r="A100" s="172"/>
      <c r="B100" s="240">
        <v>43308.0</v>
      </c>
      <c r="C100" s="447" t="str">
        <f t="shared" si="12"/>
        <v>Jul-2018</v>
      </c>
      <c r="D100" s="119" t="s">
        <v>32</v>
      </c>
      <c r="E100" s="25" t="s">
        <v>35</v>
      </c>
      <c r="F100" s="25" t="s">
        <v>394</v>
      </c>
      <c r="G100" s="25" t="s">
        <v>91</v>
      </c>
      <c r="H100" s="25" t="s">
        <v>9</v>
      </c>
      <c r="I100" s="25" t="s">
        <v>24</v>
      </c>
      <c r="J100" s="25" t="s">
        <v>1406</v>
      </c>
    </row>
    <row r="101">
      <c r="A101" s="94"/>
    </row>
    <row r="102">
      <c r="A102" s="133" t="s">
        <v>1062</v>
      </c>
      <c r="B102" s="168">
        <v>43442.0</v>
      </c>
      <c r="C102" s="447" t="str">
        <f t="shared" ref="C102:C115" si="13">TEXT(B102, "mmm") &amp; "-" &amp; TEXT(B102, "yyyy")</f>
        <v>Dec-2018</v>
      </c>
      <c r="D102" s="25" t="s">
        <v>20</v>
      </c>
      <c r="E102" s="25" t="s">
        <v>21</v>
      </c>
      <c r="F102" s="25" t="s">
        <v>1462</v>
      </c>
      <c r="G102" s="25" t="s">
        <v>1429</v>
      </c>
      <c r="H102" s="25" t="s">
        <v>9</v>
      </c>
      <c r="I102" s="25" t="s">
        <v>30</v>
      </c>
      <c r="J102" s="25" t="s">
        <v>1433</v>
      </c>
    </row>
    <row r="103">
      <c r="A103" s="134" t="s">
        <v>1063</v>
      </c>
      <c r="B103" s="168">
        <v>43442.0</v>
      </c>
      <c r="C103" s="447" t="str">
        <f t="shared" si="13"/>
        <v>Dec-2018</v>
      </c>
      <c r="D103" s="25" t="s">
        <v>25</v>
      </c>
      <c r="E103" s="25" t="s">
        <v>21</v>
      </c>
      <c r="F103" s="25" t="s">
        <v>1462</v>
      </c>
      <c r="G103" s="25" t="s">
        <v>1429</v>
      </c>
      <c r="H103" s="25" t="s">
        <v>9</v>
      </c>
      <c r="I103" s="25" t="s">
        <v>30</v>
      </c>
      <c r="J103" s="25" t="s">
        <v>1427</v>
      </c>
    </row>
    <row r="104">
      <c r="A104" s="134" t="s">
        <v>1065</v>
      </c>
      <c r="B104" s="168">
        <v>43442.0</v>
      </c>
      <c r="C104" s="447" t="str">
        <f t="shared" si="13"/>
        <v>Dec-2018</v>
      </c>
      <c r="D104" s="284" t="s">
        <v>146</v>
      </c>
      <c r="E104" s="25" t="s">
        <v>35</v>
      </c>
      <c r="F104" s="25" t="s">
        <v>407</v>
      </c>
      <c r="G104" s="25" t="s">
        <v>64</v>
      </c>
      <c r="H104" s="25" t="s">
        <v>9</v>
      </c>
      <c r="I104" s="25" t="s">
        <v>24</v>
      </c>
      <c r="J104" s="25" t="s">
        <v>1423</v>
      </c>
    </row>
    <row r="105">
      <c r="A105" s="168">
        <v>43442.0</v>
      </c>
      <c r="B105" s="168">
        <v>43442.0</v>
      </c>
      <c r="C105" s="447" t="str">
        <f t="shared" si="13"/>
        <v>Dec-2018</v>
      </c>
      <c r="D105" t="s">
        <v>149</v>
      </c>
      <c r="E105" s="25" t="s">
        <v>35</v>
      </c>
      <c r="F105" s="25" t="s">
        <v>407</v>
      </c>
      <c r="G105" s="25" t="s">
        <v>64</v>
      </c>
      <c r="H105" s="25" t="s">
        <v>9</v>
      </c>
      <c r="I105" s="25" t="s">
        <v>30</v>
      </c>
      <c r="J105" s="25" t="s">
        <v>1408</v>
      </c>
    </row>
    <row r="106">
      <c r="A106" s="134" t="s">
        <v>84</v>
      </c>
      <c r="B106" s="168">
        <v>43442.0</v>
      </c>
      <c r="C106" s="447" t="str">
        <f t="shared" si="13"/>
        <v>Dec-2018</v>
      </c>
      <c r="D106" t="s">
        <v>222</v>
      </c>
      <c r="E106" s="25" t="s">
        <v>35</v>
      </c>
      <c r="F106" s="25" t="s">
        <v>407</v>
      </c>
      <c r="G106" s="25" t="s">
        <v>64</v>
      </c>
      <c r="H106" s="25" t="s">
        <v>9</v>
      </c>
      <c r="I106" s="25" t="s">
        <v>24</v>
      </c>
      <c r="J106" s="25" t="s">
        <v>1406</v>
      </c>
    </row>
    <row r="107">
      <c r="A107" s="176" t="s">
        <v>1068</v>
      </c>
      <c r="B107" s="168">
        <v>43442.0</v>
      </c>
      <c r="C107" s="447" t="str">
        <f t="shared" si="13"/>
        <v>Dec-2018</v>
      </c>
      <c r="D107" t="s">
        <v>467</v>
      </c>
      <c r="E107" s="25" t="s">
        <v>35</v>
      </c>
      <c r="F107" s="25" t="s">
        <v>407</v>
      </c>
      <c r="G107" s="25" t="s">
        <v>64</v>
      </c>
      <c r="H107" s="25" t="s">
        <v>9</v>
      </c>
      <c r="I107" s="25" t="s">
        <v>24</v>
      </c>
      <c r="J107" s="25" t="s">
        <v>1445</v>
      </c>
    </row>
    <row r="108">
      <c r="A108" s="134"/>
      <c r="B108" s="168">
        <v>43442.0</v>
      </c>
      <c r="C108" s="447" t="str">
        <f t="shared" si="13"/>
        <v>Dec-2018</v>
      </c>
      <c r="D108" t="s">
        <v>146</v>
      </c>
      <c r="E108" s="25" t="s">
        <v>35</v>
      </c>
      <c r="F108" s="25" t="s">
        <v>1462</v>
      </c>
      <c r="G108" s="25" t="s">
        <v>1429</v>
      </c>
      <c r="H108" s="25" t="s">
        <v>9</v>
      </c>
      <c r="I108" s="25" t="s">
        <v>30</v>
      </c>
      <c r="J108" s="25" t="s">
        <v>1406</v>
      </c>
    </row>
    <row r="109">
      <c r="A109" s="134"/>
      <c r="B109" s="168">
        <v>43442.0</v>
      </c>
      <c r="C109" s="447" t="str">
        <f t="shared" si="13"/>
        <v>Dec-2018</v>
      </c>
      <c r="D109" t="s">
        <v>149</v>
      </c>
      <c r="E109" s="25" t="s">
        <v>35</v>
      </c>
      <c r="F109" s="25" t="s">
        <v>1462</v>
      </c>
      <c r="G109" s="25" t="s">
        <v>1429</v>
      </c>
      <c r="H109" s="25" t="s">
        <v>9</v>
      </c>
      <c r="I109" s="25" t="s">
        <v>30</v>
      </c>
      <c r="J109" s="25" t="s">
        <v>1423</v>
      </c>
    </row>
    <row r="110">
      <c r="A110" s="134"/>
      <c r="B110" s="168">
        <v>43442.0</v>
      </c>
      <c r="C110" s="447" t="str">
        <f t="shared" si="13"/>
        <v>Dec-2018</v>
      </c>
      <c r="D110" t="s">
        <v>222</v>
      </c>
      <c r="E110" s="25" t="s">
        <v>35</v>
      </c>
      <c r="F110" s="25" t="s">
        <v>1462</v>
      </c>
      <c r="G110" s="25" t="s">
        <v>1429</v>
      </c>
      <c r="H110" s="25" t="s">
        <v>9</v>
      </c>
      <c r="I110" s="25" t="s">
        <v>30</v>
      </c>
      <c r="J110" s="25" t="s">
        <v>1427</v>
      </c>
    </row>
    <row r="111">
      <c r="A111" s="134"/>
      <c r="B111" s="168">
        <v>43442.0</v>
      </c>
      <c r="C111" s="447" t="str">
        <f t="shared" si="13"/>
        <v>Dec-2018</v>
      </c>
      <c r="D111" s="25" t="s">
        <v>20</v>
      </c>
      <c r="E111" s="25" t="s">
        <v>35</v>
      </c>
      <c r="F111" s="25" t="s">
        <v>407</v>
      </c>
      <c r="G111" s="25" t="s">
        <v>64</v>
      </c>
      <c r="H111" s="25" t="s">
        <v>9</v>
      </c>
      <c r="I111" s="25" t="s">
        <v>30</v>
      </c>
      <c r="J111" s="25" t="s">
        <v>1406</v>
      </c>
    </row>
    <row r="112">
      <c r="A112" s="134"/>
      <c r="B112" s="168">
        <v>43442.0</v>
      </c>
      <c r="C112" s="447" t="str">
        <f t="shared" si="13"/>
        <v>Dec-2018</v>
      </c>
      <c r="D112" s="25" t="s">
        <v>25</v>
      </c>
      <c r="E112" s="25" t="s">
        <v>35</v>
      </c>
      <c r="F112" s="25" t="s">
        <v>407</v>
      </c>
      <c r="G112" s="25" t="s">
        <v>64</v>
      </c>
      <c r="H112" s="25" t="s">
        <v>9</v>
      </c>
      <c r="I112" s="25" t="s">
        <v>24</v>
      </c>
      <c r="J112" s="25" t="s">
        <v>1427</v>
      </c>
    </row>
    <row r="113">
      <c r="A113" s="134"/>
      <c r="B113" s="168">
        <v>43442.0</v>
      </c>
      <c r="C113" s="447" t="str">
        <f t="shared" si="13"/>
        <v>Dec-2018</v>
      </c>
      <c r="D113" s="119" t="s">
        <v>32</v>
      </c>
      <c r="E113" s="25" t="s">
        <v>35</v>
      </c>
      <c r="F113" s="25" t="s">
        <v>407</v>
      </c>
      <c r="G113" s="25" t="s">
        <v>64</v>
      </c>
      <c r="H113" s="25" t="s">
        <v>9</v>
      </c>
      <c r="I113" s="25" t="s">
        <v>30</v>
      </c>
      <c r="J113" s="25" t="s">
        <v>1445</v>
      </c>
    </row>
    <row r="114">
      <c r="A114" s="134"/>
      <c r="B114" s="168">
        <v>43442.0</v>
      </c>
      <c r="C114" s="447" t="str">
        <f t="shared" si="13"/>
        <v>Dec-2018</v>
      </c>
      <c r="D114" s="25" t="s">
        <v>20</v>
      </c>
      <c r="E114" s="25" t="s">
        <v>35</v>
      </c>
      <c r="F114" s="25" t="s">
        <v>933</v>
      </c>
      <c r="G114" s="25" t="s">
        <v>1458</v>
      </c>
      <c r="H114" s="25" t="s">
        <v>9</v>
      </c>
      <c r="I114" s="25" t="s">
        <v>24</v>
      </c>
      <c r="J114" s="25" t="s">
        <v>1445</v>
      </c>
    </row>
    <row r="115">
      <c r="A115" s="134"/>
      <c r="B115" s="168">
        <v>43442.0</v>
      </c>
      <c r="C115" s="447" t="str">
        <f t="shared" si="13"/>
        <v>Dec-2018</v>
      </c>
      <c r="D115" s="25" t="s">
        <v>25</v>
      </c>
      <c r="E115" s="25" t="s">
        <v>35</v>
      </c>
      <c r="F115" s="25" t="s">
        <v>933</v>
      </c>
      <c r="G115" s="25" t="s">
        <v>1458</v>
      </c>
      <c r="H115" s="25" t="s">
        <v>9</v>
      </c>
      <c r="I115" s="25" t="s">
        <v>24</v>
      </c>
      <c r="J115" s="25" t="s">
        <v>1427</v>
      </c>
    </row>
    <row r="116">
      <c r="A116" s="94"/>
      <c r="D116" s="119"/>
    </row>
    <row r="117">
      <c r="A117" s="94"/>
    </row>
    <row r="118">
      <c r="A118" s="94"/>
    </row>
    <row r="119">
      <c r="A119" s="94"/>
    </row>
    <row r="120">
      <c r="A120" s="94"/>
    </row>
    <row r="121">
      <c r="A121" s="94"/>
    </row>
    <row r="122">
      <c r="A122" s="94"/>
    </row>
    <row r="123">
      <c r="A123" s="94"/>
    </row>
    <row r="124">
      <c r="A124" s="94"/>
    </row>
    <row r="125">
      <c r="A125" s="94"/>
    </row>
    <row r="126">
      <c r="A126" s="94"/>
    </row>
    <row r="127">
      <c r="A127" s="94"/>
    </row>
    <row r="128">
      <c r="A128" s="94"/>
    </row>
    <row r="129">
      <c r="A129" s="94"/>
    </row>
    <row r="130">
      <c r="A130" s="94"/>
    </row>
    <row r="131">
      <c r="A131" s="94"/>
    </row>
    <row r="132">
      <c r="A132" s="94"/>
    </row>
    <row r="133">
      <c r="A133" s="94"/>
    </row>
    <row r="134">
      <c r="A134" s="94"/>
    </row>
    <row r="135">
      <c r="A135" s="94"/>
    </row>
    <row r="136">
      <c r="A136" s="94"/>
    </row>
    <row r="137">
      <c r="A137" s="94"/>
    </row>
    <row r="138">
      <c r="A138" s="94"/>
    </row>
    <row r="139">
      <c r="A139" s="94"/>
    </row>
    <row r="140">
      <c r="A140" s="94"/>
    </row>
    <row r="141">
      <c r="A141" s="94"/>
    </row>
    <row r="142">
      <c r="A142" s="94"/>
    </row>
    <row r="143">
      <c r="A143" s="94"/>
    </row>
    <row r="144">
      <c r="A144" s="94"/>
    </row>
    <row r="145">
      <c r="A145" s="94"/>
    </row>
    <row r="146">
      <c r="A146" s="94"/>
    </row>
    <row r="147">
      <c r="A147" s="94"/>
    </row>
    <row r="148">
      <c r="A148" s="94"/>
    </row>
    <row r="149">
      <c r="A149" s="94"/>
    </row>
    <row r="150">
      <c r="A150" s="94"/>
    </row>
    <row r="151">
      <c r="A151" s="94"/>
    </row>
    <row r="152">
      <c r="A152" s="94"/>
    </row>
    <row r="153">
      <c r="A153" s="94"/>
    </row>
    <row r="154">
      <c r="A154" s="94"/>
    </row>
    <row r="155">
      <c r="A155" s="94"/>
    </row>
    <row r="156">
      <c r="A156" s="94"/>
    </row>
    <row r="157">
      <c r="A157" s="94"/>
    </row>
    <row r="158">
      <c r="A158" s="94"/>
    </row>
    <row r="159">
      <c r="A159" s="94"/>
    </row>
    <row r="160">
      <c r="A160" s="94"/>
    </row>
    <row r="161">
      <c r="A161" s="94"/>
    </row>
    <row r="162">
      <c r="A162" s="94"/>
    </row>
    <row r="163">
      <c r="A163" s="94"/>
    </row>
    <row r="164">
      <c r="A164" s="94"/>
    </row>
    <row r="165">
      <c r="A165" s="94"/>
    </row>
    <row r="166">
      <c r="A166" s="94"/>
    </row>
    <row r="167">
      <c r="A167" s="94"/>
    </row>
    <row r="168">
      <c r="A168" s="94"/>
    </row>
    <row r="169">
      <c r="A169" s="94"/>
    </row>
    <row r="170">
      <c r="A170" s="94"/>
    </row>
    <row r="171">
      <c r="A171" s="94"/>
    </row>
    <row r="172">
      <c r="A172" s="94"/>
    </row>
    <row r="173">
      <c r="A173" s="94"/>
    </row>
    <row r="174">
      <c r="A174" s="94"/>
    </row>
    <row r="175">
      <c r="A175" s="94"/>
    </row>
    <row r="176">
      <c r="A176" s="94"/>
    </row>
    <row r="177">
      <c r="A177" s="94"/>
    </row>
    <row r="178">
      <c r="A178" s="94"/>
    </row>
    <row r="179">
      <c r="A179" s="94"/>
    </row>
    <row r="180">
      <c r="A180" s="94"/>
    </row>
    <row r="181">
      <c r="A181" s="94"/>
    </row>
    <row r="182">
      <c r="A182" s="94"/>
    </row>
    <row r="183">
      <c r="A183" s="94"/>
    </row>
    <row r="184">
      <c r="A184" s="94"/>
    </row>
    <row r="185">
      <c r="A185" s="94"/>
    </row>
    <row r="186">
      <c r="A186" s="94"/>
    </row>
    <row r="187">
      <c r="A187" s="94"/>
    </row>
    <row r="188">
      <c r="A188" s="94"/>
    </row>
    <row r="189">
      <c r="A189" s="94"/>
    </row>
    <row r="190">
      <c r="A190" s="94"/>
    </row>
    <row r="191">
      <c r="A191" s="94"/>
    </row>
    <row r="192">
      <c r="A192" s="94"/>
    </row>
    <row r="193">
      <c r="A193" s="94"/>
    </row>
    <row r="194">
      <c r="A194" s="94"/>
    </row>
    <row r="195">
      <c r="A195" s="94"/>
    </row>
    <row r="196">
      <c r="A196" s="94"/>
    </row>
    <row r="197">
      <c r="A197" s="94"/>
    </row>
    <row r="198">
      <c r="A198" s="94"/>
    </row>
    <row r="199">
      <c r="A199" s="94"/>
    </row>
    <row r="200">
      <c r="A200" s="94"/>
    </row>
    <row r="201">
      <c r="A201" s="94"/>
    </row>
    <row r="202">
      <c r="A202" s="94"/>
    </row>
    <row r="203">
      <c r="A203" s="94"/>
    </row>
    <row r="204">
      <c r="A204" s="94"/>
    </row>
    <row r="205">
      <c r="A205" s="94"/>
    </row>
    <row r="206">
      <c r="A206" s="94"/>
    </row>
    <row r="207">
      <c r="A207" s="94"/>
    </row>
    <row r="208">
      <c r="A208" s="94"/>
    </row>
    <row r="209">
      <c r="A209" s="94"/>
    </row>
    <row r="210">
      <c r="A210" s="94"/>
    </row>
    <row r="211">
      <c r="A211" s="94"/>
    </row>
    <row r="212">
      <c r="A212" s="94"/>
    </row>
    <row r="213">
      <c r="A213" s="94"/>
    </row>
    <row r="214">
      <c r="A214" s="94"/>
    </row>
    <row r="215">
      <c r="A215" s="94"/>
    </row>
    <row r="216">
      <c r="A216" s="94"/>
    </row>
    <row r="217">
      <c r="A217" s="94"/>
    </row>
    <row r="218">
      <c r="A218" s="94"/>
    </row>
    <row r="219">
      <c r="A219" s="94"/>
    </row>
    <row r="220">
      <c r="A220" s="94"/>
    </row>
    <row r="221">
      <c r="A221" s="94"/>
    </row>
    <row r="222">
      <c r="A222" s="94"/>
    </row>
    <row r="223">
      <c r="A223" s="94"/>
    </row>
    <row r="224">
      <c r="A224" s="94"/>
    </row>
    <row r="225">
      <c r="A225" s="94"/>
    </row>
    <row r="226">
      <c r="A226" s="94"/>
    </row>
    <row r="227">
      <c r="A227" s="94"/>
    </row>
    <row r="228">
      <c r="A228" s="94"/>
    </row>
    <row r="229">
      <c r="A229" s="94"/>
    </row>
    <row r="230">
      <c r="A230" s="94"/>
    </row>
    <row r="231">
      <c r="A231" s="94"/>
    </row>
    <row r="232">
      <c r="A232" s="94"/>
    </row>
    <row r="233">
      <c r="A233" s="94"/>
    </row>
    <row r="234">
      <c r="A234" s="94"/>
    </row>
    <row r="235">
      <c r="A235" s="94"/>
    </row>
    <row r="236">
      <c r="A236" s="94"/>
    </row>
    <row r="237">
      <c r="A237" s="94"/>
    </row>
    <row r="238">
      <c r="A238" s="94"/>
    </row>
    <row r="239">
      <c r="A239" s="94"/>
    </row>
    <row r="240">
      <c r="A240" s="94"/>
    </row>
    <row r="241">
      <c r="A241" s="94"/>
    </row>
    <row r="242">
      <c r="A242" s="94"/>
    </row>
    <row r="243">
      <c r="A243" s="94"/>
    </row>
    <row r="244">
      <c r="A244" s="94"/>
    </row>
    <row r="245">
      <c r="A245" s="94"/>
    </row>
    <row r="246">
      <c r="A246" s="94"/>
    </row>
    <row r="247">
      <c r="A247" s="94"/>
    </row>
    <row r="248">
      <c r="A248" s="94"/>
    </row>
    <row r="249">
      <c r="A249" s="94"/>
    </row>
    <row r="250">
      <c r="A250" s="94"/>
    </row>
    <row r="251">
      <c r="A251" s="94"/>
    </row>
    <row r="252">
      <c r="A252" s="94"/>
    </row>
    <row r="253">
      <c r="A253" s="94"/>
    </row>
    <row r="254">
      <c r="A254" s="94"/>
    </row>
    <row r="255">
      <c r="A255" s="94"/>
    </row>
    <row r="256">
      <c r="A256" s="94"/>
    </row>
    <row r="257">
      <c r="A257" s="94"/>
    </row>
    <row r="258">
      <c r="A258" s="94"/>
    </row>
    <row r="259">
      <c r="A259" s="94"/>
    </row>
    <row r="260">
      <c r="A260" s="94"/>
    </row>
    <row r="261">
      <c r="A261" s="94"/>
    </row>
    <row r="262">
      <c r="A262" s="94"/>
    </row>
    <row r="263">
      <c r="A263" s="94"/>
    </row>
    <row r="264">
      <c r="A264" s="94"/>
    </row>
    <row r="265">
      <c r="A265" s="94"/>
    </row>
    <row r="266">
      <c r="A266" s="94"/>
    </row>
    <row r="267">
      <c r="A267" s="94"/>
    </row>
    <row r="268">
      <c r="A268" s="94"/>
    </row>
    <row r="269">
      <c r="A269" s="94"/>
    </row>
    <row r="270">
      <c r="A270" s="94"/>
    </row>
    <row r="271">
      <c r="A271" s="94"/>
    </row>
    <row r="272">
      <c r="A272" s="94"/>
    </row>
    <row r="273">
      <c r="A273" s="94"/>
    </row>
    <row r="274">
      <c r="A274" s="94"/>
    </row>
    <row r="275">
      <c r="A275" s="94"/>
    </row>
    <row r="276">
      <c r="A276" s="94"/>
    </row>
    <row r="277">
      <c r="A277" s="94"/>
    </row>
    <row r="278">
      <c r="A278" s="94"/>
    </row>
    <row r="279">
      <c r="A279" s="94"/>
    </row>
    <row r="280">
      <c r="A280" s="94"/>
    </row>
    <row r="281">
      <c r="A281" s="94"/>
    </row>
    <row r="282">
      <c r="A282" s="94"/>
    </row>
    <row r="283">
      <c r="A283" s="94"/>
    </row>
    <row r="284">
      <c r="A284" s="94"/>
    </row>
    <row r="285">
      <c r="A285" s="94"/>
    </row>
    <row r="286">
      <c r="A286" s="94"/>
    </row>
    <row r="287">
      <c r="A287" s="94"/>
    </row>
    <row r="288">
      <c r="A288" s="94"/>
    </row>
    <row r="289">
      <c r="A289" s="94"/>
    </row>
    <row r="290">
      <c r="A290" s="94"/>
    </row>
    <row r="291">
      <c r="A291" s="94"/>
    </row>
    <row r="292">
      <c r="A292" s="94"/>
    </row>
    <row r="293">
      <c r="A293" s="94"/>
    </row>
    <row r="294">
      <c r="A294" s="94"/>
    </row>
    <row r="295">
      <c r="A295" s="94"/>
    </row>
    <row r="296">
      <c r="A296" s="94"/>
    </row>
    <row r="297">
      <c r="A297" s="94"/>
    </row>
    <row r="298">
      <c r="A298" s="94"/>
    </row>
    <row r="299">
      <c r="A299" s="94"/>
    </row>
    <row r="300">
      <c r="A300" s="94"/>
    </row>
    <row r="301">
      <c r="A301" s="94"/>
    </row>
    <row r="302">
      <c r="A302" s="94"/>
    </row>
    <row r="303">
      <c r="A303" s="94"/>
    </row>
    <row r="304">
      <c r="A304" s="94"/>
    </row>
    <row r="305">
      <c r="A305" s="94"/>
    </row>
    <row r="306">
      <c r="A306" s="94"/>
    </row>
    <row r="307">
      <c r="A307" s="94"/>
    </row>
    <row r="308">
      <c r="A308" s="94"/>
    </row>
    <row r="309">
      <c r="A309" s="94"/>
    </row>
    <row r="310">
      <c r="A310" s="94"/>
    </row>
    <row r="311">
      <c r="A311" s="94"/>
    </row>
    <row r="312">
      <c r="A312" s="94"/>
    </row>
    <row r="313">
      <c r="A313" s="94"/>
    </row>
    <row r="314">
      <c r="A314" s="94"/>
    </row>
    <row r="315">
      <c r="A315" s="94"/>
    </row>
    <row r="316">
      <c r="A316" s="94"/>
    </row>
    <row r="317">
      <c r="A317" s="94"/>
    </row>
    <row r="318">
      <c r="A318" s="94"/>
    </row>
    <row r="319">
      <c r="A319" s="94"/>
    </row>
    <row r="320">
      <c r="A320" s="94"/>
    </row>
    <row r="321">
      <c r="A321" s="94"/>
    </row>
    <row r="322">
      <c r="A322" s="94"/>
    </row>
    <row r="323">
      <c r="A323" s="94"/>
    </row>
    <row r="324">
      <c r="A324" s="94"/>
    </row>
    <row r="325">
      <c r="A325" s="94"/>
    </row>
    <row r="326">
      <c r="A326" s="94"/>
    </row>
    <row r="327">
      <c r="A327" s="94"/>
    </row>
    <row r="328">
      <c r="A328" s="94"/>
    </row>
    <row r="329">
      <c r="A329" s="94"/>
    </row>
    <row r="330">
      <c r="A330" s="94"/>
    </row>
    <row r="331">
      <c r="A331" s="94"/>
    </row>
    <row r="332">
      <c r="A332" s="94"/>
    </row>
    <row r="333">
      <c r="A333" s="94"/>
    </row>
    <row r="334">
      <c r="A334" s="94"/>
    </row>
    <row r="335">
      <c r="A335" s="94"/>
    </row>
    <row r="336">
      <c r="A336" s="94"/>
    </row>
    <row r="337">
      <c r="A337" s="94"/>
    </row>
    <row r="338">
      <c r="A338" s="94"/>
    </row>
    <row r="339">
      <c r="A339" s="94"/>
    </row>
    <row r="340">
      <c r="A340" s="94"/>
    </row>
    <row r="341">
      <c r="A341" s="94"/>
    </row>
    <row r="342">
      <c r="A342" s="94"/>
    </row>
    <row r="343">
      <c r="A343" s="94"/>
    </row>
    <row r="344">
      <c r="A344" s="94"/>
    </row>
    <row r="345">
      <c r="A345" s="94"/>
    </row>
    <row r="346">
      <c r="A346" s="94"/>
    </row>
    <row r="347">
      <c r="A347" s="94"/>
    </row>
    <row r="348">
      <c r="A348" s="94"/>
    </row>
    <row r="349">
      <c r="A349" s="94"/>
    </row>
    <row r="350">
      <c r="A350" s="94"/>
    </row>
    <row r="351">
      <c r="A351" s="94"/>
    </row>
    <row r="352">
      <c r="A352" s="94"/>
    </row>
    <row r="353">
      <c r="A353" s="94"/>
    </row>
    <row r="354">
      <c r="A354" s="94"/>
    </row>
    <row r="355">
      <c r="A355" s="94"/>
    </row>
    <row r="356">
      <c r="A356" s="94"/>
    </row>
    <row r="357">
      <c r="A357" s="94"/>
    </row>
    <row r="358">
      <c r="A358" s="94"/>
    </row>
    <row r="359">
      <c r="A359" s="94"/>
    </row>
    <row r="360">
      <c r="A360" s="94"/>
    </row>
    <row r="361">
      <c r="A361" s="94"/>
    </row>
    <row r="362">
      <c r="A362" s="94"/>
    </row>
    <row r="363">
      <c r="A363" s="94"/>
    </row>
    <row r="364">
      <c r="A364" s="94"/>
    </row>
    <row r="365">
      <c r="A365" s="94"/>
    </row>
    <row r="366">
      <c r="A366" s="94"/>
    </row>
    <row r="367">
      <c r="A367" s="94"/>
    </row>
    <row r="368">
      <c r="A368" s="94"/>
    </row>
    <row r="369">
      <c r="A369" s="94"/>
    </row>
    <row r="370">
      <c r="A370" s="94"/>
    </row>
    <row r="371">
      <c r="A371" s="94"/>
    </row>
    <row r="372">
      <c r="A372" s="94"/>
    </row>
    <row r="373">
      <c r="A373" s="94"/>
    </row>
    <row r="374">
      <c r="A374" s="94"/>
    </row>
    <row r="375">
      <c r="A375" s="94"/>
    </row>
    <row r="376">
      <c r="A376" s="94"/>
    </row>
    <row r="377">
      <c r="A377" s="94"/>
    </row>
    <row r="378">
      <c r="A378" s="94"/>
    </row>
    <row r="379">
      <c r="A379" s="94"/>
    </row>
    <row r="380">
      <c r="A380" s="94"/>
    </row>
    <row r="381">
      <c r="A381" s="94"/>
    </row>
    <row r="382">
      <c r="A382" s="94"/>
    </row>
    <row r="383">
      <c r="A383" s="94"/>
    </row>
    <row r="384">
      <c r="A384" s="94"/>
    </row>
    <row r="385">
      <c r="A385" s="94"/>
    </row>
    <row r="386">
      <c r="A386" s="94"/>
    </row>
    <row r="387">
      <c r="A387" s="94"/>
    </row>
    <row r="388">
      <c r="A388" s="94"/>
    </row>
    <row r="389">
      <c r="A389" s="94"/>
    </row>
    <row r="390">
      <c r="A390" s="94"/>
    </row>
    <row r="391">
      <c r="A391" s="94"/>
    </row>
    <row r="392">
      <c r="A392" s="94"/>
    </row>
    <row r="393">
      <c r="A393" s="94"/>
    </row>
    <row r="394">
      <c r="A394" s="94"/>
    </row>
    <row r="395">
      <c r="A395" s="94"/>
    </row>
    <row r="396">
      <c r="A396" s="94"/>
    </row>
    <row r="397">
      <c r="A397" s="94"/>
    </row>
    <row r="398">
      <c r="A398" s="94"/>
    </row>
    <row r="399">
      <c r="A399" s="94"/>
    </row>
    <row r="400">
      <c r="A400" s="94"/>
    </row>
    <row r="401">
      <c r="A401" s="94"/>
    </row>
    <row r="402">
      <c r="A402" s="94"/>
    </row>
    <row r="403">
      <c r="A403" s="94"/>
    </row>
    <row r="404">
      <c r="A404" s="94"/>
    </row>
    <row r="405">
      <c r="A405" s="94"/>
    </row>
    <row r="406">
      <c r="A406" s="94"/>
    </row>
    <row r="407">
      <c r="A407" s="94"/>
    </row>
    <row r="408">
      <c r="A408" s="94"/>
    </row>
    <row r="409">
      <c r="A409" s="94"/>
    </row>
    <row r="410">
      <c r="A410" s="94"/>
    </row>
    <row r="411">
      <c r="A411" s="94"/>
    </row>
    <row r="412">
      <c r="A412" s="94"/>
    </row>
    <row r="413">
      <c r="A413" s="94"/>
    </row>
    <row r="414">
      <c r="A414" s="94"/>
    </row>
    <row r="415">
      <c r="A415" s="94"/>
    </row>
    <row r="416">
      <c r="A416" s="94"/>
    </row>
    <row r="417">
      <c r="A417" s="94"/>
    </row>
    <row r="418">
      <c r="A418" s="94"/>
    </row>
    <row r="419">
      <c r="A419" s="94"/>
    </row>
    <row r="420">
      <c r="A420" s="94"/>
    </row>
    <row r="421">
      <c r="A421" s="94"/>
    </row>
    <row r="422">
      <c r="A422" s="94"/>
    </row>
    <row r="423">
      <c r="A423" s="94"/>
    </row>
    <row r="424">
      <c r="A424" s="94"/>
    </row>
    <row r="425">
      <c r="A425" s="94"/>
    </row>
    <row r="426">
      <c r="A426" s="94"/>
    </row>
    <row r="427">
      <c r="A427" s="94"/>
    </row>
    <row r="428">
      <c r="A428" s="94"/>
    </row>
    <row r="429">
      <c r="A429" s="94"/>
    </row>
    <row r="430">
      <c r="A430" s="94"/>
    </row>
    <row r="431">
      <c r="A431" s="94"/>
    </row>
    <row r="432">
      <c r="A432" s="94"/>
    </row>
    <row r="433">
      <c r="A433" s="94"/>
    </row>
    <row r="434">
      <c r="A434" s="94"/>
    </row>
    <row r="435">
      <c r="A435" s="94"/>
    </row>
    <row r="436">
      <c r="A436" s="94"/>
    </row>
    <row r="437">
      <c r="A437" s="94"/>
    </row>
    <row r="438">
      <c r="A438" s="94"/>
    </row>
    <row r="439">
      <c r="A439" s="94"/>
    </row>
    <row r="440">
      <c r="A440" s="94"/>
    </row>
    <row r="441">
      <c r="A441" s="94"/>
    </row>
    <row r="442">
      <c r="A442" s="94"/>
    </row>
    <row r="443">
      <c r="A443" s="94"/>
    </row>
    <row r="444">
      <c r="A444" s="94"/>
    </row>
    <row r="445">
      <c r="A445" s="94"/>
    </row>
    <row r="446">
      <c r="A446" s="94"/>
    </row>
    <row r="447">
      <c r="A447" s="94"/>
    </row>
    <row r="448">
      <c r="A448" s="94"/>
    </row>
    <row r="449">
      <c r="A449" s="94"/>
    </row>
    <row r="450">
      <c r="A450" s="94"/>
    </row>
    <row r="451">
      <c r="A451" s="94"/>
    </row>
    <row r="452">
      <c r="A452" s="94"/>
    </row>
    <row r="453">
      <c r="A453" s="94"/>
    </row>
    <row r="454">
      <c r="A454" s="94"/>
    </row>
    <row r="455">
      <c r="A455" s="94"/>
    </row>
    <row r="456">
      <c r="A456" s="94"/>
    </row>
    <row r="457">
      <c r="A457" s="94"/>
    </row>
    <row r="458">
      <c r="A458" s="94"/>
    </row>
    <row r="459">
      <c r="A459" s="94"/>
    </row>
    <row r="460">
      <c r="A460" s="94"/>
    </row>
    <row r="461">
      <c r="A461" s="94"/>
    </row>
    <row r="462">
      <c r="A462" s="94"/>
    </row>
    <row r="463">
      <c r="A463" s="94"/>
    </row>
    <row r="464">
      <c r="A464" s="94"/>
    </row>
    <row r="465">
      <c r="A465" s="94"/>
    </row>
    <row r="466">
      <c r="A466" s="94"/>
    </row>
    <row r="467">
      <c r="A467" s="94"/>
    </row>
    <row r="468">
      <c r="A468" s="94"/>
    </row>
    <row r="469">
      <c r="A469" s="94"/>
    </row>
    <row r="470">
      <c r="A470" s="94"/>
    </row>
    <row r="471">
      <c r="A471" s="94"/>
    </row>
    <row r="472">
      <c r="A472" s="94"/>
    </row>
    <row r="473">
      <c r="A473" s="94"/>
    </row>
    <row r="474">
      <c r="A474" s="94"/>
    </row>
    <row r="475">
      <c r="A475" s="94"/>
    </row>
    <row r="476">
      <c r="A476" s="94"/>
    </row>
    <row r="477">
      <c r="A477" s="94"/>
    </row>
    <row r="478">
      <c r="A478" s="94"/>
    </row>
    <row r="479">
      <c r="A479" s="94"/>
    </row>
    <row r="480">
      <c r="A480" s="94"/>
    </row>
    <row r="481">
      <c r="A481" s="94"/>
    </row>
    <row r="482">
      <c r="A482" s="94"/>
    </row>
    <row r="483">
      <c r="A483" s="94"/>
    </row>
    <row r="484">
      <c r="A484" s="94"/>
    </row>
    <row r="485">
      <c r="A485" s="94"/>
    </row>
    <row r="486">
      <c r="A486" s="94"/>
    </row>
    <row r="487">
      <c r="A487" s="94"/>
    </row>
    <row r="488">
      <c r="A488" s="94"/>
    </row>
    <row r="489">
      <c r="A489" s="94"/>
    </row>
    <row r="490">
      <c r="A490" s="94"/>
    </row>
    <row r="491">
      <c r="A491" s="94"/>
    </row>
    <row r="492">
      <c r="A492" s="94"/>
    </row>
    <row r="493">
      <c r="A493" s="94"/>
    </row>
    <row r="494">
      <c r="A494" s="94"/>
    </row>
    <row r="495">
      <c r="A495" s="94"/>
    </row>
    <row r="496">
      <c r="A496" s="94"/>
    </row>
    <row r="497">
      <c r="A497" s="94"/>
    </row>
    <row r="498">
      <c r="A498" s="94"/>
    </row>
    <row r="499">
      <c r="A499" s="94"/>
    </row>
    <row r="500">
      <c r="A500" s="94"/>
    </row>
    <row r="501">
      <c r="A501" s="94"/>
    </row>
    <row r="502">
      <c r="A502" s="94"/>
    </row>
    <row r="503">
      <c r="A503" s="94"/>
    </row>
    <row r="504">
      <c r="A504" s="94"/>
    </row>
    <row r="505">
      <c r="A505" s="94"/>
    </row>
    <row r="506">
      <c r="A506" s="94"/>
    </row>
    <row r="507">
      <c r="A507" s="94"/>
    </row>
    <row r="508">
      <c r="A508" s="94"/>
    </row>
    <row r="509">
      <c r="A509" s="94"/>
    </row>
    <row r="510">
      <c r="A510" s="94"/>
    </row>
    <row r="511">
      <c r="A511" s="94"/>
    </row>
    <row r="512">
      <c r="A512" s="94"/>
    </row>
    <row r="513">
      <c r="A513" s="94"/>
    </row>
    <row r="514">
      <c r="A514" s="94"/>
    </row>
    <row r="515">
      <c r="A515" s="94"/>
    </row>
    <row r="516">
      <c r="A516" s="94"/>
    </row>
    <row r="517">
      <c r="A517" s="94"/>
    </row>
    <row r="518">
      <c r="A518" s="94"/>
    </row>
    <row r="519">
      <c r="A519" s="94"/>
    </row>
    <row r="520">
      <c r="A520" s="94"/>
    </row>
    <row r="521">
      <c r="A521" s="94"/>
    </row>
    <row r="522">
      <c r="A522" s="94"/>
    </row>
    <row r="523">
      <c r="A523" s="94"/>
    </row>
    <row r="524">
      <c r="A524" s="94"/>
    </row>
    <row r="525">
      <c r="A525" s="94"/>
    </row>
    <row r="526">
      <c r="A526" s="94"/>
    </row>
    <row r="527">
      <c r="A527" s="94"/>
    </row>
    <row r="528">
      <c r="A528" s="94"/>
    </row>
    <row r="529">
      <c r="A529" s="94"/>
    </row>
    <row r="530">
      <c r="A530" s="94"/>
    </row>
    <row r="531">
      <c r="A531" s="94"/>
    </row>
    <row r="532">
      <c r="A532" s="94"/>
    </row>
    <row r="533">
      <c r="A533" s="94"/>
    </row>
    <row r="534">
      <c r="A534" s="94"/>
    </row>
    <row r="535">
      <c r="A535" s="94"/>
    </row>
    <row r="536">
      <c r="A536" s="94"/>
    </row>
    <row r="537">
      <c r="A537" s="94"/>
    </row>
    <row r="538">
      <c r="A538" s="94"/>
    </row>
    <row r="539">
      <c r="A539" s="94"/>
    </row>
    <row r="540">
      <c r="A540" s="94"/>
    </row>
    <row r="541">
      <c r="A541" s="94"/>
    </row>
    <row r="542">
      <c r="A542" s="94"/>
    </row>
    <row r="543">
      <c r="A543" s="94"/>
    </row>
    <row r="544">
      <c r="A544" s="94"/>
    </row>
    <row r="545">
      <c r="A545" s="94"/>
    </row>
    <row r="546">
      <c r="A546" s="94"/>
    </row>
    <row r="547">
      <c r="A547" s="94"/>
    </row>
    <row r="548">
      <c r="A548" s="94"/>
    </row>
    <row r="549">
      <c r="A549" s="94"/>
    </row>
    <row r="550">
      <c r="A550" s="94"/>
    </row>
    <row r="551">
      <c r="A551" s="94"/>
    </row>
    <row r="552">
      <c r="A552" s="94"/>
    </row>
    <row r="553">
      <c r="A553" s="94"/>
    </row>
    <row r="554">
      <c r="A554" s="94"/>
    </row>
    <row r="555">
      <c r="A555" s="94"/>
    </row>
    <row r="556">
      <c r="A556" s="94"/>
    </row>
    <row r="557">
      <c r="A557" s="94"/>
    </row>
    <row r="558">
      <c r="A558" s="94"/>
    </row>
    <row r="559">
      <c r="A559" s="94"/>
    </row>
    <row r="560">
      <c r="A560" s="94"/>
    </row>
    <row r="561">
      <c r="A561" s="94"/>
    </row>
    <row r="562">
      <c r="A562" s="94"/>
    </row>
    <row r="563">
      <c r="A563" s="94"/>
    </row>
    <row r="564">
      <c r="A564" s="94"/>
    </row>
    <row r="565">
      <c r="A565" s="94"/>
    </row>
    <row r="566">
      <c r="A566" s="94"/>
    </row>
    <row r="567">
      <c r="A567" s="94"/>
    </row>
    <row r="568">
      <c r="A568" s="94"/>
    </row>
    <row r="569">
      <c r="A569" s="94"/>
    </row>
    <row r="570">
      <c r="A570" s="94"/>
    </row>
    <row r="571">
      <c r="A571" s="94"/>
    </row>
    <row r="572">
      <c r="A572" s="94"/>
    </row>
    <row r="573">
      <c r="A573" s="94"/>
    </row>
    <row r="574">
      <c r="A574" s="94"/>
    </row>
    <row r="575">
      <c r="A575" s="94"/>
    </row>
    <row r="576">
      <c r="A576" s="94"/>
    </row>
    <row r="577">
      <c r="A577" s="94"/>
    </row>
    <row r="578">
      <c r="A578" s="94"/>
    </row>
    <row r="579">
      <c r="A579" s="94"/>
    </row>
    <row r="580">
      <c r="A580" s="94"/>
    </row>
    <row r="581">
      <c r="A581" s="94"/>
    </row>
    <row r="582">
      <c r="A582" s="94"/>
    </row>
    <row r="583">
      <c r="A583" s="94"/>
    </row>
    <row r="584">
      <c r="A584" s="94"/>
    </row>
    <row r="585">
      <c r="A585" s="94"/>
    </row>
    <row r="586">
      <c r="A586" s="94"/>
    </row>
    <row r="587">
      <c r="A587" s="94"/>
    </row>
    <row r="588">
      <c r="A588" s="94"/>
    </row>
    <row r="589">
      <c r="A589" s="94"/>
    </row>
    <row r="590">
      <c r="A590" s="94"/>
    </row>
    <row r="591">
      <c r="A591" s="94"/>
    </row>
    <row r="592">
      <c r="A592" s="94"/>
    </row>
    <row r="593">
      <c r="A593" s="94"/>
    </row>
    <row r="594">
      <c r="A594" s="94"/>
    </row>
    <row r="595">
      <c r="A595" s="94"/>
    </row>
    <row r="596">
      <c r="A596" s="94"/>
    </row>
    <row r="597">
      <c r="A597" s="94"/>
    </row>
    <row r="598">
      <c r="A598" s="94"/>
    </row>
    <row r="599">
      <c r="A599" s="94"/>
    </row>
    <row r="600">
      <c r="A600" s="94"/>
    </row>
    <row r="601">
      <c r="A601" s="94"/>
    </row>
    <row r="602">
      <c r="A602" s="94"/>
    </row>
    <row r="603">
      <c r="A603" s="94"/>
    </row>
    <row r="604">
      <c r="A604" s="94"/>
    </row>
    <row r="605">
      <c r="A605" s="94"/>
    </row>
    <row r="606">
      <c r="A606" s="94"/>
    </row>
    <row r="607">
      <c r="A607" s="94"/>
    </row>
    <row r="608">
      <c r="A608" s="94"/>
    </row>
    <row r="609">
      <c r="A609" s="94"/>
    </row>
    <row r="610">
      <c r="A610" s="94"/>
    </row>
    <row r="611">
      <c r="A611" s="94"/>
    </row>
    <row r="612">
      <c r="A612" s="94"/>
    </row>
    <row r="613">
      <c r="A613" s="94"/>
    </row>
    <row r="614">
      <c r="A614" s="94"/>
    </row>
    <row r="615">
      <c r="A615" s="94"/>
    </row>
    <row r="616">
      <c r="A616" s="94"/>
    </row>
    <row r="617">
      <c r="A617" s="94"/>
    </row>
    <row r="618">
      <c r="A618" s="94"/>
    </row>
    <row r="619">
      <c r="A619" s="94"/>
    </row>
    <row r="620">
      <c r="A620" s="94"/>
    </row>
    <row r="621">
      <c r="A621" s="94"/>
    </row>
    <row r="622">
      <c r="A622" s="94"/>
    </row>
    <row r="623">
      <c r="A623" s="94"/>
    </row>
    <row r="624">
      <c r="A624" s="94"/>
    </row>
    <row r="625">
      <c r="A625" s="94"/>
    </row>
    <row r="626">
      <c r="A626" s="94"/>
    </row>
    <row r="627">
      <c r="A627" s="94"/>
    </row>
    <row r="628">
      <c r="A628" s="94"/>
    </row>
    <row r="629">
      <c r="A629" s="94"/>
    </row>
    <row r="630">
      <c r="A630" s="94"/>
    </row>
    <row r="631">
      <c r="A631" s="94"/>
    </row>
    <row r="632">
      <c r="A632" s="94"/>
    </row>
    <row r="633">
      <c r="A633" s="94"/>
    </row>
    <row r="634">
      <c r="A634" s="94"/>
    </row>
    <row r="635">
      <c r="A635" s="94"/>
    </row>
    <row r="636">
      <c r="A636" s="94"/>
    </row>
    <row r="637">
      <c r="A637" s="94"/>
    </row>
    <row r="638">
      <c r="A638" s="94"/>
    </row>
    <row r="639">
      <c r="A639" s="94"/>
    </row>
    <row r="640">
      <c r="A640" s="94"/>
    </row>
    <row r="641">
      <c r="A641" s="94"/>
    </row>
    <row r="642">
      <c r="A642" s="94"/>
    </row>
    <row r="643">
      <c r="A643" s="94"/>
    </row>
    <row r="644">
      <c r="A644" s="94"/>
    </row>
    <row r="645">
      <c r="A645" s="94"/>
    </row>
    <row r="646">
      <c r="A646" s="94"/>
    </row>
    <row r="647">
      <c r="A647" s="94"/>
    </row>
    <row r="648">
      <c r="A648" s="94"/>
    </row>
    <row r="649">
      <c r="A649" s="94"/>
    </row>
    <row r="650">
      <c r="A650" s="94"/>
    </row>
    <row r="651">
      <c r="A651" s="94"/>
    </row>
    <row r="652">
      <c r="A652" s="94"/>
    </row>
    <row r="653">
      <c r="A653" s="94"/>
    </row>
    <row r="654">
      <c r="A654" s="94"/>
    </row>
    <row r="655">
      <c r="A655" s="94"/>
    </row>
    <row r="656">
      <c r="A656" s="94"/>
    </row>
    <row r="657">
      <c r="A657" s="94"/>
    </row>
    <row r="658">
      <c r="A658" s="94"/>
    </row>
    <row r="659">
      <c r="A659" s="94"/>
    </row>
    <row r="660">
      <c r="A660" s="94"/>
    </row>
    <row r="661">
      <c r="A661" s="94"/>
    </row>
    <row r="662">
      <c r="A662" s="94"/>
    </row>
    <row r="663">
      <c r="A663" s="94"/>
    </row>
    <row r="664">
      <c r="A664" s="94"/>
    </row>
    <row r="665">
      <c r="A665" s="94"/>
    </row>
    <row r="666">
      <c r="A666" s="94"/>
    </row>
    <row r="667">
      <c r="A667" s="94"/>
    </row>
    <row r="668">
      <c r="A668" s="94"/>
    </row>
    <row r="669">
      <c r="A669" s="94"/>
    </row>
    <row r="670">
      <c r="A670" s="94"/>
    </row>
    <row r="671">
      <c r="A671" s="94"/>
    </row>
    <row r="672">
      <c r="A672" s="94"/>
    </row>
    <row r="673">
      <c r="A673" s="94"/>
    </row>
    <row r="674">
      <c r="A674" s="94"/>
    </row>
    <row r="675">
      <c r="A675" s="94"/>
    </row>
    <row r="676">
      <c r="A676" s="94"/>
    </row>
    <row r="677">
      <c r="A677" s="94"/>
    </row>
    <row r="678">
      <c r="A678" s="94"/>
    </row>
    <row r="679">
      <c r="A679" s="94"/>
    </row>
    <row r="680">
      <c r="A680" s="94"/>
    </row>
    <row r="681">
      <c r="A681" s="94"/>
    </row>
    <row r="682">
      <c r="A682" s="94"/>
    </row>
    <row r="683">
      <c r="A683" s="94"/>
    </row>
    <row r="684">
      <c r="A684" s="94"/>
    </row>
    <row r="685">
      <c r="A685" s="94"/>
    </row>
    <row r="686">
      <c r="A686" s="94"/>
    </row>
    <row r="687">
      <c r="A687" s="94"/>
    </row>
    <row r="688">
      <c r="A688" s="94"/>
    </row>
    <row r="689">
      <c r="A689" s="94"/>
    </row>
    <row r="690">
      <c r="A690" s="94"/>
    </row>
    <row r="691">
      <c r="A691" s="94"/>
    </row>
    <row r="692">
      <c r="A692" s="94"/>
    </row>
    <row r="693">
      <c r="A693" s="94"/>
    </row>
    <row r="694">
      <c r="A694" s="94"/>
    </row>
    <row r="695">
      <c r="A695" s="94"/>
    </row>
    <row r="696">
      <c r="A696" s="94"/>
    </row>
    <row r="697">
      <c r="A697" s="94"/>
    </row>
    <row r="698">
      <c r="A698" s="94"/>
    </row>
    <row r="699">
      <c r="A699" s="94"/>
    </row>
    <row r="700">
      <c r="A700" s="94"/>
    </row>
    <row r="701">
      <c r="A701" s="94"/>
    </row>
    <row r="702">
      <c r="A702" s="94"/>
    </row>
    <row r="703">
      <c r="A703" s="94"/>
    </row>
    <row r="704">
      <c r="A704" s="94"/>
    </row>
    <row r="705">
      <c r="A705" s="94"/>
    </row>
    <row r="706">
      <c r="A706" s="94"/>
    </row>
    <row r="707">
      <c r="A707" s="94"/>
    </row>
    <row r="708">
      <c r="A708" s="94"/>
    </row>
    <row r="709">
      <c r="A709" s="94"/>
    </row>
    <row r="710">
      <c r="A710" s="94"/>
    </row>
    <row r="711">
      <c r="A711" s="94"/>
    </row>
    <row r="712">
      <c r="A712" s="94"/>
    </row>
    <row r="713">
      <c r="A713" s="94"/>
    </row>
    <row r="714">
      <c r="A714" s="94"/>
    </row>
    <row r="715">
      <c r="A715" s="94"/>
    </row>
    <row r="716">
      <c r="A716" s="94"/>
    </row>
    <row r="717">
      <c r="A717" s="94"/>
    </row>
    <row r="718">
      <c r="A718" s="94"/>
    </row>
    <row r="719">
      <c r="A719" s="94"/>
    </row>
    <row r="720">
      <c r="A720" s="94"/>
    </row>
    <row r="721">
      <c r="A721" s="94"/>
    </row>
    <row r="722">
      <c r="A722" s="94"/>
    </row>
    <row r="723">
      <c r="A723" s="94"/>
    </row>
    <row r="724">
      <c r="A724" s="94"/>
    </row>
    <row r="725">
      <c r="A725" s="94"/>
    </row>
    <row r="726">
      <c r="A726" s="94"/>
    </row>
    <row r="727">
      <c r="A727" s="94"/>
    </row>
    <row r="728">
      <c r="A728" s="94"/>
    </row>
    <row r="729">
      <c r="A729" s="94"/>
    </row>
    <row r="730">
      <c r="A730" s="94"/>
    </row>
    <row r="731">
      <c r="A731" s="94"/>
    </row>
    <row r="732">
      <c r="A732" s="94"/>
    </row>
    <row r="733">
      <c r="A733" s="94"/>
    </row>
    <row r="734">
      <c r="A734" s="94"/>
    </row>
    <row r="735">
      <c r="A735" s="94"/>
    </row>
    <row r="736">
      <c r="A736" s="94"/>
    </row>
    <row r="737">
      <c r="A737" s="94"/>
    </row>
    <row r="738">
      <c r="A738" s="94"/>
    </row>
    <row r="739">
      <c r="A739" s="94"/>
    </row>
    <row r="740">
      <c r="A740" s="94"/>
    </row>
    <row r="741">
      <c r="A741" s="94"/>
    </row>
    <row r="742">
      <c r="A742" s="94"/>
    </row>
    <row r="743">
      <c r="A743" s="94"/>
    </row>
    <row r="744">
      <c r="A744" s="94"/>
    </row>
    <row r="745">
      <c r="A745" s="94"/>
    </row>
    <row r="746">
      <c r="A746" s="94"/>
    </row>
    <row r="747">
      <c r="A747" s="94"/>
    </row>
    <row r="748">
      <c r="A748" s="94"/>
    </row>
    <row r="749">
      <c r="A749" s="94"/>
    </row>
    <row r="750">
      <c r="A750" s="94"/>
    </row>
    <row r="751">
      <c r="A751" s="94"/>
    </row>
    <row r="752">
      <c r="A752" s="94"/>
    </row>
    <row r="753">
      <c r="A753" s="94"/>
    </row>
    <row r="754">
      <c r="A754" s="94"/>
    </row>
    <row r="755">
      <c r="A755" s="94"/>
    </row>
    <row r="756">
      <c r="A756" s="94"/>
    </row>
    <row r="757">
      <c r="A757" s="94"/>
    </row>
    <row r="758">
      <c r="A758" s="94"/>
    </row>
    <row r="759">
      <c r="A759" s="94"/>
    </row>
    <row r="760">
      <c r="A760" s="94"/>
    </row>
    <row r="761">
      <c r="A761" s="94"/>
    </row>
    <row r="762">
      <c r="A762" s="94"/>
    </row>
    <row r="763">
      <c r="A763" s="94"/>
    </row>
    <row r="764">
      <c r="A764" s="94"/>
    </row>
    <row r="765">
      <c r="A765" s="94"/>
    </row>
    <row r="766">
      <c r="A766" s="94"/>
    </row>
    <row r="767">
      <c r="A767" s="94"/>
    </row>
    <row r="768">
      <c r="A768" s="94"/>
    </row>
    <row r="769">
      <c r="A769" s="94"/>
    </row>
    <row r="770">
      <c r="A770" s="94"/>
    </row>
    <row r="771">
      <c r="A771" s="94"/>
    </row>
    <row r="772">
      <c r="A772" s="94"/>
    </row>
    <row r="773">
      <c r="A773" s="94"/>
    </row>
    <row r="774">
      <c r="A774" s="94"/>
    </row>
    <row r="775">
      <c r="A775" s="94"/>
    </row>
    <row r="776">
      <c r="A776" s="94"/>
    </row>
    <row r="777">
      <c r="A777" s="94"/>
    </row>
    <row r="778">
      <c r="A778" s="94"/>
    </row>
    <row r="779">
      <c r="A779" s="94"/>
    </row>
    <row r="780">
      <c r="A780" s="94"/>
    </row>
    <row r="781">
      <c r="A781" s="94"/>
    </row>
    <row r="782">
      <c r="A782" s="94"/>
    </row>
    <row r="783">
      <c r="A783" s="94"/>
    </row>
    <row r="784">
      <c r="A784" s="94"/>
    </row>
    <row r="785">
      <c r="A785" s="94"/>
    </row>
    <row r="786">
      <c r="A786" s="94"/>
    </row>
    <row r="787">
      <c r="A787" s="94"/>
    </row>
    <row r="788">
      <c r="A788" s="94"/>
    </row>
    <row r="789">
      <c r="A789" s="94"/>
    </row>
    <row r="790">
      <c r="A790" s="94"/>
    </row>
    <row r="791">
      <c r="A791" s="94"/>
    </row>
    <row r="792">
      <c r="A792" s="94"/>
    </row>
    <row r="793">
      <c r="A793" s="94"/>
    </row>
    <row r="794">
      <c r="A794" s="94"/>
    </row>
    <row r="795">
      <c r="A795" s="94"/>
    </row>
    <row r="796">
      <c r="A796" s="94"/>
    </row>
    <row r="797">
      <c r="A797" s="94"/>
    </row>
    <row r="798">
      <c r="A798" s="94"/>
    </row>
    <row r="799">
      <c r="A799" s="94"/>
    </row>
    <row r="800">
      <c r="A800" s="94"/>
    </row>
    <row r="801">
      <c r="A801" s="94"/>
    </row>
    <row r="802">
      <c r="A802" s="94"/>
    </row>
    <row r="803">
      <c r="A803" s="94"/>
    </row>
    <row r="804">
      <c r="A804" s="94"/>
    </row>
    <row r="805">
      <c r="A805" s="94"/>
    </row>
    <row r="806">
      <c r="A806" s="94"/>
    </row>
    <row r="807">
      <c r="A807" s="94"/>
    </row>
    <row r="808">
      <c r="A808" s="94"/>
    </row>
    <row r="809">
      <c r="A809" s="94"/>
    </row>
    <row r="810">
      <c r="A810" s="94"/>
    </row>
    <row r="811">
      <c r="A811" s="94"/>
    </row>
    <row r="812">
      <c r="A812" s="94"/>
    </row>
    <row r="813">
      <c r="A813" s="94"/>
    </row>
    <row r="814">
      <c r="A814" s="94"/>
    </row>
    <row r="815">
      <c r="A815" s="94"/>
    </row>
    <row r="816">
      <c r="A816" s="94"/>
    </row>
    <row r="817">
      <c r="A817" s="94"/>
    </row>
    <row r="818">
      <c r="A818" s="94"/>
    </row>
    <row r="819">
      <c r="A819" s="94"/>
    </row>
    <row r="820">
      <c r="A820" s="94"/>
    </row>
    <row r="821">
      <c r="A821" s="94"/>
    </row>
    <row r="822">
      <c r="A822" s="94"/>
    </row>
    <row r="823">
      <c r="A823" s="94"/>
    </row>
    <row r="824">
      <c r="A824" s="94"/>
    </row>
    <row r="825">
      <c r="A825" s="94"/>
    </row>
    <row r="826">
      <c r="A826" s="94"/>
    </row>
    <row r="827">
      <c r="A827" s="94"/>
    </row>
    <row r="828">
      <c r="A828" s="94"/>
    </row>
    <row r="829">
      <c r="A829" s="94"/>
    </row>
    <row r="830">
      <c r="A830" s="94"/>
    </row>
    <row r="831">
      <c r="A831" s="94"/>
    </row>
    <row r="832">
      <c r="A832" s="94"/>
    </row>
    <row r="833">
      <c r="A833" s="94"/>
    </row>
    <row r="834">
      <c r="A834" s="94"/>
    </row>
    <row r="835">
      <c r="A835" s="94"/>
    </row>
    <row r="836">
      <c r="A836" s="94"/>
    </row>
    <row r="837">
      <c r="A837" s="94"/>
    </row>
    <row r="838">
      <c r="A838" s="94"/>
    </row>
    <row r="839">
      <c r="A839" s="94"/>
    </row>
    <row r="840">
      <c r="A840" s="94"/>
    </row>
    <row r="841">
      <c r="A841" s="94"/>
    </row>
    <row r="842">
      <c r="A842" s="94"/>
    </row>
    <row r="843">
      <c r="A843" s="94"/>
    </row>
    <row r="844">
      <c r="A844" s="94"/>
    </row>
    <row r="845">
      <c r="A845" s="94"/>
    </row>
    <row r="846">
      <c r="A846" s="94"/>
    </row>
    <row r="847">
      <c r="A847" s="94"/>
    </row>
    <row r="848">
      <c r="A848" s="94"/>
    </row>
    <row r="849">
      <c r="A849" s="94"/>
    </row>
    <row r="850">
      <c r="A850" s="94"/>
    </row>
    <row r="851">
      <c r="A851" s="94"/>
    </row>
    <row r="852">
      <c r="A852" s="94"/>
    </row>
    <row r="853">
      <c r="A853" s="94"/>
    </row>
    <row r="854">
      <c r="A854" s="94"/>
    </row>
    <row r="855">
      <c r="A855" s="94"/>
    </row>
    <row r="856">
      <c r="A856" s="94"/>
    </row>
    <row r="857">
      <c r="A857" s="94"/>
    </row>
    <row r="858">
      <c r="A858" s="94"/>
    </row>
    <row r="859">
      <c r="A859" s="94"/>
    </row>
    <row r="860">
      <c r="A860" s="94"/>
    </row>
    <row r="861">
      <c r="A861" s="94"/>
    </row>
    <row r="862">
      <c r="A862" s="94"/>
    </row>
    <row r="863">
      <c r="A863" s="94"/>
    </row>
    <row r="864">
      <c r="A864" s="94"/>
    </row>
    <row r="865">
      <c r="A865" s="94"/>
    </row>
    <row r="866">
      <c r="A866" s="94"/>
    </row>
    <row r="867">
      <c r="A867" s="94"/>
    </row>
    <row r="868">
      <c r="A868" s="94"/>
    </row>
    <row r="869">
      <c r="A869" s="94"/>
    </row>
    <row r="870">
      <c r="A870" s="94"/>
    </row>
    <row r="871">
      <c r="A871" s="94"/>
    </row>
    <row r="872">
      <c r="A872" s="94"/>
    </row>
    <row r="873">
      <c r="A873" s="94"/>
    </row>
    <row r="874">
      <c r="A874" s="94"/>
    </row>
    <row r="875">
      <c r="A875" s="94"/>
    </row>
    <row r="876">
      <c r="A876" s="94"/>
    </row>
    <row r="877">
      <c r="A877" s="94"/>
    </row>
    <row r="878">
      <c r="A878" s="94"/>
    </row>
    <row r="879">
      <c r="A879" s="94"/>
    </row>
    <row r="880">
      <c r="A880" s="94"/>
    </row>
    <row r="881">
      <c r="A881" s="94"/>
    </row>
    <row r="882">
      <c r="A882" s="94"/>
    </row>
    <row r="883">
      <c r="A883" s="94"/>
    </row>
    <row r="884">
      <c r="A884" s="94"/>
    </row>
    <row r="885">
      <c r="A885" s="94"/>
    </row>
    <row r="886">
      <c r="A886" s="94"/>
    </row>
    <row r="887">
      <c r="A887" s="94"/>
    </row>
    <row r="888">
      <c r="A888" s="94"/>
    </row>
    <row r="889">
      <c r="A889" s="94"/>
    </row>
    <row r="890">
      <c r="A890" s="94"/>
    </row>
    <row r="891">
      <c r="A891" s="94"/>
    </row>
    <row r="892">
      <c r="A892" s="94"/>
    </row>
    <row r="893">
      <c r="A893" s="94"/>
    </row>
    <row r="894">
      <c r="A894" s="94"/>
    </row>
    <row r="895">
      <c r="A895" s="94"/>
    </row>
    <row r="896">
      <c r="A896" s="94"/>
    </row>
    <row r="897">
      <c r="A897" s="94"/>
    </row>
    <row r="898">
      <c r="A898" s="94"/>
    </row>
    <row r="899">
      <c r="A899" s="94"/>
    </row>
    <row r="900">
      <c r="A900" s="94"/>
    </row>
    <row r="901">
      <c r="A901" s="94"/>
    </row>
    <row r="902">
      <c r="A902" s="94"/>
    </row>
    <row r="903">
      <c r="A903" s="94"/>
    </row>
    <row r="904">
      <c r="A904" s="94"/>
    </row>
    <row r="905">
      <c r="A905" s="94"/>
    </row>
    <row r="906">
      <c r="A906" s="94"/>
    </row>
    <row r="907">
      <c r="A907" s="94"/>
    </row>
    <row r="908">
      <c r="A908" s="94"/>
    </row>
    <row r="909">
      <c r="A909" s="94"/>
    </row>
    <row r="910">
      <c r="A910" s="94"/>
    </row>
    <row r="911">
      <c r="A911" s="94"/>
    </row>
    <row r="912">
      <c r="A912" s="94"/>
    </row>
    <row r="913">
      <c r="A913" s="94"/>
    </row>
    <row r="914">
      <c r="A914" s="94"/>
    </row>
    <row r="915">
      <c r="A915" s="94"/>
    </row>
    <row r="916">
      <c r="A916" s="94"/>
    </row>
    <row r="917">
      <c r="A917" s="94"/>
    </row>
    <row r="918">
      <c r="A918" s="94"/>
    </row>
    <row r="919">
      <c r="A919" s="94"/>
    </row>
    <row r="920">
      <c r="A920" s="94"/>
    </row>
    <row r="921">
      <c r="A921" s="94"/>
    </row>
    <row r="922">
      <c r="A922" s="94"/>
    </row>
    <row r="923">
      <c r="A923" s="94"/>
    </row>
    <row r="924">
      <c r="A924" s="94"/>
    </row>
    <row r="925">
      <c r="A925" s="94"/>
    </row>
    <row r="926">
      <c r="A926" s="94"/>
    </row>
    <row r="927">
      <c r="A927" s="94"/>
    </row>
    <row r="928">
      <c r="A928" s="94"/>
    </row>
    <row r="929">
      <c r="A929" s="94"/>
    </row>
    <row r="930">
      <c r="A930" s="94"/>
    </row>
    <row r="931">
      <c r="A931" s="94"/>
    </row>
    <row r="932">
      <c r="A932" s="94"/>
    </row>
    <row r="933">
      <c r="A933" s="94"/>
    </row>
    <row r="934">
      <c r="A934" s="94"/>
    </row>
    <row r="935">
      <c r="A935" s="94"/>
    </row>
    <row r="936">
      <c r="A936" s="94"/>
    </row>
    <row r="937">
      <c r="A937" s="94"/>
    </row>
    <row r="938">
      <c r="A938" s="94"/>
    </row>
    <row r="939">
      <c r="A939" s="94"/>
    </row>
    <row r="940">
      <c r="A940" s="94"/>
    </row>
    <row r="941">
      <c r="A941" s="94"/>
    </row>
    <row r="942">
      <c r="A942" s="94"/>
    </row>
    <row r="943">
      <c r="A943" s="94"/>
    </row>
    <row r="944">
      <c r="A944" s="94"/>
    </row>
    <row r="945">
      <c r="A945" s="94"/>
    </row>
    <row r="946">
      <c r="A946" s="94"/>
    </row>
    <row r="947">
      <c r="A947" s="94"/>
    </row>
    <row r="948">
      <c r="A948" s="94"/>
    </row>
    <row r="949">
      <c r="A949" s="94"/>
    </row>
    <row r="950">
      <c r="A950" s="94"/>
    </row>
    <row r="951">
      <c r="A951" s="94"/>
    </row>
    <row r="952">
      <c r="A952" s="94"/>
    </row>
    <row r="953">
      <c r="A953" s="94"/>
    </row>
    <row r="954">
      <c r="A954" s="94"/>
    </row>
    <row r="955">
      <c r="A955" s="94"/>
    </row>
    <row r="956">
      <c r="A956" s="94"/>
    </row>
    <row r="957">
      <c r="A957" s="94"/>
    </row>
    <row r="958">
      <c r="A958" s="94"/>
    </row>
    <row r="959">
      <c r="A959" s="94"/>
    </row>
    <row r="960">
      <c r="A960" s="94"/>
    </row>
    <row r="961">
      <c r="A961" s="94"/>
    </row>
    <row r="962">
      <c r="A962" s="94"/>
    </row>
    <row r="963">
      <c r="A963" s="94"/>
    </row>
    <row r="964">
      <c r="A964" s="94"/>
    </row>
    <row r="965">
      <c r="A965" s="94"/>
    </row>
    <row r="966">
      <c r="A966" s="94"/>
    </row>
    <row r="967">
      <c r="A967" s="94"/>
    </row>
    <row r="968">
      <c r="A968" s="94"/>
    </row>
    <row r="969">
      <c r="A969" s="94"/>
    </row>
    <row r="970">
      <c r="A970" s="94"/>
    </row>
    <row r="971">
      <c r="A971" s="94"/>
    </row>
    <row r="972">
      <c r="A972" s="94"/>
    </row>
    <row r="973">
      <c r="A973" s="94"/>
    </row>
    <row r="974">
      <c r="A974" s="94"/>
    </row>
    <row r="975">
      <c r="A975" s="94"/>
    </row>
    <row r="976">
      <c r="A976" s="94"/>
    </row>
    <row r="977">
      <c r="A977" s="94"/>
    </row>
    <row r="978">
      <c r="A978" s="94"/>
    </row>
    <row r="979">
      <c r="A979" s="94"/>
    </row>
    <row r="980">
      <c r="A980" s="94"/>
    </row>
    <row r="981">
      <c r="A981" s="94"/>
    </row>
    <row r="982">
      <c r="A982" s="94"/>
    </row>
    <row r="983">
      <c r="A983" s="94"/>
    </row>
    <row r="984">
      <c r="A984" s="94"/>
    </row>
    <row r="985">
      <c r="A985" s="94"/>
    </row>
    <row r="986">
      <c r="A986" s="94"/>
    </row>
    <row r="987">
      <c r="A987" s="94"/>
    </row>
    <row r="988">
      <c r="A988" s="94"/>
    </row>
    <row r="989">
      <c r="A989" s="94"/>
    </row>
    <row r="990">
      <c r="A990" s="94"/>
    </row>
    <row r="991">
      <c r="A991" s="94"/>
    </row>
    <row r="992">
      <c r="A992" s="94"/>
    </row>
    <row r="993">
      <c r="A993" s="94"/>
    </row>
  </sheetData>
  <hyperlinks>
    <hyperlink r:id="rId1" ref="A66"/>
    <hyperlink r:id="rId2" ref="A76"/>
    <hyperlink r:id="rId3" ref="A83"/>
    <hyperlink r:id="rId4" ref="A96"/>
    <hyperlink r:id="rId5" ref="A107"/>
  </hyperlinks>
  <drawing r:id="rId6"/>
</worksheet>
</file>