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Documents\Temporaire\FISE2\OPTION1\HPP\Projet_Coronavirus\HPP_Coronavirus_Project\Mesures\"/>
    </mc:Choice>
  </mc:AlternateContent>
  <xr:revisionPtr revIDLastSave="0" documentId="13_ncr:1_{B3AD3401-984C-40E7-8A49-09B198F39637}" xr6:coauthVersionLast="44" xr6:coauthVersionMax="44" xr10:uidLastSave="{00000000-0000-0000-0000-000000000000}"/>
  <bookViews>
    <workbookView xWindow="-110" yWindow="-110" windowWidth="18490" windowHeight="11020" firstSheet="3" activeTab="5" xr2:uid="{3ECF27EF-CF39-47C0-885E-284BADAE2FC9}"/>
  </bookViews>
  <sheets>
    <sheet name="Base" sheetId="3" r:id="rId1"/>
    <sheet name="Optimisation Mono" sheetId="2" r:id="rId2"/>
    <sheet name="Optimisation Mono Parcours" sheetId="6" r:id="rId3"/>
    <sheet name="Optimisation Mono Accès" sheetId="7" r:id="rId4"/>
    <sheet name="Optimisation MultiThreading" sheetId="8" r:id="rId5"/>
    <sheet name="Graphiqu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3" l="1"/>
  <c r="J4" i="8" l="1"/>
  <c r="E19" i="8"/>
  <c r="F19" i="8" s="1"/>
  <c r="E18" i="8"/>
  <c r="F18" i="8" s="1"/>
  <c r="E17" i="8"/>
  <c r="E16" i="8"/>
  <c r="E15" i="8"/>
  <c r="F15" i="8" s="1"/>
  <c r="E14" i="8"/>
  <c r="E13" i="8"/>
  <c r="E12" i="8"/>
  <c r="E11" i="8"/>
  <c r="E10" i="8"/>
  <c r="E9" i="8"/>
  <c r="E8" i="8"/>
  <c r="E7" i="8"/>
  <c r="E6" i="8"/>
  <c r="E5" i="8"/>
  <c r="F17" i="8"/>
  <c r="F16" i="8"/>
  <c r="E20" i="8" l="1"/>
  <c r="F20" i="8" s="1"/>
  <c r="F14" i="8"/>
  <c r="F13" i="8"/>
  <c r="F12" i="8"/>
  <c r="F11" i="8"/>
  <c r="F10" i="8"/>
  <c r="F9" i="8"/>
  <c r="F8" i="8"/>
  <c r="F7" i="8"/>
  <c r="F6" i="8"/>
  <c r="F5" i="8"/>
  <c r="M4" i="8"/>
  <c r="E4" i="8"/>
  <c r="F4" i="8" s="1"/>
  <c r="M5" i="8" l="1"/>
  <c r="M3" i="8"/>
  <c r="J4" i="7"/>
  <c r="M3" i="7" s="1"/>
  <c r="E28" i="7"/>
  <c r="F28" i="7" s="1"/>
  <c r="E27" i="7"/>
  <c r="F27" i="7" s="1"/>
  <c r="E26" i="7"/>
  <c r="F26" i="7" s="1"/>
  <c r="E25" i="7"/>
  <c r="F25" i="7" s="1"/>
  <c r="E24" i="7"/>
  <c r="F24" i="7" s="1"/>
  <c r="F23" i="7"/>
  <c r="E23" i="7"/>
  <c r="E22" i="7"/>
  <c r="F22" i="7" s="1"/>
  <c r="E21" i="7"/>
  <c r="F21" i="7" s="1"/>
  <c r="E20" i="7"/>
  <c r="F20" i="7" s="1"/>
  <c r="E19" i="7"/>
  <c r="F19" i="7" s="1"/>
  <c r="E18" i="7"/>
  <c r="F18" i="7" s="1"/>
  <c r="E7" i="7"/>
  <c r="F7" i="7" s="1"/>
  <c r="E8" i="7"/>
  <c r="F8" i="7"/>
  <c r="E9" i="7"/>
  <c r="F9" i="7"/>
  <c r="E10" i="7"/>
  <c r="F10" i="7"/>
  <c r="E11" i="7"/>
  <c r="F11" i="7" s="1"/>
  <c r="E12" i="7"/>
  <c r="F12" i="7"/>
  <c r="E13" i="7"/>
  <c r="F13" i="7"/>
  <c r="E14" i="7"/>
  <c r="F14" i="7"/>
  <c r="E15" i="7"/>
  <c r="F15" i="7" s="1"/>
  <c r="E16" i="7"/>
  <c r="F16" i="7"/>
  <c r="E17" i="7"/>
  <c r="F17" i="7"/>
  <c r="E6" i="7"/>
  <c r="F6" i="7" s="1"/>
  <c r="E5" i="7"/>
  <c r="F5" i="7" s="1"/>
  <c r="E4" i="7"/>
  <c r="F4" i="7" s="1"/>
  <c r="M6" i="8" l="1"/>
  <c r="M7" i="8" s="1"/>
  <c r="M4" i="7"/>
  <c r="M5" i="7" s="1"/>
  <c r="J4" i="6"/>
  <c r="E17" i="6"/>
  <c r="F17" i="6" s="1"/>
  <c r="E16" i="6"/>
  <c r="F16" i="6" s="1"/>
  <c r="E15" i="6"/>
  <c r="F15" i="6" s="1"/>
  <c r="E14" i="6"/>
  <c r="F14" i="6" s="1"/>
  <c r="E13" i="6"/>
  <c r="F13" i="6" s="1"/>
  <c r="E12" i="6"/>
  <c r="F12" i="6" s="1"/>
  <c r="E11" i="6"/>
  <c r="F11" i="6" s="1"/>
  <c r="E10" i="6"/>
  <c r="F10" i="6" s="1"/>
  <c r="E9" i="6"/>
  <c r="F9" i="6" s="1"/>
  <c r="E7" i="6"/>
  <c r="F7" i="6" s="1"/>
  <c r="E6" i="6"/>
  <c r="F6" i="6" s="1"/>
  <c r="E5" i="6"/>
  <c r="F5" i="6" s="1"/>
  <c r="E23" i="6"/>
  <c r="E22" i="6"/>
  <c r="F23" i="6" s="1"/>
  <c r="E21" i="6"/>
  <c r="F22" i="6" s="1"/>
  <c r="F20" i="6"/>
  <c r="E20" i="6"/>
  <c r="F21" i="6" s="1"/>
  <c r="E19" i="6"/>
  <c r="E18" i="6"/>
  <c r="F19" i="6" s="1"/>
  <c r="E8" i="6"/>
  <c r="F8" i="6" s="1"/>
  <c r="E4" i="6"/>
  <c r="F4" i="6" s="1"/>
  <c r="M6" i="7" l="1"/>
  <c r="M7" i="7" s="1"/>
  <c r="M3" i="6"/>
  <c r="M4" i="6"/>
  <c r="M5" i="6" s="1"/>
  <c r="E19" i="2"/>
  <c r="F19" i="2" s="1"/>
  <c r="E18" i="2"/>
  <c r="F18" i="2" s="1"/>
  <c r="E17" i="2"/>
  <c r="F17" i="2" s="1"/>
  <c r="E16" i="2"/>
  <c r="E15" i="2"/>
  <c r="E14" i="2"/>
  <c r="F14" i="2" s="1"/>
  <c r="E12" i="2"/>
  <c r="F12" i="2" s="1"/>
  <c r="E11" i="2"/>
  <c r="F11" i="2" s="1"/>
  <c r="E10" i="2"/>
  <c r="F10" i="2" s="1"/>
  <c r="E9" i="2"/>
  <c r="F9" i="2" s="1"/>
  <c r="E8" i="2"/>
  <c r="E7" i="2"/>
  <c r="F7" i="2" s="1"/>
  <c r="E6" i="2"/>
  <c r="F6" i="2" s="1"/>
  <c r="E5" i="2"/>
  <c r="E4" i="2"/>
  <c r="F16" i="2"/>
  <c r="F15" i="2"/>
  <c r="E13" i="2"/>
  <c r="F13" i="2" s="1"/>
  <c r="F8" i="2"/>
  <c r="F5" i="2"/>
  <c r="E19" i="3"/>
  <c r="F19" i="3" s="1"/>
  <c r="E18" i="3"/>
  <c r="F18" i="3" s="1"/>
  <c r="E17" i="3"/>
  <c r="E16" i="3"/>
  <c r="E15" i="3"/>
  <c r="E14" i="3"/>
  <c r="E13" i="3"/>
  <c r="E12" i="3"/>
  <c r="E11" i="3"/>
  <c r="E10" i="3"/>
  <c r="J4" i="2"/>
  <c r="F28" i="2"/>
  <c r="E28" i="2"/>
  <c r="E27" i="2"/>
  <c r="F26" i="2"/>
  <c r="E26" i="2"/>
  <c r="F27" i="2" s="1"/>
  <c r="F25" i="2"/>
  <c r="E25" i="2"/>
  <c r="F24" i="2"/>
  <c r="E24" i="2"/>
  <c r="E23" i="2"/>
  <c r="F22" i="2"/>
  <c r="E22" i="2"/>
  <c r="F23" i="2" s="1"/>
  <c r="E21" i="2"/>
  <c r="E20" i="2"/>
  <c r="F21" i="2" s="1"/>
  <c r="E9" i="3"/>
  <c r="F9" i="3" s="1"/>
  <c r="E8" i="3"/>
  <c r="E7" i="3"/>
  <c r="F7" i="3" s="1"/>
  <c r="F13" i="3"/>
  <c r="F14" i="3"/>
  <c r="F15" i="3"/>
  <c r="E20" i="3"/>
  <c r="E21" i="3"/>
  <c r="E22" i="3"/>
  <c r="E23" i="3"/>
  <c r="F24" i="3" s="1"/>
  <c r="E24" i="3"/>
  <c r="E25" i="3"/>
  <c r="E26" i="3"/>
  <c r="E27" i="3"/>
  <c r="E28" i="3"/>
  <c r="F26" i="3"/>
  <c r="F27" i="3"/>
  <c r="F28" i="3"/>
  <c r="F21" i="3"/>
  <c r="F23" i="3"/>
  <c r="F17" i="3"/>
  <c r="F25" i="3"/>
  <c r="E4" i="3"/>
  <c r="F4" i="3" s="1"/>
  <c r="F10" i="3"/>
  <c r="E6" i="3"/>
  <c r="F6" i="3" s="1"/>
  <c r="F12" i="3"/>
  <c r="E5" i="3"/>
  <c r="F22" i="3"/>
  <c r="F16" i="3"/>
  <c r="F11" i="3"/>
  <c r="F8" i="3"/>
  <c r="F5" i="3"/>
  <c r="M3" i="3"/>
  <c r="M6" i="6" l="1"/>
  <c r="M7" i="6" s="1"/>
  <c r="M4" i="3"/>
  <c r="M5" i="3" s="1"/>
  <c r="M6" i="3" l="1"/>
  <c r="M7" i="3" s="1"/>
  <c r="M3" i="2"/>
  <c r="F4" i="2"/>
  <c r="M4" i="2" l="1"/>
  <c r="M5" i="2" l="1"/>
  <c r="M6" i="2" s="1"/>
  <c r="M7" i="2" s="1"/>
</calcChain>
</file>

<file path=xl/sharedStrings.xml><?xml version="1.0" encoding="utf-8"?>
<sst xmlns="http://schemas.openxmlformats.org/spreadsheetml/2006/main" count="70" uniqueCount="18">
  <si>
    <t>Itérations</t>
  </si>
  <si>
    <t>Temps (heure)</t>
  </si>
  <si>
    <t>Temps (Minutes)</t>
  </si>
  <si>
    <t>Temps (Secondes)</t>
  </si>
  <si>
    <t>Temps (ms)</t>
  </si>
  <si>
    <t>Temps TOTAL (ms)</t>
  </si>
  <si>
    <t xml:space="preserve">X = </t>
  </si>
  <si>
    <t>J =</t>
  </si>
  <si>
    <t>H =</t>
  </si>
  <si>
    <t>M =</t>
  </si>
  <si>
    <t>S =</t>
  </si>
  <si>
    <t>Y = (ms)</t>
  </si>
  <si>
    <t>ms =</t>
  </si>
  <si>
    <t>Monothread - Affichage Syso - Correction : chaines unifiées ssi personne contaminatrice &lt; 14j</t>
  </si>
  <si>
    <t>Monothread - Affichage Syso - Correction : chaines unifiées</t>
  </si>
  <si>
    <t>Monothread - Affichage Syso - Correction : Parours</t>
  </si>
  <si>
    <t>Monothread - Affichage Syso - Correction : Lecture 1 seule donnée à la fois</t>
  </si>
  <si>
    <t>Monothread - Affichage Syso - 2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</si>
</sst>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2" xfId="0" applyFont="1" applyBorder="1"/>
    <xf numFmtId="0" fontId="1" fillId="0" borderId="1" xfId="0" applyFont="1" applyBorder="1"/>
    <xf numFmtId="0" fontId="1" fillId="0" borderId="3" xfId="0" applyFont="1" applyBorder="1"/>
    <xf numFmtId="0" fontId="2" fillId="0" borderId="2" xfId="0" applyFont="1" applyBorder="1"/>
    <xf numFmtId="0" fontId="2" fillId="0" borderId="1" xfId="0" applyFont="1" applyBorder="1"/>
    <xf numFmtId="0" fontId="2" fillId="0" borderId="3" xfId="0" applyFont="1" applyBorder="1"/>
    <xf numFmtId="0" fontId="1" fillId="0" borderId="5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497725284339459"/>
                  <c:y val="2.43806503353747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Base!$A$4:$A$19</c:f>
              <c:numCache>
                <c:formatCode>General</c:formatCode>
                <c:ptCount val="16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120000</c:v>
                </c:pt>
                <c:pt idx="12">
                  <c:v>140000</c:v>
                </c:pt>
                <c:pt idx="13">
                  <c:v>160000</c:v>
                </c:pt>
                <c:pt idx="14">
                  <c:v>180000</c:v>
                </c:pt>
                <c:pt idx="15">
                  <c:v>200000</c:v>
                </c:pt>
              </c:numCache>
            </c:numRef>
          </c:xVal>
          <c:yVal>
            <c:numRef>
              <c:f>Base!$F$4:$F$19</c:f>
              <c:numCache>
                <c:formatCode>General</c:formatCode>
                <c:ptCount val="16"/>
                <c:pt idx="0">
                  <c:v>0</c:v>
                </c:pt>
                <c:pt idx="1">
                  <c:v>18240</c:v>
                </c:pt>
                <c:pt idx="2">
                  <c:v>72940</c:v>
                </c:pt>
                <c:pt idx="3">
                  <c:v>191340</c:v>
                </c:pt>
                <c:pt idx="4">
                  <c:v>341210</c:v>
                </c:pt>
                <c:pt idx="5">
                  <c:v>561320</c:v>
                </c:pt>
                <c:pt idx="6">
                  <c:v>830530</c:v>
                </c:pt>
                <c:pt idx="7">
                  <c:v>1118400</c:v>
                </c:pt>
                <c:pt idx="8">
                  <c:v>1441280</c:v>
                </c:pt>
                <c:pt idx="9">
                  <c:v>1821780</c:v>
                </c:pt>
                <c:pt idx="10">
                  <c:v>2252660</c:v>
                </c:pt>
                <c:pt idx="11">
                  <c:v>3205080</c:v>
                </c:pt>
                <c:pt idx="12">
                  <c:v>4326370</c:v>
                </c:pt>
                <c:pt idx="13">
                  <c:v>5770790</c:v>
                </c:pt>
                <c:pt idx="14">
                  <c:v>7102430</c:v>
                </c:pt>
                <c:pt idx="15">
                  <c:v>8451140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2-4692-9601-B7B77F10D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746511"/>
        <c:axId val="740227007"/>
      </c:scatterChart>
      <c:valAx>
        <c:axId val="73774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0227007"/>
        <c:crosses val="autoZero"/>
        <c:crossBetween val="midCat"/>
      </c:valAx>
      <c:valAx>
        <c:axId val="74022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774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444772528433943"/>
                  <c:y val="5.05092592592592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'Optimisation Mono'!$A$4:$A$19</c:f>
              <c:numCache>
                <c:formatCode>General</c:formatCode>
                <c:ptCount val="16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120000</c:v>
                </c:pt>
                <c:pt idx="12">
                  <c:v>140000</c:v>
                </c:pt>
                <c:pt idx="13">
                  <c:v>160000</c:v>
                </c:pt>
                <c:pt idx="14">
                  <c:v>180000</c:v>
                </c:pt>
                <c:pt idx="15">
                  <c:v>200000</c:v>
                </c:pt>
              </c:numCache>
            </c:numRef>
          </c:xVal>
          <c:yVal>
            <c:numRef>
              <c:f>'Optimisation Mono'!$F$4:$F$19</c:f>
              <c:numCache>
                <c:formatCode>General</c:formatCode>
                <c:ptCount val="16"/>
                <c:pt idx="0">
                  <c:v>0</c:v>
                </c:pt>
                <c:pt idx="1">
                  <c:v>16450</c:v>
                </c:pt>
                <c:pt idx="2">
                  <c:v>60970</c:v>
                </c:pt>
                <c:pt idx="3">
                  <c:v>137970</c:v>
                </c:pt>
                <c:pt idx="4">
                  <c:v>245600</c:v>
                </c:pt>
                <c:pt idx="5">
                  <c:v>401710</c:v>
                </c:pt>
                <c:pt idx="6">
                  <c:v>588840</c:v>
                </c:pt>
                <c:pt idx="7">
                  <c:v>842140</c:v>
                </c:pt>
                <c:pt idx="8">
                  <c:v>1129100</c:v>
                </c:pt>
                <c:pt idx="9">
                  <c:v>1509000</c:v>
                </c:pt>
                <c:pt idx="10">
                  <c:v>1913900</c:v>
                </c:pt>
                <c:pt idx="11">
                  <c:v>2965570</c:v>
                </c:pt>
                <c:pt idx="12">
                  <c:v>4262530</c:v>
                </c:pt>
                <c:pt idx="13">
                  <c:v>5437400</c:v>
                </c:pt>
                <c:pt idx="14">
                  <c:v>6718250</c:v>
                </c:pt>
                <c:pt idx="15">
                  <c:v>8099510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B-4641-8FB9-812B9EC1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733903"/>
        <c:axId val="740232831"/>
      </c:scatterChart>
      <c:valAx>
        <c:axId val="59673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0232831"/>
        <c:crosses val="autoZero"/>
        <c:crossBetween val="midCat"/>
      </c:valAx>
      <c:valAx>
        <c:axId val="74023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673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444772528433943"/>
                  <c:y val="5.05092592592592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'Optimisation Mono Parcours'!$A$4:$A$17</c:f>
              <c:numCache>
                <c:formatCode>General</c:formatCode>
                <c:ptCount val="14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120000</c:v>
                </c:pt>
                <c:pt idx="12">
                  <c:v>140000</c:v>
                </c:pt>
                <c:pt idx="13">
                  <c:v>400000</c:v>
                </c:pt>
              </c:numCache>
            </c:numRef>
          </c:xVal>
          <c:yVal>
            <c:numRef>
              <c:f>'Optimisation Mono Parcours'!$F$4:$F$17</c:f>
              <c:numCache>
                <c:formatCode>General</c:formatCode>
                <c:ptCount val="14"/>
                <c:pt idx="0">
                  <c:v>0</c:v>
                </c:pt>
                <c:pt idx="1">
                  <c:v>15680</c:v>
                </c:pt>
                <c:pt idx="2">
                  <c:v>59860</c:v>
                </c:pt>
                <c:pt idx="3">
                  <c:v>133760</c:v>
                </c:pt>
                <c:pt idx="4">
                  <c:v>241600</c:v>
                </c:pt>
                <c:pt idx="5">
                  <c:v>395540</c:v>
                </c:pt>
                <c:pt idx="6">
                  <c:v>599400</c:v>
                </c:pt>
                <c:pt idx="7">
                  <c:v>826730</c:v>
                </c:pt>
                <c:pt idx="8">
                  <c:v>1099600</c:v>
                </c:pt>
                <c:pt idx="9">
                  <c:v>1408140</c:v>
                </c:pt>
                <c:pt idx="10">
                  <c:v>1747150</c:v>
                </c:pt>
                <c:pt idx="11">
                  <c:v>2528550</c:v>
                </c:pt>
                <c:pt idx="12">
                  <c:v>3495410</c:v>
                </c:pt>
                <c:pt idx="13">
                  <c:v>29247560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CA-4416-804D-E663619AD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733903"/>
        <c:axId val="740232831"/>
      </c:scatterChart>
      <c:valAx>
        <c:axId val="59673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0232831"/>
        <c:crosses val="autoZero"/>
        <c:crossBetween val="midCat"/>
      </c:valAx>
      <c:valAx>
        <c:axId val="74023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673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444772528433943"/>
                  <c:y val="5.05092592592592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'Optimisation Mono Accès'!$A$4:$A$28</c:f>
              <c:numCache>
                <c:formatCode>General</c:formatCode>
                <c:ptCount val="25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120000</c:v>
                </c:pt>
                <c:pt idx="12">
                  <c:v>140000</c:v>
                </c:pt>
                <c:pt idx="13">
                  <c:v>160000</c:v>
                </c:pt>
                <c:pt idx="14">
                  <c:v>180000</c:v>
                </c:pt>
                <c:pt idx="15">
                  <c:v>200000</c:v>
                </c:pt>
                <c:pt idx="16">
                  <c:v>253000</c:v>
                </c:pt>
                <c:pt idx="17">
                  <c:v>305000</c:v>
                </c:pt>
                <c:pt idx="18">
                  <c:v>400000</c:v>
                </c:pt>
                <c:pt idx="19">
                  <c:v>500000</c:v>
                </c:pt>
                <c:pt idx="20">
                  <c:v>600000</c:v>
                </c:pt>
                <c:pt idx="21">
                  <c:v>700000</c:v>
                </c:pt>
                <c:pt idx="22">
                  <c:v>805000</c:v>
                </c:pt>
                <c:pt idx="23">
                  <c:v>900000</c:v>
                </c:pt>
                <c:pt idx="24">
                  <c:v>1000000</c:v>
                </c:pt>
              </c:numCache>
            </c:numRef>
          </c:xVal>
          <c:yVal>
            <c:numRef>
              <c:f>'Optimisation Mono Accès'!$F$4:$F$28</c:f>
              <c:numCache>
                <c:formatCode>General</c:formatCode>
                <c:ptCount val="25"/>
                <c:pt idx="0">
                  <c:v>0</c:v>
                </c:pt>
                <c:pt idx="1">
                  <c:v>620</c:v>
                </c:pt>
                <c:pt idx="2">
                  <c:v>2150</c:v>
                </c:pt>
                <c:pt idx="3">
                  <c:v>8140</c:v>
                </c:pt>
                <c:pt idx="4">
                  <c:v>20430</c:v>
                </c:pt>
                <c:pt idx="5">
                  <c:v>37490</c:v>
                </c:pt>
                <c:pt idx="6">
                  <c:v>51600</c:v>
                </c:pt>
                <c:pt idx="7">
                  <c:v>58360</c:v>
                </c:pt>
                <c:pt idx="8">
                  <c:v>72880</c:v>
                </c:pt>
                <c:pt idx="9">
                  <c:v>93720</c:v>
                </c:pt>
                <c:pt idx="10">
                  <c:v>119670</c:v>
                </c:pt>
                <c:pt idx="11">
                  <c:v>148810</c:v>
                </c:pt>
                <c:pt idx="12">
                  <c:v>201110</c:v>
                </c:pt>
                <c:pt idx="13">
                  <c:v>248720</c:v>
                </c:pt>
                <c:pt idx="14">
                  <c:v>308110</c:v>
                </c:pt>
                <c:pt idx="15">
                  <c:v>379710</c:v>
                </c:pt>
                <c:pt idx="16">
                  <c:v>592660</c:v>
                </c:pt>
                <c:pt idx="17">
                  <c:v>798730</c:v>
                </c:pt>
                <c:pt idx="18">
                  <c:v>1338300</c:v>
                </c:pt>
                <c:pt idx="19">
                  <c:v>2084860</c:v>
                </c:pt>
                <c:pt idx="20">
                  <c:v>2989570</c:v>
                </c:pt>
                <c:pt idx="21">
                  <c:v>4099920</c:v>
                </c:pt>
                <c:pt idx="22">
                  <c:v>5377740</c:v>
                </c:pt>
                <c:pt idx="23">
                  <c:v>6460450</c:v>
                </c:pt>
                <c:pt idx="24">
                  <c:v>7802500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B3-4B6F-8D67-8A6CC64D4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733903"/>
        <c:axId val="740232831"/>
      </c:scatterChart>
      <c:valAx>
        <c:axId val="59673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0232831"/>
        <c:crosses val="autoZero"/>
        <c:crossBetween val="midCat"/>
      </c:valAx>
      <c:valAx>
        <c:axId val="74023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673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444772528433943"/>
                  <c:y val="5.05092592592592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'Optimisation MultiThreading'!$A$4:$A$20</c:f>
              <c:numCache>
                <c:formatCode>General</c:formatCode>
                <c:ptCount val="17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120000</c:v>
                </c:pt>
                <c:pt idx="12">
                  <c:v>140000</c:v>
                </c:pt>
                <c:pt idx="13">
                  <c:v>160000</c:v>
                </c:pt>
                <c:pt idx="14">
                  <c:v>180000</c:v>
                </c:pt>
                <c:pt idx="15">
                  <c:v>200000</c:v>
                </c:pt>
                <c:pt idx="16">
                  <c:v>1000000</c:v>
                </c:pt>
              </c:numCache>
            </c:numRef>
          </c:xVal>
          <c:yVal>
            <c:numRef>
              <c:f>'Optimisation MultiThreading'!$F$4:$F$20</c:f>
              <c:numCache>
                <c:formatCode>General</c:formatCode>
                <c:ptCount val="17"/>
                <c:pt idx="0">
                  <c:v>0</c:v>
                </c:pt>
                <c:pt idx="1">
                  <c:v>620</c:v>
                </c:pt>
                <c:pt idx="2">
                  <c:v>1950</c:v>
                </c:pt>
                <c:pt idx="3">
                  <c:v>3880</c:v>
                </c:pt>
                <c:pt idx="4">
                  <c:v>6730</c:v>
                </c:pt>
                <c:pt idx="5">
                  <c:v>11360</c:v>
                </c:pt>
                <c:pt idx="6">
                  <c:v>20850</c:v>
                </c:pt>
                <c:pt idx="7">
                  <c:v>37130</c:v>
                </c:pt>
                <c:pt idx="8">
                  <c:v>58330</c:v>
                </c:pt>
                <c:pt idx="9">
                  <c:v>85830</c:v>
                </c:pt>
                <c:pt idx="10">
                  <c:v>120300</c:v>
                </c:pt>
                <c:pt idx="11">
                  <c:v>205650</c:v>
                </c:pt>
                <c:pt idx="12">
                  <c:v>302740</c:v>
                </c:pt>
                <c:pt idx="13">
                  <c:v>425730</c:v>
                </c:pt>
                <c:pt idx="14">
                  <c:v>557990</c:v>
                </c:pt>
                <c:pt idx="15">
                  <c:v>709370</c:v>
                </c:pt>
                <c:pt idx="16">
                  <c:v>16570810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47-4C32-ABD2-86256112E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733903"/>
        <c:axId val="740232831"/>
      </c:scatterChart>
      <c:valAx>
        <c:axId val="59673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0232831"/>
        <c:crosses val="autoZero"/>
        <c:crossBetween val="midCat"/>
      </c:valAx>
      <c:valAx>
        <c:axId val="74023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673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des optimisations sur les 100000 premières itérations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Programme fonctionnel initial</c:v>
          </c:tx>
          <c:spPr>
            <a:ln w="25400">
              <a:noFill/>
            </a:ln>
          </c:spPr>
          <c:xVal>
            <c:numRef>
              <c:f>Base!$A$4:$A$19</c:f>
              <c:numCache>
                <c:formatCode>General</c:formatCode>
                <c:ptCount val="16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120000</c:v>
                </c:pt>
                <c:pt idx="12">
                  <c:v>140000</c:v>
                </c:pt>
                <c:pt idx="13">
                  <c:v>160000</c:v>
                </c:pt>
                <c:pt idx="14">
                  <c:v>180000</c:v>
                </c:pt>
                <c:pt idx="15">
                  <c:v>200000</c:v>
                </c:pt>
              </c:numCache>
            </c:numRef>
          </c:xVal>
          <c:yVal>
            <c:numRef>
              <c:f>Base!$F$4:$F$19</c:f>
              <c:numCache>
                <c:formatCode>General</c:formatCode>
                <c:ptCount val="16"/>
                <c:pt idx="0">
                  <c:v>0</c:v>
                </c:pt>
                <c:pt idx="1">
                  <c:v>18240</c:v>
                </c:pt>
                <c:pt idx="2">
                  <c:v>72940</c:v>
                </c:pt>
                <c:pt idx="3">
                  <c:v>191340</c:v>
                </c:pt>
                <c:pt idx="4">
                  <c:v>341210</c:v>
                </c:pt>
                <c:pt idx="5">
                  <c:v>561320</c:v>
                </c:pt>
                <c:pt idx="6">
                  <c:v>830530</c:v>
                </c:pt>
                <c:pt idx="7">
                  <c:v>1118400</c:v>
                </c:pt>
                <c:pt idx="8">
                  <c:v>1441280</c:v>
                </c:pt>
                <c:pt idx="9">
                  <c:v>1821780</c:v>
                </c:pt>
                <c:pt idx="10">
                  <c:v>2252660</c:v>
                </c:pt>
                <c:pt idx="11">
                  <c:v>3205080</c:v>
                </c:pt>
                <c:pt idx="12">
                  <c:v>4326370</c:v>
                </c:pt>
                <c:pt idx="13">
                  <c:v>5770790</c:v>
                </c:pt>
                <c:pt idx="14">
                  <c:v>7102430</c:v>
                </c:pt>
                <c:pt idx="15">
                  <c:v>8451140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888-4CB9-A0AC-030471A3FD63}"/>
            </c:ext>
          </c:extLst>
        </c:ser>
        <c:ser>
          <c:idx val="6"/>
          <c:order val="1"/>
          <c:tx>
            <c:v>Optimisation 1 - Ajout d'un indice indiquant la première personne dont score &gt; 0</c:v>
          </c:tx>
          <c:spPr>
            <a:ln w="25400">
              <a:noFill/>
            </a:ln>
          </c:spPr>
          <c:xVal>
            <c:numRef>
              <c:f>'Optimisation Mono'!$A$4:$A$19</c:f>
              <c:numCache>
                <c:formatCode>General</c:formatCode>
                <c:ptCount val="16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120000</c:v>
                </c:pt>
                <c:pt idx="12">
                  <c:v>140000</c:v>
                </c:pt>
                <c:pt idx="13">
                  <c:v>160000</c:v>
                </c:pt>
                <c:pt idx="14">
                  <c:v>180000</c:v>
                </c:pt>
                <c:pt idx="15">
                  <c:v>200000</c:v>
                </c:pt>
              </c:numCache>
            </c:numRef>
          </c:xVal>
          <c:yVal>
            <c:numRef>
              <c:f>'Optimisation Mono'!$F$4:$F$19</c:f>
              <c:numCache>
                <c:formatCode>General</c:formatCode>
                <c:ptCount val="16"/>
                <c:pt idx="0">
                  <c:v>0</c:v>
                </c:pt>
                <c:pt idx="1">
                  <c:v>16450</c:v>
                </c:pt>
                <c:pt idx="2">
                  <c:v>60970</c:v>
                </c:pt>
                <c:pt idx="3">
                  <c:v>137970</c:v>
                </c:pt>
                <c:pt idx="4">
                  <c:v>245600</c:v>
                </c:pt>
                <c:pt idx="5">
                  <c:v>401710</c:v>
                </c:pt>
                <c:pt idx="6">
                  <c:v>588840</c:v>
                </c:pt>
                <c:pt idx="7">
                  <c:v>842140</c:v>
                </c:pt>
                <c:pt idx="8">
                  <c:v>1129100</c:v>
                </c:pt>
                <c:pt idx="9">
                  <c:v>1509000</c:v>
                </c:pt>
                <c:pt idx="10">
                  <c:v>1913900</c:v>
                </c:pt>
                <c:pt idx="11">
                  <c:v>2965570</c:v>
                </c:pt>
                <c:pt idx="12">
                  <c:v>4262530</c:v>
                </c:pt>
                <c:pt idx="13">
                  <c:v>5437400</c:v>
                </c:pt>
                <c:pt idx="14">
                  <c:v>6718250</c:v>
                </c:pt>
                <c:pt idx="15">
                  <c:v>8099510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888-4CB9-A0AC-030471A3FD63}"/>
            </c:ext>
          </c:extLst>
        </c:ser>
        <c:ser>
          <c:idx val="7"/>
          <c:order val="2"/>
          <c:tx>
            <c:v>Optimisation 2 : Supression d'1 parcours pour l'actualisation des scores lorsqu'on ajoute une nouvelle chain</c:v>
          </c:tx>
          <c:spPr>
            <a:ln w="25400">
              <a:noFill/>
            </a:ln>
          </c:spPr>
          <c:xVal>
            <c:numRef>
              <c:f>'Optimisation Mono Parcours'!$A$4:$A$17</c:f>
              <c:numCache>
                <c:formatCode>General</c:formatCode>
                <c:ptCount val="14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120000</c:v>
                </c:pt>
                <c:pt idx="12">
                  <c:v>140000</c:v>
                </c:pt>
                <c:pt idx="13">
                  <c:v>400000</c:v>
                </c:pt>
              </c:numCache>
            </c:numRef>
          </c:xVal>
          <c:yVal>
            <c:numRef>
              <c:f>'Optimisation Mono Parcours'!$F$4:$F$17</c:f>
              <c:numCache>
                <c:formatCode>General</c:formatCode>
                <c:ptCount val="14"/>
                <c:pt idx="0">
                  <c:v>0</c:v>
                </c:pt>
                <c:pt idx="1">
                  <c:v>15680</c:v>
                </c:pt>
                <c:pt idx="2">
                  <c:v>59860</c:v>
                </c:pt>
                <c:pt idx="3">
                  <c:v>133760</c:v>
                </c:pt>
                <c:pt idx="4">
                  <c:v>241600</c:v>
                </c:pt>
                <c:pt idx="5">
                  <c:v>395540</c:v>
                </c:pt>
                <c:pt idx="6">
                  <c:v>599400</c:v>
                </c:pt>
                <c:pt idx="7">
                  <c:v>826730</c:v>
                </c:pt>
                <c:pt idx="8">
                  <c:v>1099600</c:v>
                </c:pt>
                <c:pt idx="9">
                  <c:v>1408140</c:v>
                </c:pt>
                <c:pt idx="10">
                  <c:v>1747150</c:v>
                </c:pt>
                <c:pt idx="11">
                  <c:v>2528550</c:v>
                </c:pt>
                <c:pt idx="12">
                  <c:v>3495410</c:v>
                </c:pt>
                <c:pt idx="13">
                  <c:v>29247560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888-4CB9-A0AC-030471A3FD63}"/>
            </c:ext>
          </c:extLst>
        </c:ser>
        <c:ser>
          <c:idx val="8"/>
          <c:order val="3"/>
          <c:tx>
            <c:v>Optimisation 3 : Supression de la lecture des 3 données des pays à chaque fois, une seule lecture par itération</c:v>
          </c:tx>
          <c:spPr>
            <a:ln w="25400">
              <a:noFill/>
            </a:ln>
          </c:spPr>
          <c:xVal>
            <c:numRef>
              <c:f>'Optimisation Mono Accès'!$A$4:$A$28</c:f>
              <c:numCache>
                <c:formatCode>General</c:formatCode>
                <c:ptCount val="25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120000</c:v>
                </c:pt>
                <c:pt idx="12">
                  <c:v>140000</c:v>
                </c:pt>
                <c:pt idx="13">
                  <c:v>160000</c:v>
                </c:pt>
                <c:pt idx="14">
                  <c:v>180000</c:v>
                </c:pt>
                <c:pt idx="15">
                  <c:v>200000</c:v>
                </c:pt>
                <c:pt idx="16">
                  <c:v>253000</c:v>
                </c:pt>
                <c:pt idx="17">
                  <c:v>305000</c:v>
                </c:pt>
                <c:pt idx="18">
                  <c:v>400000</c:v>
                </c:pt>
                <c:pt idx="19">
                  <c:v>500000</c:v>
                </c:pt>
                <c:pt idx="20">
                  <c:v>600000</c:v>
                </c:pt>
                <c:pt idx="21">
                  <c:v>700000</c:v>
                </c:pt>
                <c:pt idx="22">
                  <c:v>805000</c:v>
                </c:pt>
                <c:pt idx="23">
                  <c:v>900000</c:v>
                </c:pt>
                <c:pt idx="24">
                  <c:v>1000000</c:v>
                </c:pt>
              </c:numCache>
            </c:numRef>
          </c:xVal>
          <c:yVal>
            <c:numRef>
              <c:f>'Optimisation Mono Accès'!$F$4:$F$28</c:f>
              <c:numCache>
                <c:formatCode>General</c:formatCode>
                <c:ptCount val="25"/>
                <c:pt idx="0">
                  <c:v>0</c:v>
                </c:pt>
                <c:pt idx="1">
                  <c:v>620</c:v>
                </c:pt>
                <c:pt idx="2">
                  <c:v>2150</c:v>
                </c:pt>
                <c:pt idx="3">
                  <c:v>8140</c:v>
                </c:pt>
                <c:pt idx="4">
                  <c:v>20430</c:v>
                </c:pt>
                <c:pt idx="5">
                  <c:v>37490</c:v>
                </c:pt>
                <c:pt idx="6">
                  <c:v>51600</c:v>
                </c:pt>
                <c:pt idx="7">
                  <c:v>58360</c:v>
                </c:pt>
                <c:pt idx="8">
                  <c:v>72880</c:v>
                </c:pt>
                <c:pt idx="9">
                  <c:v>93720</c:v>
                </c:pt>
                <c:pt idx="10">
                  <c:v>119670</c:v>
                </c:pt>
                <c:pt idx="11">
                  <c:v>148810</c:v>
                </c:pt>
                <c:pt idx="12">
                  <c:v>201110</c:v>
                </c:pt>
                <c:pt idx="13">
                  <c:v>248720</c:v>
                </c:pt>
                <c:pt idx="14">
                  <c:v>308110</c:v>
                </c:pt>
                <c:pt idx="15">
                  <c:v>379710</c:v>
                </c:pt>
                <c:pt idx="16">
                  <c:v>592660</c:v>
                </c:pt>
                <c:pt idx="17">
                  <c:v>798730</c:v>
                </c:pt>
                <c:pt idx="18">
                  <c:v>1338300</c:v>
                </c:pt>
                <c:pt idx="19">
                  <c:v>2084860</c:v>
                </c:pt>
                <c:pt idx="20">
                  <c:v>2989570</c:v>
                </c:pt>
                <c:pt idx="21">
                  <c:v>4099920</c:v>
                </c:pt>
                <c:pt idx="22">
                  <c:v>5377740</c:v>
                </c:pt>
                <c:pt idx="23">
                  <c:v>6460450</c:v>
                </c:pt>
                <c:pt idx="24">
                  <c:v>7802500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888-4CB9-A0AC-030471A3FD63}"/>
            </c:ext>
          </c:extLst>
        </c:ser>
        <c:ser>
          <c:idx val="9"/>
          <c:order val="4"/>
          <c:tx>
            <c:v>Optimisation 4 - MultiThreading</c:v>
          </c:tx>
          <c:spPr>
            <a:ln w="25400">
              <a:noFill/>
            </a:ln>
          </c:spPr>
          <c:xVal>
            <c:numRef>
              <c:f>'Optimisation MultiThreading'!$A$4:$A$14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'Optimisation MultiThreading'!$F$4:$F$14</c:f>
              <c:numCache>
                <c:formatCode>General</c:formatCode>
                <c:ptCount val="11"/>
                <c:pt idx="0">
                  <c:v>0</c:v>
                </c:pt>
                <c:pt idx="1">
                  <c:v>620</c:v>
                </c:pt>
                <c:pt idx="2">
                  <c:v>1950</c:v>
                </c:pt>
                <c:pt idx="3">
                  <c:v>3880</c:v>
                </c:pt>
                <c:pt idx="4">
                  <c:v>6730</c:v>
                </c:pt>
                <c:pt idx="5">
                  <c:v>11360</c:v>
                </c:pt>
                <c:pt idx="6">
                  <c:v>20850</c:v>
                </c:pt>
                <c:pt idx="7">
                  <c:v>37130</c:v>
                </c:pt>
                <c:pt idx="8">
                  <c:v>58330</c:v>
                </c:pt>
                <c:pt idx="9">
                  <c:v>85830</c:v>
                </c:pt>
                <c:pt idx="10">
                  <c:v>120300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888-4CB9-A0AC-030471A3FD63}"/>
            </c:ext>
          </c:extLst>
        </c:ser>
        <c:ser>
          <c:idx val="0"/>
          <c:order val="5"/>
          <c:tx>
            <c:v>Programme fonctionnel initial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Base!$A$4:$A$19</c:f>
              <c:numCache>
                <c:formatCode>General</c:formatCode>
                <c:ptCount val="16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120000</c:v>
                </c:pt>
                <c:pt idx="12">
                  <c:v>140000</c:v>
                </c:pt>
                <c:pt idx="13">
                  <c:v>160000</c:v>
                </c:pt>
                <c:pt idx="14">
                  <c:v>180000</c:v>
                </c:pt>
                <c:pt idx="15">
                  <c:v>200000</c:v>
                </c:pt>
              </c:numCache>
            </c:numRef>
          </c:xVal>
          <c:yVal>
            <c:numRef>
              <c:f>Base!$F$4:$F$19</c:f>
              <c:numCache>
                <c:formatCode>General</c:formatCode>
                <c:ptCount val="16"/>
                <c:pt idx="0">
                  <c:v>0</c:v>
                </c:pt>
                <c:pt idx="1">
                  <c:v>18240</c:v>
                </c:pt>
                <c:pt idx="2">
                  <c:v>72940</c:v>
                </c:pt>
                <c:pt idx="3">
                  <c:v>191340</c:v>
                </c:pt>
                <c:pt idx="4">
                  <c:v>341210</c:v>
                </c:pt>
                <c:pt idx="5">
                  <c:v>561320</c:v>
                </c:pt>
                <c:pt idx="6">
                  <c:v>830530</c:v>
                </c:pt>
                <c:pt idx="7">
                  <c:v>1118400</c:v>
                </c:pt>
                <c:pt idx="8">
                  <c:v>1441280</c:v>
                </c:pt>
                <c:pt idx="9">
                  <c:v>1821780</c:v>
                </c:pt>
                <c:pt idx="10">
                  <c:v>2252660</c:v>
                </c:pt>
                <c:pt idx="11">
                  <c:v>3205080</c:v>
                </c:pt>
                <c:pt idx="12">
                  <c:v>4326370</c:v>
                </c:pt>
                <c:pt idx="13">
                  <c:v>5770790</c:v>
                </c:pt>
                <c:pt idx="14">
                  <c:v>7102430</c:v>
                </c:pt>
                <c:pt idx="15">
                  <c:v>8451140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888-4CB9-A0AC-030471A3FD63}"/>
            </c:ext>
          </c:extLst>
        </c:ser>
        <c:ser>
          <c:idx val="1"/>
          <c:order val="6"/>
          <c:tx>
            <c:v>Optimisation 1 - Ajout d'un indice indiquant la première personne dont score &gt;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'Optimisation Mono'!$A$4:$A$19</c:f>
              <c:numCache>
                <c:formatCode>General</c:formatCode>
                <c:ptCount val="16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120000</c:v>
                </c:pt>
                <c:pt idx="12">
                  <c:v>140000</c:v>
                </c:pt>
                <c:pt idx="13">
                  <c:v>160000</c:v>
                </c:pt>
                <c:pt idx="14">
                  <c:v>180000</c:v>
                </c:pt>
                <c:pt idx="15">
                  <c:v>200000</c:v>
                </c:pt>
              </c:numCache>
            </c:numRef>
          </c:xVal>
          <c:yVal>
            <c:numRef>
              <c:f>'Optimisation Mono'!$F$4:$F$19</c:f>
              <c:numCache>
                <c:formatCode>General</c:formatCode>
                <c:ptCount val="16"/>
                <c:pt idx="0">
                  <c:v>0</c:v>
                </c:pt>
                <c:pt idx="1">
                  <c:v>16450</c:v>
                </c:pt>
                <c:pt idx="2">
                  <c:v>60970</c:v>
                </c:pt>
                <c:pt idx="3">
                  <c:v>137970</c:v>
                </c:pt>
                <c:pt idx="4">
                  <c:v>245600</c:v>
                </c:pt>
                <c:pt idx="5">
                  <c:v>401710</c:v>
                </c:pt>
                <c:pt idx="6">
                  <c:v>588840</c:v>
                </c:pt>
                <c:pt idx="7">
                  <c:v>842140</c:v>
                </c:pt>
                <c:pt idx="8">
                  <c:v>1129100</c:v>
                </c:pt>
                <c:pt idx="9">
                  <c:v>1509000</c:v>
                </c:pt>
                <c:pt idx="10">
                  <c:v>1913900</c:v>
                </c:pt>
                <c:pt idx="11">
                  <c:v>2965570</c:v>
                </c:pt>
                <c:pt idx="12">
                  <c:v>4262530</c:v>
                </c:pt>
                <c:pt idx="13">
                  <c:v>5437400</c:v>
                </c:pt>
                <c:pt idx="14">
                  <c:v>6718250</c:v>
                </c:pt>
                <c:pt idx="15">
                  <c:v>8099510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888-4CB9-A0AC-030471A3FD63}"/>
            </c:ext>
          </c:extLst>
        </c:ser>
        <c:ser>
          <c:idx val="2"/>
          <c:order val="7"/>
          <c:tx>
            <c:v>Optimisation 2 : Supression d'1 parcours pour l'actualisation des scores lorsqu'on ajoute une nouvelle chain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'Optimisation Mono Parcours'!$A$4:$A$17</c:f>
              <c:numCache>
                <c:formatCode>General</c:formatCode>
                <c:ptCount val="14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120000</c:v>
                </c:pt>
                <c:pt idx="12">
                  <c:v>140000</c:v>
                </c:pt>
                <c:pt idx="13">
                  <c:v>400000</c:v>
                </c:pt>
              </c:numCache>
            </c:numRef>
          </c:xVal>
          <c:yVal>
            <c:numRef>
              <c:f>'Optimisation Mono Parcours'!$F$4:$F$17</c:f>
              <c:numCache>
                <c:formatCode>General</c:formatCode>
                <c:ptCount val="14"/>
                <c:pt idx="0">
                  <c:v>0</c:v>
                </c:pt>
                <c:pt idx="1">
                  <c:v>15680</c:v>
                </c:pt>
                <c:pt idx="2">
                  <c:v>59860</c:v>
                </c:pt>
                <c:pt idx="3">
                  <c:v>133760</c:v>
                </c:pt>
                <c:pt idx="4">
                  <c:v>241600</c:v>
                </c:pt>
                <c:pt idx="5">
                  <c:v>395540</c:v>
                </c:pt>
                <c:pt idx="6">
                  <c:v>599400</c:v>
                </c:pt>
                <c:pt idx="7">
                  <c:v>826730</c:v>
                </c:pt>
                <c:pt idx="8">
                  <c:v>1099600</c:v>
                </c:pt>
                <c:pt idx="9">
                  <c:v>1408140</c:v>
                </c:pt>
                <c:pt idx="10">
                  <c:v>1747150</c:v>
                </c:pt>
                <c:pt idx="11">
                  <c:v>2528550</c:v>
                </c:pt>
                <c:pt idx="12">
                  <c:v>3495410</c:v>
                </c:pt>
                <c:pt idx="13">
                  <c:v>29247560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888-4CB9-A0AC-030471A3FD63}"/>
            </c:ext>
          </c:extLst>
        </c:ser>
        <c:ser>
          <c:idx val="3"/>
          <c:order val="8"/>
          <c:tx>
            <c:v>Optimisation 3 : Supression de la lecture des 3 données des pays à chaque fois, une seule lecture par itération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'Optimisation Mono Accès'!$A$4:$A$28</c:f>
              <c:numCache>
                <c:formatCode>General</c:formatCode>
                <c:ptCount val="25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120000</c:v>
                </c:pt>
                <c:pt idx="12">
                  <c:v>140000</c:v>
                </c:pt>
                <c:pt idx="13">
                  <c:v>160000</c:v>
                </c:pt>
                <c:pt idx="14">
                  <c:v>180000</c:v>
                </c:pt>
                <c:pt idx="15">
                  <c:v>200000</c:v>
                </c:pt>
                <c:pt idx="16">
                  <c:v>253000</c:v>
                </c:pt>
                <c:pt idx="17">
                  <c:v>305000</c:v>
                </c:pt>
                <c:pt idx="18">
                  <c:v>400000</c:v>
                </c:pt>
                <c:pt idx="19">
                  <c:v>500000</c:v>
                </c:pt>
                <c:pt idx="20">
                  <c:v>600000</c:v>
                </c:pt>
                <c:pt idx="21">
                  <c:v>700000</c:v>
                </c:pt>
                <c:pt idx="22">
                  <c:v>805000</c:v>
                </c:pt>
                <c:pt idx="23">
                  <c:v>900000</c:v>
                </c:pt>
                <c:pt idx="24">
                  <c:v>1000000</c:v>
                </c:pt>
              </c:numCache>
            </c:numRef>
          </c:xVal>
          <c:yVal>
            <c:numRef>
              <c:f>'Optimisation Mono Accès'!$F$4:$F$28</c:f>
              <c:numCache>
                <c:formatCode>General</c:formatCode>
                <c:ptCount val="25"/>
                <c:pt idx="0">
                  <c:v>0</c:v>
                </c:pt>
                <c:pt idx="1">
                  <c:v>620</c:v>
                </c:pt>
                <c:pt idx="2">
                  <c:v>2150</c:v>
                </c:pt>
                <c:pt idx="3">
                  <c:v>8140</c:v>
                </c:pt>
                <c:pt idx="4">
                  <c:v>20430</c:v>
                </c:pt>
                <c:pt idx="5">
                  <c:v>37490</c:v>
                </c:pt>
                <c:pt idx="6">
                  <c:v>51600</c:v>
                </c:pt>
                <c:pt idx="7">
                  <c:v>58360</c:v>
                </c:pt>
                <c:pt idx="8">
                  <c:v>72880</c:v>
                </c:pt>
                <c:pt idx="9">
                  <c:v>93720</c:v>
                </c:pt>
                <c:pt idx="10">
                  <c:v>119670</c:v>
                </c:pt>
                <c:pt idx="11">
                  <c:v>148810</c:v>
                </c:pt>
                <c:pt idx="12">
                  <c:v>201110</c:v>
                </c:pt>
                <c:pt idx="13">
                  <c:v>248720</c:v>
                </c:pt>
                <c:pt idx="14">
                  <c:v>308110</c:v>
                </c:pt>
                <c:pt idx="15">
                  <c:v>379710</c:v>
                </c:pt>
                <c:pt idx="16">
                  <c:v>592660</c:v>
                </c:pt>
                <c:pt idx="17">
                  <c:v>798730</c:v>
                </c:pt>
                <c:pt idx="18">
                  <c:v>1338300</c:v>
                </c:pt>
                <c:pt idx="19">
                  <c:v>2084860</c:v>
                </c:pt>
                <c:pt idx="20">
                  <c:v>2989570</c:v>
                </c:pt>
                <c:pt idx="21">
                  <c:v>4099920</c:v>
                </c:pt>
                <c:pt idx="22">
                  <c:v>5377740</c:v>
                </c:pt>
                <c:pt idx="23">
                  <c:v>6460450</c:v>
                </c:pt>
                <c:pt idx="24">
                  <c:v>7802500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888-4CB9-A0AC-030471A3FD63}"/>
            </c:ext>
          </c:extLst>
        </c:ser>
        <c:ser>
          <c:idx val="4"/>
          <c:order val="9"/>
          <c:tx>
            <c:v>Optimisation 4 - MultiThreading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'Optimisation MultiThreading'!$A$4:$A$14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'Optimisation MultiThreading'!$F$4:$F$14</c:f>
              <c:numCache>
                <c:formatCode>General</c:formatCode>
                <c:ptCount val="11"/>
                <c:pt idx="0">
                  <c:v>0</c:v>
                </c:pt>
                <c:pt idx="1">
                  <c:v>620</c:v>
                </c:pt>
                <c:pt idx="2">
                  <c:v>1950</c:v>
                </c:pt>
                <c:pt idx="3">
                  <c:v>3880</c:v>
                </c:pt>
                <c:pt idx="4">
                  <c:v>6730</c:v>
                </c:pt>
                <c:pt idx="5">
                  <c:v>11360</c:v>
                </c:pt>
                <c:pt idx="6">
                  <c:v>20850</c:v>
                </c:pt>
                <c:pt idx="7">
                  <c:v>37130</c:v>
                </c:pt>
                <c:pt idx="8">
                  <c:v>58330</c:v>
                </c:pt>
                <c:pt idx="9">
                  <c:v>85830</c:v>
                </c:pt>
                <c:pt idx="10">
                  <c:v>120300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888-4CB9-A0AC-030471A3F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794719"/>
        <c:axId val="641735583"/>
      </c:scatterChart>
      <c:valAx>
        <c:axId val="73779471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1735583"/>
        <c:crosses val="autoZero"/>
        <c:crossBetween val="midCat"/>
      </c:valAx>
      <c:valAx>
        <c:axId val="641735583"/>
        <c:scaling>
          <c:orientation val="minMax"/>
          <c:max val="2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7794719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des optimisations sur les 200000 premières itérations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Optimisation 3 : Supression de la lecture des 3 données des pays à chaque fois, une seule lecture par itération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'Optimisation Mono Accès'!$A$4:$A$19</c:f>
              <c:numCache>
                <c:formatCode>General</c:formatCode>
                <c:ptCount val="16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120000</c:v>
                </c:pt>
                <c:pt idx="12">
                  <c:v>140000</c:v>
                </c:pt>
                <c:pt idx="13">
                  <c:v>160000</c:v>
                </c:pt>
                <c:pt idx="14">
                  <c:v>180000</c:v>
                </c:pt>
                <c:pt idx="15">
                  <c:v>200000</c:v>
                </c:pt>
              </c:numCache>
            </c:numRef>
          </c:xVal>
          <c:yVal>
            <c:numRef>
              <c:f>'Optimisation Mono Accès'!$F$4:$F$19</c:f>
              <c:numCache>
                <c:formatCode>General</c:formatCode>
                <c:ptCount val="16"/>
                <c:pt idx="0">
                  <c:v>0</c:v>
                </c:pt>
                <c:pt idx="1">
                  <c:v>620</c:v>
                </c:pt>
                <c:pt idx="2">
                  <c:v>2150</c:v>
                </c:pt>
                <c:pt idx="3">
                  <c:v>8140</c:v>
                </c:pt>
                <c:pt idx="4">
                  <c:v>20430</c:v>
                </c:pt>
                <c:pt idx="5">
                  <c:v>37490</c:v>
                </c:pt>
                <c:pt idx="6">
                  <c:v>51600</c:v>
                </c:pt>
                <c:pt idx="7">
                  <c:v>58360</c:v>
                </c:pt>
                <c:pt idx="8">
                  <c:v>72880</c:v>
                </c:pt>
                <c:pt idx="9">
                  <c:v>93720</c:v>
                </c:pt>
                <c:pt idx="10">
                  <c:v>119670</c:v>
                </c:pt>
                <c:pt idx="11">
                  <c:v>148810</c:v>
                </c:pt>
                <c:pt idx="12">
                  <c:v>201110</c:v>
                </c:pt>
                <c:pt idx="13">
                  <c:v>248720</c:v>
                </c:pt>
                <c:pt idx="14">
                  <c:v>308110</c:v>
                </c:pt>
                <c:pt idx="15">
                  <c:v>379710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D62-4D8C-888E-160104B9FD36}"/>
            </c:ext>
          </c:extLst>
        </c:ser>
        <c:ser>
          <c:idx val="4"/>
          <c:order val="1"/>
          <c:tx>
            <c:v>Optimisation 4 - MultiThreading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'Optimisation MultiThreading'!$A$4:$A$19</c:f>
              <c:numCache>
                <c:formatCode>General</c:formatCode>
                <c:ptCount val="16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120000</c:v>
                </c:pt>
                <c:pt idx="12">
                  <c:v>140000</c:v>
                </c:pt>
                <c:pt idx="13">
                  <c:v>160000</c:v>
                </c:pt>
                <c:pt idx="14">
                  <c:v>180000</c:v>
                </c:pt>
                <c:pt idx="15">
                  <c:v>200000</c:v>
                </c:pt>
              </c:numCache>
            </c:numRef>
          </c:xVal>
          <c:yVal>
            <c:numRef>
              <c:f>'Optimisation MultiThreading'!$F$4:$F$19</c:f>
              <c:numCache>
                <c:formatCode>General</c:formatCode>
                <c:ptCount val="16"/>
                <c:pt idx="0">
                  <c:v>0</c:v>
                </c:pt>
                <c:pt idx="1">
                  <c:v>620</c:v>
                </c:pt>
                <c:pt idx="2">
                  <c:v>1950</c:v>
                </c:pt>
                <c:pt idx="3">
                  <c:v>3880</c:v>
                </c:pt>
                <c:pt idx="4">
                  <c:v>6730</c:v>
                </c:pt>
                <c:pt idx="5">
                  <c:v>11360</c:v>
                </c:pt>
                <c:pt idx="6">
                  <c:v>20850</c:v>
                </c:pt>
                <c:pt idx="7">
                  <c:v>37130</c:v>
                </c:pt>
                <c:pt idx="8">
                  <c:v>58330</c:v>
                </c:pt>
                <c:pt idx="9">
                  <c:v>85830</c:v>
                </c:pt>
                <c:pt idx="10">
                  <c:v>120300</c:v>
                </c:pt>
                <c:pt idx="11">
                  <c:v>205650</c:v>
                </c:pt>
                <c:pt idx="12">
                  <c:v>302740</c:v>
                </c:pt>
                <c:pt idx="13">
                  <c:v>425730</c:v>
                </c:pt>
                <c:pt idx="14">
                  <c:v>557990</c:v>
                </c:pt>
                <c:pt idx="15">
                  <c:v>709370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D62-4D8C-888E-160104B9F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794719"/>
        <c:axId val="641735583"/>
      </c:scatterChart>
      <c:valAx>
        <c:axId val="737794719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1735583"/>
        <c:crosses val="autoZero"/>
        <c:crossBetween val="midCat"/>
      </c:valAx>
      <c:valAx>
        <c:axId val="64173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7794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7</xdr:row>
      <xdr:rowOff>50800</xdr:rowOff>
    </xdr:from>
    <xdr:to>
      <xdr:col>13</xdr:col>
      <xdr:colOff>50800</xdr:colOff>
      <xdr:row>22</xdr:row>
      <xdr:rowOff>31750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C4D720D-02D6-4197-9A73-95D57DBEF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749300</xdr:colOff>
      <xdr:row>8</xdr:row>
      <xdr:rowOff>28575</xdr:rowOff>
    </xdr:from>
    <xdr:to>
      <xdr:col>12</xdr:col>
      <xdr:colOff>749300</xdr:colOff>
      <xdr:row>23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14E817B-D163-4549-B72E-A9D21D6E4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749300</xdr:colOff>
      <xdr:row>8</xdr:row>
      <xdr:rowOff>28575</xdr:rowOff>
    </xdr:from>
    <xdr:to>
      <xdr:col>12</xdr:col>
      <xdr:colOff>749300</xdr:colOff>
      <xdr:row>18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A0017D9-3F9E-448B-B8DD-F56C7A117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749300</xdr:colOff>
      <xdr:row>8</xdr:row>
      <xdr:rowOff>28575</xdr:rowOff>
    </xdr:from>
    <xdr:to>
      <xdr:col>12</xdr:col>
      <xdr:colOff>749300</xdr:colOff>
      <xdr:row>23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E29A9DF-F212-4298-9AB0-A98D53C70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749300</xdr:colOff>
      <xdr:row>8</xdr:row>
      <xdr:rowOff>28575</xdr:rowOff>
    </xdr:from>
    <xdr:to>
      <xdr:col>12</xdr:col>
      <xdr:colOff>749300</xdr:colOff>
      <xdr:row>22</xdr:row>
      <xdr:rowOff>69850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ED04DFE-6E3D-4583-8188-2E4F7A5F2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748927</xdr:colOff>
      <xdr:row>1</xdr:row>
      <xdr:rowOff>0</xdr:rowOff>
    </xdr:from>
    <xdr:to>
      <xdr:col>12</xdr:col>
      <xdr:colOff>279027</xdr:colOff>
      <xdr:row>22</xdr:row>
      <xdr:rowOff>112058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EC0A24B-A5C4-482A-AA74-848E1B8D8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716642</xdr:colOff>
      <xdr:row>24</xdr:row>
      <xdr:rowOff>36286</xdr:rowOff>
    </xdr:from>
    <xdr:to>
      <xdr:col>12</xdr:col>
      <xdr:colOff>246742</xdr:colOff>
      <xdr:row>45</xdr:row>
      <xdr:rowOff>148344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2DE79DA-F697-4161-913B-304EDD62D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D92B8-4D2A-433F-A1DF-3854FD50ED45}">
  <dimension ref="A1:M50"/>
  <sheetViews>
    <sheetView workbookViewId="0">
      <selection activeCell="M3" sqref="M3"/>
    </sheetView>
  </sheetViews>
  <sheetFormatPr baseColWidth="10" defaultRowHeight="14.5" x14ac:dyDescent="0.35"/>
  <cols>
    <col min="1" max="1" width="11.08984375" customWidth="1"/>
    <col min="2" max="2" width="13" bestFit="1" customWidth="1"/>
    <col min="3" max="3" width="14.90625" bestFit="1" customWidth="1"/>
    <col min="4" max="4" width="16" bestFit="1" customWidth="1"/>
    <col min="5" max="5" width="10.54296875" bestFit="1" customWidth="1"/>
    <col min="6" max="6" width="16.453125" bestFit="1" customWidth="1"/>
  </cols>
  <sheetData>
    <row r="1" spans="1:13" x14ac:dyDescent="0.35">
      <c r="A1" s="22" t="s">
        <v>14</v>
      </c>
      <c r="B1" s="22"/>
      <c r="C1" s="22"/>
      <c r="D1" s="22"/>
      <c r="E1" s="22"/>
      <c r="F1" s="22"/>
    </row>
    <row r="2" spans="1:13" ht="15" thickBot="1" x14ac:dyDescent="0.4"/>
    <row r="3" spans="1:13" ht="15" thickBot="1" x14ac:dyDescent="0.4">
      <c r="A3" s="7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9" t="s">
        <v>5</v>
      </c>
      <c r="G3">
        <v>1000</v>
      </c>
      <c r="I3" t="s">
        <v>6</v>
      </c>
      <c r="J3">
        <v>1000000</v>
      </c>
      <c r="L3" t="s">
        <v>7</v>
      </c>
      <c r="M3">
        <f>ROUNDDOWN(J4/86400000,0)</f>
        <v>2</v>
      </c>
    </row>
    <row r="4" spans="1:13" x14ac:dyDescent="0.35">
      <c r="A4" s="11">
        <v>0</v>
      </c>
      <c r="B4" s="12">
        <v>0</v>
      </c>
      <c r="C4" s="12">
        <v>0</v>
      </c>
      <c r="D4" s="12">
        <v>0</v>
      </c>
      <c r="E4" s="12">
        <f>0*$G$3</f>
        <v>0</v>
      </c>
      <c r="F4" s="13">
        <f>E4+D4*1000+C4*60000+B4*3600000</f>
        <v>0</v>
      </c>
      <c r="I4" t="s">
        <v>11</v>
      </c>
      <c r="J4">
        <f>0.0002 * J3 * J3 + 3.0616 * J3 - 63270</f>
        <v>202998330</v>
      </c>
      <c r="L4" t="s">
        <v>8</v>
      </c>
      <c r="M4">
        <f>ROUNDDOWN((J4/86400000 - ROUNDDOWN(J4/86400000,0) )* 24,0)</f>
        <v>8</v>
      </c>
    </row>
    <row r="5" spans="1:13" x14ac:dyDescent="0.35">
      <c r="A5" s="2">
        <v>10000</v>
      </c>
      <c r="B5" s="1">
        <v>0</v>
      </c>
      <c r="C5" s="1">
        <v>0</v>
      </c>
      <c r="D5" s="1">
        <v>18</v>
      </c>
      <c r="E5" s="1">
        <f>0.24*$G$3</f>
        <v>240</v>
      </c>
      <c r="F5" s="3">
        <f t="shared" ref="F5:F19" si="0">E5+D5*1000+C5*60000+B5*3600000</f>
        <v>18240</v>
      </c>
      <c r="L5" t="s">
        <v>9</v>
      </c>
      <c r="M5">
        <f>ROUNDDOWN(((J4/86400000-ROUNDDOWN(J4/86400000,0))*24-M4)*60,0)</f>
        <v>23</v>
      </c>
    </row>
    <row r="6" spans="1:13" x14ac:dyDescent="0.35">
      <c r="A6" s="2">
        <v>20000</v>
      </c>
      <c r="B6" s="1">
        <v>0</v>
      </c>
      <c r="C6" s="1">
        <v>1</v>
      </c>
      <c r="D6" s="1">
        <v>12</v>
      </c>
      <c r="E6" s="14">
        <f>0.94*$G$3</f>
        <v>940</v>
      </c>
      <c r="F6" s="3">
        <f t="shared" si="0"/>
        <v>72940</v>
      </c>
      <c r="L6" t="s">
        <v>10</v>
      </c>
      <c r="M6">
        <f>ROUNDDOWN((((J4/86400000-ROUNDDOWN(J4/86400000,0))*24-M4)*60 - M5) * 60,0)</f>
        <v>18</v>
      </c>
    </row>
    <row r="7" spans="1:13" x14ac:dyDescent="0.35">
      <c r="A7" s="2">
        <v>30000</v>
      </c>
      <c r="B7" s="1">
        <v>0</v>
      </c>
      <c r="C7" s="1">
        <v>3</v>
      </c>
      <c r="D7" s="1">
        <v>11</v>
      </c>
      <c r="E7" s="1">
        <f>0.34*$G$3</f>
        <v>340</v>
      </c>
      <c r="F7" s="3">
        <f t="shared" si="0"/>
        <v>191340</v>
      </c>
      <c r="L7" t="s">
        <v>12</v>
      </c>
      <c r="M7">
        <f>((((J4/86400000-ROUNDDOWN(J4/86400000,0))*24-M4)*60 - M5) * 60 - M6) * 1000</f>
        <v>330.00000000566843</v>
      </c>
    </row>
    <row r="8" spans="1:13" x14ac:dyDescent="0.35">
      <c r="A8" s="2">
        <v>40000</v>
      </c>
      <c r="B8" s="1">
        <v>0</v>
      </c>
      <c r="C8" s="1">
        <v>5</v>
      </c>
      <c r="D8" s="1">
        <v>41</v>
      </c>
      <c r="E8" s="1">
        <f>0.21*$G$3</f>
        <v>210</v>
      </c>
      <c r="F8" s="3">
        <f t="shared" si="0"/>
        <v>341210</v>
      </c>
    </row>
    <row r="9" spans="1:13" x14ac:dyDescent="0.35">
      <c r="A9" s="2">
        <v>50000</v>
      </c>
      <c r="B9" s="1">
        <v>0</v>
      </c>
      <c r="C9" s="1">
        <v>9</v>
      </c>
      <c r="D9" s="1">
        <v>21</v>
      </c>
      <c r="E9" s="1">
        <f>0.32*$G$3</f>
        <v>320</v>
      </c>
      <c r="F9" s="3">
        <f t="shared" si="0"/>
        <v>561320</v>
      </c>
    </row>
    <row r="10" spans="1:13" x14ac:dyDescent="0.35">
      <c r="A10" s="2">
        <v>60000</v>
      </c>
      <c r="B10" s="1">
        <v>0</v>
      </c>
      <c r="C10" s="1">
        <v>13</v>
      </c>
      <c r="D10" s="1">
        <v>50</v>
      </c>
      <c r="E10" s="1">
        <f>0.53*$G$3</f>
        <v>530</v>
      </c>
      <c r="F10" s="3">
        <f t="shared" si="0"/>
        <v>830530</v>
      </c>
    </row>
    <row r="11" spans="1:13" x14ac:dyDescent="0.35">
      <c r="A11" s="2">
        <v>70000</v>
      </c>
      <c r="B11" s="1">
        <v>0</v>
      </c>
      <c r="C11" s="1">
        <v>18</v>
      </c>
      <c r="D11" s="1">
        <v>38</v>
      </c>
      <c r="E11" s="1">
        <f>0.4*$G$3</f>
        <v>400</v>
      </c>
      <c r="F11" s="3">
        <f t="shared" si="0"/>
        <v>1118400</v>
      </c>
    </row>
    <row r="12" spans="1:13" x14ac:dyDescent="0.35">
      <c r="A12" s="2">
        <v>80000</v>
      </c>
      <c r="B12" s="1">
        <v>0</v>
      </c>
      <c r="C12" s="1">
        <v>24</v>
      </c>
      <c r="D12" s="1">
        <v>1</v>
      </c>
      <c r="E12" s="1">
        <f>0.28*$G$3</f>
        <v>280</v>
      </c>
      <c r="F12" s="3">
        <f t="shared" si="0"/>
        <v>1441280</v>
      </c>
    </row>
    <row r="13" spans="1:13" x14ac:dyDescent="0.35">
      <c r="A13" s="2">
        <v>90000</v>
      </c>
      <c r="B13" s="1">
        <v>0</v>
      </c>
      <c r="C13" s="1">
        <v>30</v>
      </c>
      <c r="D13" s="1">
        <v>21</v>
      </c>
      <c r="E13" s="1">
        <f>0.78*$G$3</f>
        <v>780</v>
      </c>
      <c r="F13" s="3">
        <f t="shared" si="0"/>
        <v>1821780</v>
      </c>
    </row>
    <row r="14" spans="1:13" x14ac:dyDescent="0.35">
      <c r="A14" s="2">
        <v>100000</v>
      </c>
      <c r="B14" s="1">
        <v>0</v>
      </c>
      <c r="C14" s="1">
        <v>37</v>
      </c>
      <c r="D14" s="1">
        <v>32</v>
      </c>
      <c r="E14" s="1">
        <f>0.66*$G$3</f>
        <v>660</v>
      </c>
      <c r="F14" s="3">
        <f t="shared" si="0"/>
        <v>2252660</v>
      </c>
    </row>
    <row r="15" spans="1:13" x14ac:dyDescent="0.35">
      <c r="A15" s="2">
        <v>120000</v>
      </c>
      <c r="B15" s="1">
        <v>0</v>
      </c>
      <c r="C15" s="1">
        <v>53</v>
      </c>
      <c r="D15" s="1">
        <v>25</v>
      </c>
      <c r="E15" s="1">
        <f>0.08*$G$3</f>
        <v>80</v>
      </c>
      <c r="F15" s="3">
        <f t="shared" si="0"/>
        <v>3205080</v>
      </c>
    </row>
    <row r="16" spans="1:13" x14ac:dyDescent="0.35">
      <c r="A16" s="2">
        <v>140000</v>
      </c>
      <c r="B16" s="1">
        <v>1</v>
      </c>
      <c r="C16" s="1">
        <v>12</v>
      </c>
      <c r="D16" s="1">
        <v>6</v>
      </c>
      <c r="E16" s="1">
        <f>0.37*$G$3</f>
        <v>370</v>
      </c>
      <c r="F16" s="3">
        <f t="shared" si="0"/>
        <v>4326370</v>
      </c>
    </row>
    <row r="17" spans="1:6" x14ac:dyDescent="0.35">
      <c r="A17" s="2">
        <v>160000</v>
      </c>
      <c r="B17" s="1">
        <v>1</v>
      </c>
      <c r="C17" s="1">
        <v>36</v>
      </c>
      <c r="D17" s="1">
        <v>10</v>
      </c>
      <c r="E17" s="1">
        <f>0.79*$G$3</f>
        <v>790</v>
      </c>
      <c r="F17" s="3">
        <f t="shared" si="0"/>
        <v>5770790</v>
      </c>
    </row>
    <row r="18" spans="1:6" x14ac:dyDescent="0.35">
      <c r="A18" s="2">
        <v>180000</v>
      </c>
      <c r="B18" s="1">
        <v>1</v>
      </c>
      <c r="C18" s="1">
        <v>58</v>
      </c>
      <c r="D18" s="1">
        <v>22</v>
      </c>
      <c r="E18" s="1">
        <f>0.43*$G$3</f>
        <v>430</v>
      </c>
      <c r="F18" s="3">
        <f t="shared" si="0"/>
        <v>7102430</v>
      </c>
    </row>
    <row r="19" spans="1:6" x14ac:dyDescent="0.35">
      <c r="A19" s="2">
        <v>200000</v>
      </c>
      <c r="B19" s="1">
        <v>2</v>
      </c>
      <c r="C19" s="1">
        <v>20</v>
      </c>
      <c r="D19" s="1">
        <v>51</v>
      </c>
      <c r="E19" s="1">
        <f>0.14*$G$3</f>
        <v>140</v>
      </c>
      <c r="F19" s="3">
        <f t="shared" si="0"/>
        <v>8451140</v>
      </c>
    </row>
    <row r="20" spans="1:6" x14ac:dyDescent="0.35">
      <c r="A20" s="2">
        <v>250000</v>
      </c>
      <c r="B20" s="1">
        <v>0</v>
      </c>
      <c r="C20" s="1">
        <v>0</v>
      </c>
      <c r="D20" s="1">
        <v>0</v>
      </c>
      <c r="E20" s="1">
        <f t="shared" ref="E20:E28" si="1">0*$G$3</f>
        <v>0</v>
      </c>
      <c r="F20" s="3">
        <v>0</v>
      </c>
    </row>
    <row r="21" spans="1:6" x14ac:dyDescent="0.35">
      <c r="A21" s="2">
        <v>300000</v>
      </c>
      <c r="B21" s="1">
        <v>0</v>
      </c>
      <c r="C21" s="1">
        <v>0</v>
      </c>
      <c r="D21" s="1">
        <v>0</v>
      </c>
      <c r="E21" s="1">
        <f t="shared" si="1"/>
        <v>0</v>
      </c>
      <c r="F21" s="3">
        <f t="shared" ref="F21:F28" si="2">E20+D20*1000+C20*60000+B20*3600000</f>
        <v>0</v>
      </c>
    </row>
    <row r="22" spans="1:6" x14ac:dyDescent="0.35">
      <c r="A22" s="2">
        <v>400000</v>
      </c>
      <c r="B22" s="1">
        <v>0</v>
      </c>
      <c r="C22" s="1">
        <v>0</v>
      </c>
      <c r="D22" s="1">
        <v>0</v>
      </c>
      <c r="E22" s="1">
        <f t="shared" si="1"/>
        <v>0</v>
      </c>
      <c r="F22" s="3">
        <f t="shared" si="2"/>
        <v>0</v>
      </c>
    </row>
    <row r="23" spans="1:6" x14ac:dyDescent="0.35">
      <c r="A23" s="2">
        <v>500000</v>
      </c>
      <c r="B23" s="1">
        <v>0</v>
      </c>
      <c r="C23" s="1">
        <v>0</v>
      </c>
      <c r="D23" s="1">
        <v>0</v>
      </c>
      <c r="E23" s="1">
        <f t="shared" si="1"/>
        <v>0</v>
      </c>
      <c r="F23" s="3">
        <f t="shared" si="2"/>
        <v>0</v>
      </c>
    </row>
    <row r="24" spans="1:6" x14ac:dyDescent="0.35">
      <c r="A24" s="2">
        <v>600000</v>
      </c>
      <c r="B24" s="1">
        <v>0</v>
      </c>
      <c r="C24" s="1">
        <v>0</v>
      </c>
      <c r="D24" s="1">
        <v>0</v>
      </c>
      <c r="E24" s="1">
        <f t="shared" si="1"/>
        <v>0</v>
      </c>
      <c r="F24" s="3">
        <f t="shared" si="2"/>
        <v>0</v>
      </c>
    </row>
    <row r="25" spans="1:6" x14ac:dyDescent="0.35">
      <c r="A25" s="2">
        <v>700000</v>
      </c>
      <c r="B25" s="1">
        <v>0</v>
      </c>
      <c r="C25" s="1">
        <v>0</v>
      </c>
      <c r="D25" s="1">
        <v>0</v>
      </c>
      <c r="E25" s="1">
        <f t="shared" si="1"/>
        <v>0</v>
      </c>
      <c r="F25" s="3">
        <f t="shared" si="2"/>
        <v>0</v>
      </c>
    </row>
    <row r="26" spans="1:6" x14ac:dyDescent="0.35">
      <c r="A26" s="2">
        <v>800000</v>
      </c>
      <c r="B26" s="1">
        <v>0</v>
      </c>
      <c r="C26" s="1">
        <v>0</v>
      </c>
      <c r="D26" s="1">
        <v>0</v>
      </c>
      <c r="E26" s="1">
        <f t="shared" si="1"/>
        <v>0</v>
      </c>
      <c r="F26" s="3">
        <f t="shared" si="2"/>
        <v>0</v>
      </c>
    </row>
    <row r="27" spans="1:6" x14ac:dyDescent="0.35">
      <c r="A27" s="2">
        <v>900000</v>
      </c>
      <c r="B27" s="1">
        <v>0</v>
      </c>
      <c r="C27" s="1">
        <v>0</v>
      </c>
      <c r="D27" s="1">
        <v>0</v>
      </c>
      <c r="E27" s="1">
        <f t="shared" si="1"/>
        <v>0</v>
      </c>
      <c r="F27" s="3">
        <f t="shared" si="2"/>
        <v>0</v>
      </c>
    </row>
    <row r="28" spans="1:6" ht="15" thickBot="1" x14ac:dyDescent="0.4">
      <c r="A28" s="4">
        <v>1000000</v>
      </c>
      <c r="B28" s="5">
        <v>0</v>
      </c>
      <c r="C28" s="5">
        <v>0</v>
      </c>
      <c r="D28" s="5">
        <v>0</v>
      </c>
      <c r="E28" s="1">
        <f t="shared" si="1"/>
        <v>0</v>
      </c>
      <c r="F28" s="6">
        <f t="shared" si="2"/>
        <v>0</v>
      </c>
    </row>
    <row r="29" spans="1:6" x14ac:dyDescent="0.35">
      <c r="A29" s="10"/>
      <c r="B29" s="10"/>
      <c r="C29" s="10"/>
      <c r="D29" s="10"/>
      <c r="E29" s="10"/>
      <c r="F29" s="10"/>
    </row>
    <row r="33" spans="1:7" x14ac:dyDescent="0.35">
      <c r="A33" s="10"/>
      <c r="B33" s="10"/>
      <c r="C33" s="10"/>
      <c r="D33" s="10"/>
      <c r="E33" s="10"/>
      <c r="F33" s="10"/>
      <c r="G33" s="10"/>
    </row>
    <row r="34" spans="1:7" x14ac:dyDescent="0.35">
      <c r="A34" s="10"/>
      <c r="B34" s="10"/>
      <c r="C34" s="10"/>
      <c r="D34" s="10"/>
      <c r="E34" s="10"/>
      <c r="F34" s="10"/>
      <c r="G34" s="10"/>
    </row>
    <row r="35" spans="1:7" x14ac:dyDescent="0.35">
      <c r="A35" s="10"/>
      <c r="B35" s="10"/>
      <c r="C35" s="10"/>
      <c r="D35" s="10"/>
      <c r="E35" s="10"/>
      <c r="F35" s="10"/>
      <c r="G35" s="10"/>
    </row>
    <row r="36" spans="1:7" x14ac:dyDescent="0.35">
      <c r="A36" s="10"/>
      <c r="B36" s="10"/>
      <c r="C36" s="10"/>
      <c r="D36" s="10"/>
      <c r="E36" s="10"/>
      <c r="F36" s="10"/>
      <c r="G36" s="10"/>
    </row>
    <row r="37" spans="1:7" x14ac:dyDescent="0.35">
      <c r="A37" s="10"/>
      <c r="B37" s="10"/>
      <c r="C37" s="10"/>
      <c r="D37" s="10"/>
      <c r="E37" s="10"/>
      <c r="F37" s="10"/>
      <c r="G37" s="10"/>
    </row>
    <row r="38" spans="1:7" x14ac:dyDescent="0.35">
      <c r="A38" s="10"/>
      <c r="B38" s="10"/>
      <c r="C38" s="10"/>
      <c r="D38" s="10"/>
      <c r="E38" s="10"/>
      <c r="F38" s="10"/>
      <c r="G38" s="10"/>
    </row>
    <row r="39" spans="1:7" x14ac:dyDescent="0.35">
      <c r="A39" s="10"/>
      <c r="B39" s="10"/>
      <c r="C39" s="10"/>
      <c r="D39" s="10"/>
      <c r="E39" s="10"/>
      <c r="F39" s="10"/>
      <c r="G39" s="10"/>
    </row>
    <row r="40" spans="1:7" x14ac:dyDescent="0.35">
      <c r="A40" s="10"/>
      <c r="B40" s="10"/>
      <c r="C40" s="10"/>
      <c r="D40" s="10"/>
      <c r="E40" s="10"/>
      <c r="F40" s="10"/>
      <c r="G40" s="10"/>
    </row>
    <row r="41" spans="1:7" x14ac:dyDescent="0.35">
      <c r="A41" s="10"/>
      <c r="B41" s="10"/>
      <c r="C41" s="10"/>
      <c r="D41" s="10"/>
      <c r="E41" s="10"/>
      <c r="F41" s="10"/>
      <c r="G41" s="10"/>
    </row>
    <row r="42" spans="1:7" x14ac:dyDescent="0.35">
      <c r="A42" s="10"/>
      <c r="B42" s="10"/>
      <c r="C42" s="10"/>
      <c r="D42" s="10"/>
      <c r="E42" s="10"/>
      <c r="F42" s="10"/>
      <c r="G42" s="10"/>
    </row>
    <row r="43" spans="1:7" x14ac:dyDescent="0.35">
      <c r="A43" s="10"/>
      <c r="B43" s="10"/>
      <c r="C43" s="10"/>
      <c r="D43" s="10"/>
      <c r="E43" s="10"/>
      <c r="F43" s="10"/>
      <c r="G43" s="10"/>
    </row>
    <row r="44" spans="1:7" x14ac:dyDescent="0.35">
      <c r="A44" s="10"/>
      <c r="B44" s="10"/>
      <c r="C44" s="10"/>
      <c r="D44" s="10"/>
      <c r="E44" s="10"/>
      <c r="F44" s="10"/>
      <c r="G44" s="10"/>
    </row>
    <row r="45" spans="1:7" x14ac:dyDescent="0.35">
      <c r="A45" s="10"/>
      <c r="B45" s="10"/>
      <c r="C45" s="10"/>
      <c r="D45" s="10"/>
      <c r="E45" s="10"/>
      <c r="F45" s="10"/>
      <c r="G45" s="10"/>
    </row>
    <row r="46" spans="1:7" x14ac:dyDescent="0.35">
      <c r="A46" s="10"/>
      <c r="B46" s="10"/>
      <c r="C46" s="10"/>
      <c r="D46" s="10"/>
      <c r="E46" s="10"/>
      <c r="F46" s="10"/>
      <c r="G46" s="10"/>
    </row>
    <row r="47" spans="1:7" x14ac:dyDescent="0.35">
      <c r="A47" s="10"/>
      <c r="B47" s="10"/>
      <c r="C47" s="10"/>
      <c r="D47" s="10"/>
      <c r="E47" s="10"/>
      <c r="F47" s="10"/>
      <c r="G47" s="10"/>
    </row>
    <row r="48" spans="1:7" x14ac:dyDescent="0.35">
      <c r="A48" s="10"/>
      <c r="B48" s="10"/>
      <c r="C48" s="10"/>
      <c r="D48" s="10"/>
      <c r="E48" s="10"/>
      <c r="F48" s="10"/>
      <c r="G48" s="10"/>
    </row>
    <row r="49" spans="1:7" x14ac:dyDescent="0.35">
      <c r="A49" s="10"/>
      <c r="B49" s="10"/>
      <c r="C49" s="10"/>
      <c r="D49" s="10"/>
      <c r="E49" s="10"/>
      <c r="F49" s="10"/>
      <c r="G49" s="10"/>
    </row>
    <row r="50" spans="1:7" x14ac:dyDescent="0.35">
      <c r="A50" s="10"/>
      <c r="B50" s="10"/>
      <c r="C50" s="10"/>
      <c r="D50" s="10"/>
      <c r="E50" s="10"/>
      <c r="F50" s="10"/>
      <c r="G50" s="10"/>
    </row>
  </sheetData>
  <mergeCells count="1">
    <mergeCell ref="A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2E8F8-3AAF-4919-9E5A-4B56B8585B7D}">
  <dimension ref="A1:M50"/>
  <sheetViews>
    <sheetView zoomScaleNormal="100" workbookViewId="0">
      <selection activeCell="D3" sqref="D3"/>
    </sheetView>
  </sheetViews>
  <sheetFormatPr baseColWidth="10" defaultRowHeight="14.5" x14ac:dyDescent="0.35"/>
  <cols>
    <col min="1" max="1" width="11.08984375" customWidth="1"/>
    <col min="2" max="2" width="13" bestFit="1" customWidth="1"/>
    <col min="3" max="3" width="14.90625" bestFit="1" customWidth="1"/>
    <col min="4" max="4" width="16" bestFit="1" customWidth="1"/>
    <col min="5" max="5" width="10.54296875" bestFit="1" customWidth="1"/>
    <col min="6" max="6" width="16.453125" bestFit="1" customWidth="1"/>
  </cols>
  <sheetData>
    <row r="1" spans="1:13" x14ac:dyDescent="0.35">
      <c r="A1" s="22" t="s">
        <v>13</v>
      </c>
      <c r="B1" s="22"/>
      <c r="C1" s="22"/>
      <c r="D1" s="22"/>
      <c r="E1" s="22"/>
      <c r="F1" s="22"/>
    </row>
    <row r="2" spans="1:13" ht="15" thickBot="1" x14ac:dyDescent="0.4"/>
    <row r="3" spans="1:13" ht="15" thickBot="1" x14ac:dyDescent="0.4">
      <c r="A3" s="7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9" t="s">
        <v>5</v>
      </c>
      <c r="G3">
        <v>1000</v>
      </c>
      <c r="I3" t="s">
        <v>6</v>
      </c>
      <c r="J3">
        <v>1000000</v>
      </c>
      <c r="L3" t="s">
        <v>7</v>
      </c>
      <c r="M3">
        <f>ROUNDDOWN(J4/86400000,0)</f>
        <v>2</v>
      </c>
    </row>
    <row r="4" spans="1:13" x14ac:dyDescent="0.35">
      <c r="A4" s="11">
        <v>0</v>
      </c>
      <c r="B4" s="12">
        <v>0</v>
      </c>
      <c r="C4" s="12">
        <v>0</v>
      </c>
      <c r="D4" s="12">
        <v>0</v>
      </c>
      <c r="E4" s="12">
        <f>0*$G$3</f>
        <v>0</v>
      </c>
      <c r="F4" s="13">
        <f>E4+D4*1000+C4*60000+B4*3600000</f>
        <v>0</v>
      </c>
      <c r="I4" t="s">
        <v>11</v>
      </c>
      <c r="J4">
        <f>0.0002 * J3 * J3 - 0.2508 * J3 - 30342</f>
        <v>199718858</v>
      </c>
      <c r="L4" t="s">
        <v>8</v>
      </c>
      <c r="M4">
        <f>ROUNDDOWN((J4/86400000 - ROUNDDOWN(J4/86400000,0) )* 24,0)</f>
        <v>7</v>
      </c>
    </row>
    <row r="5" spans="1:13" x14ac:dyDescent="0.35">
      <c r="A5" s="2">
        <v>10000</v>
      </c>
      <c r="B5" s="1">
        <v>0</v>
      </c>
      <c r="C5" s="1">
        <v>0</v>
      </c>
      <c r="D5" s="1">
        <v>16</v>
      </c>
      <c r="E5" s="1">
        <f>0.45*$G$3</f>
        <v>450</v>
      </c>
      <c r="F5" s="3">
        <f t="shared" ref="F5:F19" si="0">E5+D5*1000+C5*60000+B5*3600000</f>
        <v>16450</v>
      </c>
      <c r="L5" t="s">
        <v>9</v>
      </c>
      <c r="M5">
        <f>ROUNDDOWN(((J4/86400000-ROUNDDOWN(J4/86400000,0))*24-M4)*60,0)</f>
        <v>28</v>
      </c>
    </row>
    <row r="6" spans="1:13" x14ac:dyDescent="0.35">
      <c r="A6" s="2">
        <v>20000</v>
      </c>
      <c r="B6" s="1">
        <v>0</v>
      </c>
      <c r="C6" s="1">
        <v>1</v>
      </c>
      <c r="D6" s="1">
        <v>0</v>
      </c>
      <c r="E6" s="1">
        <f>0.97*$G$3</f>
        <v>970</v>
      </c>
      <c r="F6" s="3">
        <f t="shared" si="0"/>
        <v>60970</v>
      </c>
      <c r="L6" t="s">
        <v>10</v>
      </c>
      <c r="M6">
        <f>ROUNDDOWN((((J4/86400000-ROUNDDOWN(J4/86400000,0))*24-M4)*60 - M5) * 60,0)</f>
        <v>38</v>
      </c>
    </row>
    <row r="7" spans="1:13" x14ac:dyDescent="0.35">
      <c r="A7" s="2">
        <v>30000</v>
      </c>
      <c r="B7" s="1">
        <v>0</v>
      </c>
      <c r="C7" s="1">
        <v>2</v>
      </c>
      <c r="D7" s="1">
        <v>17</v>
      </c>
      <c r="E7" s="1">
        <f>0.97*$G$3</f>
        <v>970</v>
      </c>
      <c r="F7" s="3">
        <f t="shared" si="0"/>
        <v>137970</v>
      </c>
      <c r="L7" t="s">
        <v>12</v>
      </c>
      <c r="M7">
        <f>((((J4/86400000-ROUNDDOWN(J4/86400000,0))*24-M4)*60 - M5) * 60 - M6) * 1000</f>
        <v>857.99999998880594</v>
      </c>
    </row>
    <row r="8" spans="1:13" x14ac:dyDescent="0.35">
      <c r="A8" s="2">
        <v>40000</v>
      </c>
      <c r="B8" s="1">
        <v>0</v>
      </c>
      <c r="C8" s="1">
        <v>4</v>
      </c>
      <c r="D8" s="1">
        <v>5</v>
      </c>
      <c r="E8" s="1">
        <f>0.6*$G$3</f>
        <v>600</v>
      </c>
      <c r="F8" s="3">
        <f t="shared" si="0"/>
        <v>245600</v>
      </c>
    </row>
    <row r="9" spans="1:13" x14ac:dyDescent="0.35">
      <c r="A9" s="2">
        <v>50000</v>
      </c>
      <c r="B9" s="1">
        <v>0</v>
      </c>
      <c r="C9" s="1">
        <v>6</v>
      </c>
      <c r="D9" s="1">
        <v>41</v>
      </c>
      <c r="E9" s="1">
        <f>0.71*$G$3</f>
        <v>710</v>
      </c>
      <c r="F9" s="3">
        <f t="shared" si="0"/>
        <v>401710</v>
      </c>
    </row>
    <row r="10" spans="1:13" x14ac:dyDescent="0.35">
      <c r="A10" s="2">
        <v>60000</v>
      </c>
      <c r="B10" s="1">
        <v>0</v>
      </c>
      <c r="C10" s="1">
        <v>9</v>
      </c>
      <c r="D10" s="1">
        <v>48</v>
      </c>
      <c r="E10" s="1">
        <f>0.84*$G$3</f>
        <v>840</v>
      </c>
      <c r="F10" s="3">
        <f t="shared" si="0"/>
        <v>588840</v>
      </c>
    </row>
    <row r="11" spans="1:13" x14ac:dyDescent="0.35">
      <c r="A11" s="2">
        <v>70000</v>
      </c>
      <c r="B11" s="1">
        <v>0</v>
      </c>
      <c r="C11" s="1">
        <v>14</v>
      </c>
      <c r="D11" s="1">
        <v>2</v>
      </c>
      <c r="E11" s="1">
        <f>0.14*$G$3</f>
        <v>140</v>
      </c>
      <c r="F11" s="3">
        <f t="shared" si="0"/>
        <v>842140</v>
      </c>
    </row>
    <row r="12" spans="1:13" x14ac:dyDescent="0.35">
      <c r="A12" s="2">
        <v>80000</v>
      </c>
      <c r="B12" s="1">
        <v>0</v>
      </c>
      <c r="C12" s="1">
        <v>18</v>
      </c>
      <c r="D12" s="1">
        <v>49</v>
      </c>
      <c r="E12" s="1">
        <f>0.1*$G$3</f>
        <v>100</v>
      </c>
      <c r="F12" s="3">
        <f t="shared" si="0"/>
        <v>1129100</v>
      </c>
    </row>
    <row r="13" spans="1:13" x14ac:dyDescent="0.35">
      <c r="A13" s="2">
        <v>90000</v>
      </c>
      <c r="B13" s="1">
        <v>0</v>
      </c>
      <c r="C13" s="1">
        <v>25</v>
      </c>
      <c r="D13" s="1">
        <v>9</v>
      </c>
      <c r="E13" s="1">
        <f>0*$G$3</f>
        <v>0</v>
      </c>
      <c r="F13" s="3">
        <f t="shared" si="0"/>
        <v>1509000</v>
      </c>
    </row>
    <row r="14" spans="1:13" x14ac:dyDescent="0.35">
      <c r="A14" s="2">
        <v>100000</v>
      </c>
      <c r="B14" s="1">
        <v>0</v>
      </c>
      <c r="C14" s="1">
        <v>31</v>
      </c>
      <c r="D14" s="1">
        <v>53</v>
      </c>
      <c r="E14" s="1">
        <f>0.9*$G$3</f>
        <v>900</v>
      </c>
      <c r="F14" s="3">
        <f t="shared" si="0"/>
        <v>1913900</v>
      </c>
    </row>
    <row r="15" spans="1:13" x14ac:dyDescent="0.35">
      <c r="A15" s="2">
        <v>120000</v>
      </c>
      <c r="B15" s="1">
        <v>0</v>
      </c>
      <c r="C15" s="1">
        <v>49</v>
      </c>
      <c r="D15" s="1">
        <v>25</v>
      </c>
      <c r="E15" s="1">
        <f>0.57*$G$3</f>
        <v>570</v>
      </c>
      <c r="F15" s="3">
        <f t="shared" si="0"/>
        <v>2965570</v>
      </c>
    </row>
    <row r="16" spans="1:13" x14ac:dyDescent="0.35">
      <c r="A16" s="15">
        <v>140000</v>
      </c>
      <c r="B16" s="16">
        <v>1</v>
      </c>
      <c r="C16" s="16">
        <v>11</v>
      </c>
      <c r="D16" s="16">
        <v>2</v>
      </c>
      <c r="E16" s="16">
        <f>0.53*$G$3</f>
        <v>530</v>
      </c>
      <c r="F16" s="17">
        <f t="shared" si="0"/>
        <v>4262530</v>
      </c>
    </row>
    <row r="17" spans="1:6" x14ac:dyDescent="0.35">
      <c r="A17" s="2">
        <v>160000</v>
      </c>
      <c r="B17" s="1">
        <v>1</v>
      </c>
      <c r="C17" s="1">
        <v>30</v>
      </c>
      <c r="D17" s="1">
        <v>37</v>
      </c>
      <c r="E17" s="1">
        <f>0.4*$G$3</f>
        <v>400</v>
      </c>
      <c r="F17" s="3">
        <f t="shared" si="0"/>
        <v>5437400</v>
      </c>
    </row>
    <row r="18" spans="1:6" x14ac:dyDescent="0.35">
      <c r="A18" s="2">
        <v>180000</v>
      </c>
      <c r="B18" s="1">
        <v>1</v>
      </c>
      <c r="C18" s="1">
        <v>51</v>
      </c>
      <c r="D18" s="1">
        <v>58</v>
      </c>
      <c r="E18" s="1">
        <f>0.25*$G$3</f>
        <v>250</v>
      </c>
      <c r="F18" s="3">
        <f t="shared" si="0"/>
        <v>6718250</v>
      </c>
    </row>
    <row r="19" spans="1:6" x14ac:dyDescent="0.35">
      <c r="A19" s="2">
        <v>200000</v>
      </c>
      <c r="B19" s="1">
        <v>2</v>
      </c>
      <c r="C19" s="1">
        <v>14</v>
      </c>
      <c r="D19" s="1">
        <v>59</v>
      </c>
      <c r="E19" s="1">
        <f>0.51*$G$3</f>
        <v>510</v>
      </c>
      <c r="F19" s="3">
        <f t="shared" si="0"/>
        <v>8099510</v>
      </c>
    </row>
    <row r="20" spans="1:6" x14ac:dyDescent="0.35">
      <c r="A20" s="2">
        <v>250000</v>
      </c>
      <c r="B20" s="1">
        <v>0</v>
      </c>
      <c r="C20" s="1">
        <v>0</v>
      </c>
      <c r="D20" s="1">
        <v>0</v>
      </c>
      <c r="E20" s="1">
        <f t="shared" ref="E20:E28" si="1">0*$G$3</f>
        <v>0</v>
      </c>
      <c r="F20" s="3">
        <v>0</v>
      </c>
    </row>
    <row r="21" spans="1:6" x14ac:dyDescent="0.35">
      <c r="A21" s="2">
        <v>300000</v>
      </c>
      <c r="B21" s="1">
        <v>0</v>
      </c>
      <c r="C21" s="1">
        <v>0</v>
      </c>
      <c r="D21" s="1">
        <v>0</v>
      </c>
      <c r="E21" s="1">
        <f t="shared" si="1"/>
        <v>0</v>
      </c>
      <c r="F21" s="3">
        <f t="shared" ref="F21:F28" si="2">E20+D20*1000+C20*60000+B20*3600000</f>
        <v>0</v>
      </c>
    </row>
    <row r="22" spans="1:6" x14ac:dyDescent="0.35">
      <c r="A22" s="2">
        <v>400000</v>
      </c>
      <c r="B22" s="1">
        <v>0</v>
      </c>
      <c r="C22" s="1">
        <v>0</v>
      </c>
      <c r="D22" s="1">
        <v>0</v>
      </c>
      <c r="E22" s="1">
        <f t="shared" si="1"/>
        <v>0</v>
      </c>
      <c r="F22" s="3">
        <f t="shared" si="2"/>
        <v>0</v>
      </c>
    </row>
    <row r="23" spans="1:6" x14ac:dyDescent="0.35">
      <c r="A23" s="2">
        <v>500000</v>
      </c>
      <c r="B23" s="1">
        <v>0</v>
      </c>
      <c r="C23" s="1">
        <v>0</v>
      </c>
      <c r="D23" s="1">
        <v>0</v>
      </c>
      <c r="E23" s="1">
        <f t="shared" si="1"/>
        <v>0</v>
      </c>
      <c r="F23" s="3">
        <f t="shared" si="2"/>
        <v>0</v>
      </c>
    </row>
    <row r="24" spans="1:6" x14ac:dyDescent="0.35">
      <c r="A24" s="2">
        <v>600000</v>
      </c>
      <c r="B24" s="1">
        <v>0</v>
      </c>
      <c r="C24" s="1">
        <v>0</v>
      </c>
      <c r="D24" s="1">
        <v>0</v>
      </c>
      <c r="E24" s="1">
        <f t="shared" si="1"/>
        <v>0</v>
      </c>
      <c r="F24" s="3">
        <f t="shared" si="2"/>
        <v>0</v>
      </c>
    </row>
    <row r="25" spans="1:6" x14ac:dyDescent="0.35">
      <c r="A25" s="2">
        <v>700000</v>
      </c>
      <c r="B25" s="1">
        <v>0</v>
      </c>
      <c r="C25" s="1">
        <v>0</v>
      </c>
      <c r="D25" s="1">
        <v>0</v>
      </c>
      <c r="E25" s="1">
        <f t="shared" si="1"/>
        <v>0</v>
      </c>
      <c r="F25" s="3">
        <f t="shared" si="2"/>
        <v>0</v>
      </c>
    </row>
    <row r="26" spans="1:6" x14ac:dyDescent="0.35">
      <c r="A26" s="2">
        <v>800000</v>
      </c>
      <c r="B26" s="1">
        <v>0</v>
      </c>
      <c r="C26" s="1">
        <v>0</v>
      </c>
      <c r="D26" s="1">
        <v>0</v>
      </c>
      <c r="E26" s="1">
        <f t="shared" si="1"/>
        <v>0</v>
      </c>
      <c r="F26" s="3">
        <f t="shared" si="2"/>
        <v>0</v>
      </c>
    </row>
    <row r="27" spans="1:6" x14ac:dyDescent="0.35">
      <c r="A27" s="2">
        <v>900000</v>
      </c>
      <c r="B27" s="1">
        <v>0</v>
      </c>
      <c r="C27" s="1">
        <v>0</v>
      </c>
      <c r="D27" s="1">
        <v>0</v>
      </c>
      <c r="E27" s="1">
        <f t="shared" si="1"/>
        <v>0</v>
      </c>
      <c r="F27" s="3">
        <f t="shared" si="2"/>
        <v>0</v>
      </c>
    </row>
    <row r="28" spans="1:6" ht="15" thickBot="1" x14ac:dyDescent="0.4">
      <c r="A28" s="4">
        <v>1000000</v>
      </c>
      <c r="B28" s="5">
        <v>0</v>
      </c>
      <c r="C28" s="5">
        <v>0</v>
      </c>
      <c r="D28" s="5">
        <v>0</v>
      </c>
      <c r="E28" s="5">
        <f t="shared" si="1"/>
        <v>0</v>
      </c>
      <c r="F28" s="6">
        <f t="shared" si="2"/>
        <v>0</v>
      </c>
    </row>
    <row r="29" spans="1:6" x14ac:dyDescent="0.35">
      <c r="A29" s="10"/>
      <c r="B29" s="10"/>
      <c r="C29" s="10"/>
      <c r="D29" s="10"/>
      <c r="E29" s="10"/>
      <c r="F29" s="10"/>
    </row>
    <row r="33" spans="1:7" x14ac:dyDescent="0.35">
      <c r="A33" s="10"/>
      <c r="B33" s="10"/>
      <c r="C33" s="10"/>
      <c r="D33" s="10"/>
      <c r="E33" s="10"/>
      <c r="F33" s="10"/>
      <c r="G33" s="10"/>
    </row>
    <row r="34" spans="1:7" x14ac:dyDescent="0.35">
      <c r="A34" s="10"/>
      <c r="B34" s="10"/>
      <c r="C34" s="10"/>
      <c r="D34" s="10"/>
      <c r="E34" s="10"/>
      <c r="F34" s="10"/>
      <c r="G34" s="10"/>
    </row>
    <row r="35" spans="1:7" x14ac:dyDescent="0.35">
      <c r="A35" s="10"/>
      <c r="B35" s="10"/>
      <c r="C35" s="10"/>
      <c r="D35" s="10"/>
      <c r="E35" s="10"/>
      <c r="F35" s="10"/>
      <c r="G35" s="10"/>
    </row>
    <row r="36" spans="1:7" x14ac:dyDescent="0.35">
      <c r="A36" s="10"/>
      <c r="B36" s="10"/>
      <c r="C36" s="10"/>
      <c r="D36" s="10"/>
      <c r="E36" s="10"/>
      <c r="F36" s="10"/>
      <c r="G36" s="10"/>
    </row>
    <row r="37" spans="1:7" x14ac:dyDescent="0.35">
      <c r="A37" s="10"/>
      <c r="B37" s="10"/>
      <c r="C37" s="10"/>
      <c r="D37" s="10"/>
      <c r="E37" s="10"/>
      <c r="F37" s="10"/>
      <c r="G37" s="10"/>
    </row>
    <row r="38" spans="1:7" x14ac:dyDescent="0.35">
      <c r="A38" s="10"/>
      <c r="B38" s="10"/>
      <c r="C38" s="10"/>
      <c r="D38" s="10"/>
      <c r="E38" s="10"/>
      <c r="F38" s="10"/>
      <c r="G38" s="10"/>
    </row>
    <row r="39" spans="1:7" x14ac:dyDescent="0.35">
      <c r="A39" s="10"/>
      <c r="B39" s="10"/>
      <c r="C39" s="10"/>
      <c r="D39" s="10"/>
      <c r="E39" s="10"/>
      <c r="F39" s="10"/>
      <c r="G39" s="10"/>
    </row>
    <row r="40" spans="1:7" x14ac:dyDescent="0.35">
      <c r="A40" s="10"/>
      <c r="B40" s="10"/>
      <c r="C40" s="10"/>
      <c r="D40" s="10"/>
      <c r="E40" s="10"/>
      <c r="F40" s="10"/>
      <c r="G40" s="10"/>
    </row>
    <row r="41" spans="1:7" x14ac:dyDescent="0.35">
      <c r="A41" s="10"/>
      <c r="B41" s="10"/>
      <c r="C41" s="10"/>
      <c r="D41" s="10"/>
      <c r="E41" s="10"/>
      <c r="F41" s="10"/>
      <c r="G41" s="10"/>
    </row>
    <row r="42" spans="1:7" x14ac:dyDescent="0.35">
      <c r="A42" s="10"/>
      <c r="B42" s="10"/>
      <c r="C42" s="10"/>
      <c r="D42" s="10"/>
      <c r="E42" s="10"/>
      <c r="F42" s="10"/>
      <c r="G42" s="10"/>
    </row>
    <row r="43" spans="1:7" x14ac:dyDescent="0.35">
      <c r="A43" s="10"/>
      <c r="B43" s="10"/>
      <c r="C43" s="10"/>
      <c r="D43" s="10"/>
      <c r="E43" s="10"/>
      <c r="F43" s="10"/>
      <c r="G43" s="10"/>
    </row>
    <row r="44" spans="1:7" x14ac:dyDescent="0.35">
      <c r="A44" s="10"/>
      <c r="B44" s="10"/>
      <c r="C44" s="10"/>
      <c r="D44" s="10"/>
      <c r="E44" s="10"/>
      <c r="F44" s="10"/>
      <c r="G44" s="10"/>
    </row>
    <row r="45" spans="1:7" x14ac:dyDescent="0.35">
      <c r="A45" s="10"/>
      <c r="B45" s="10"/>
      <c r="C45" s="10"/>
      <c r="D45" s="10"/>
      <c r="E45" s="10"/>
      <c r="F45" s="10"/>
      <c r="G45" s="10"/>
    </row>
    <row r="46" spans="1:7" x14ac:dyDescent="0.35">
      <c r="A46" s="10"/>
      <c r="B46" s="10"/>
      <c r="C46" s="10"/>
      <c r="D46" s="10"/>
      <c r="E46" s="10"/>
      <c r="F46" s="10"/>
      <c r="G46" s="10"/>
    </row>
    <row r="47" spans="1:7" x14ac:dyDescent="0.35">
      <c r="A47" s="10"/>
      <c r="B47" s="10"/>
      <c r="C47" s="10"/>
      <c r="D47" s="10"/>
      <c r="E47" s="10"/>
      <c r="F47" s="10"/>
      <c r="G47" s="10"/>
    </row>
    <row r="48" spans="1:7" x14ac:dyDescent="0.35">
      <c r="A48" s="10"/>
      <c r="B48" s="10"/>
      <c r="C48" s="10"/>
      <c r="D48" s="10"/>
      <c r="E48" s="10"/>
      <c r="F48" s="10"/>
      <c r="G48" s="10"/>
    </row>
    <row r="49" spans="1:7" x14ac:dyDescent="0.35">
      <c r="A49" s="10"/>
      <c r="B49" s="10"/>
      <c r="C49" s="10"/>
      <c r="D49" s="10"/>
      <c r="E49" s="10"/>
      <c r="F49" s="10"/>
      <c r="G49" s="10"/>
    </row>
    <row r="50" spans="1:7" x14ac:dyDescent="0.35">
      <c r="A50" s="10"/>
      <c r="B50" s="10"/>
      <c r="C50" s="10"/>
      <c r="D50" s="10"/>
      <c r="E50" s="10"/>
      <c r="F50" s="10"/>
      <c r="G50" s="10"/>
    </row>
  </sheetData>
  <mergeCells count="1">
    <mergeCell ref="A1:F1"/>
  </mergeCells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F0C5B-BBF3-4CCE-91F4-B28A234D7629}">
  <dimension ref="A1:M45"/>
  <sheetViews>
    <sheetView zoomScaleNormal="100" workbookViewId="0">
      <selection activeCell="J4" sqref="J4"/>
    </sheetView>
  </sheetViews>
  <sheetFormatPr baseColWidth="10" defaultRowHeight="14.5" x14ac:dyDescent="0.35"/>
  <cols>
    <col min="1" max="1" width="11.08984375" customWidth="1"/>
    <col min="2" max="2" width="13" bestFit="1" customWidth="1"/>
    <col min="3" max="3" width="14.90625" bestFit="1" customWidth="1"/>
    <col min="4" max="4" width="16" bestFit="1" customWidth="1"/>
    <col min="5" max="5" width="10.54296875" bestFit="1" customWidth="1"/>
    <col min="6" max="6" width="16.453125" bestFit="1" customWidth="1"/>
  </cols>
  <sheetData>
    <row r="1" spans="1:13" x14ac:dyDescent="0.35">
      <c r="A1" s="22" t="s">
        <v>15</v>
      </c>
      <c r="B1" s="22"/>
      <c r="C1" s="22"/>
      <c r="D1" s="22"/>
      <c r="E1" s="22"/>
      <c r="F1" s="22"/>
    </row>
    <row r="2" spans="1:13" ht="15" thickBot="1" x14ac:dyDescent="0.4"/>
    <row r="3" spans="1:13" ht="15" thickBot="1" x14ac:dyDescent="0.4">
      <c r="A3" s="7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9" t="s">
        <v>5</v>
      </c>
      <c r="G3">
        <v>1000</v>
      </c>
      <c r="I3" t="s">
        <v>6</v>
      </c>
      <c r="J3">
        <v>1000000</v>
      </c>
      <c r="L3" t="s">
        <v>7</v>
      </c>
      <c r="M3">
        <f>ROUNDDOWN(J4/86400000,0)</f>
        <v>2</v>
      </c>
    </row>
    <row r="4" spans="1:13" x14ac:dyDescent="0.35">
      <c r="A4" s="11">
        <v>0</v>
      </c>
      <c r="B4" s="12">
        <v>0</v>
      </c>
      <c r="C4" s="12">
        <v>0</v>
      </c>
      <c r="D4" s="12">
        <v>0</v>
      </c>
      <c r="E4" s="12">
        <f>0*$G$3</f>
        <v>0</v>
      </c>
      <c r="F4" s="13">
        <f>E4+D4*1000+C4*60000+B4*3600000</f>
        <v>0</v>
      </c>
      <c r="I4" t="s">
        <v>11</v>
      </c>
      <c r="J4">
        <f>0.0002 * J3 * J3 -1.1094 * J3 - 398.25</f>
        <v>198890201.75</v>
      </c>
      <c r="L4" t="s">
        <v>8</v>
      </c>
      <c r="M4">
        <f>ROUNDDOWN((J4/86400000 - ROUNDDOWN(J4/86400000,0) )* 24,0)</f>
        <v>7</v>
      </c>
    </row>
    <row r="5" spans="1:13" x14ac:dyDescent="0.35">
      <c r="A5" s="2">
        <v>10000</v>
      </c>
      <c r="B5" s="1">
        <v>0</v>
      </c>
      <c r="C5" s="1">
        <v>0</v>
      </c>
      <c r="D5" s="1">
        <v>15</v>
      </c>
      <c r="E5" s="1">
        <f>0.68*$G$3</f>
        <v>680</v>
      </c>
      <c r="F5" s="3">
        <f t="shared" ref="F5:F15" si="0">E5+D5*1000+C5*60000+B5*3600000</f>
        <v>15680</v>
      </c>
      <c r="L5" t="s">
        <v>9</v>
      </c>
      <c r="M5">
        <f>ROUNDDOWN(((J4/86400000-ROUNDDOWN(J4/86400000,0))*24-M4)*60,0)</f>
        <v>14</v>
      </c>
    </row>
    <row r="6" spans="1:13" x14ac:dyDescent="0.35">
      <c r="A6" s="2">
        <v>20000</v>
      </c>
      <c r="B6" s="1">
        <v>0</v>
      </c>
      <c r="C6" s="1">
        <v>0</v>
      </c>
      <c r="D6" s="1">
        <v>59</v>
      </c>
      <c r="E6" s="1">
        <f>0.86*$G$3</f>
        <v>860</v>
      </c>
      <c r="F6" s="3">
        <f t="shared" si="0"/>
        <v>59860</v>
      </c>
      <c r="L6" t="s">
        <v>10</v>
      </c>
      <c r="M6">
        <f>ROUNDDOWN((((J4/86400000-ROUNDDOWN(J4/86400000,0))*24-M4)*60 - M5) * 60,0)</f>
        <v>50</v>
      </c>
    </row>
    <row r="7" spans="1:13" x14ac:dyDescent="0.35">
      <c r="A7" s="2">
        <v>30000</v>
      </c>
      <c r="B7" s="1">
        <v>0</v>
      </c>
      <c r="C7" s="1">
        <v>2</v>
      </c>
      <c r="D7" s="1">
        <v>13</v>
      </c>
      <c r="E7" s="1">
        <f>0.76*$G$3</f>
        <v>760</v>
      </c>
      <c r="F7" s="3">
        <f t="shared" si="0"/>
        <v>133760</v>
      </c>
      <c r="L7" t="s">
        <v>12</v>
      </c>
      <c r="M7">
        <f>((((J4/86400000-ROUNDDOWN(J4/86400000,0))*24-M4)*60 - M5) * 60 - M6) * 1000</f>
        <v>201.75000000705268</v>
      </c>
    </row>
    <row r="8" spans="1:13" x14ac:dyDescent="0.35">
      <c r="A8" s="2">
        <v>40000</v>
      </c>
      <c r="B8" s="1">
        <v>0</v>
      </c>
      <c r="C8" s="1">
        <v>4</v>
      </c>
      <c r="D8" s="1">
        <v>1</v>
      </c>
      <c r="E8" s="1">
        <f>0.6*$G$3</f>
        <v>600</v>
      </c>
      <c r="F8" s="3">
        <f t="shared" si="0"/>
        <v>241600</v>
      </c>
    </row>
    <row r="9" spans="1:13" x14ac:dyDescent="0.35">
      <c r="A9" s="2">
        <v>50000</v>
      </c>
      <c r="B9" s="1">
        <v>0</v>
      </c>
      <c r="C9" s="1">
        <v>6</v>
      </c>
      <c r="D9" s="1">
        <v>35</v>
      </c>
      <c r="E9" s="1">
        <f>0.54*$G$3</f>
        <v>540</v>
      </c>
      <c r="F9" s="3">
        <f t="shared" si="0"/>
        <v>395540</v>
      </c>
    </row>
    <row r="10" spans="1:13" x14ac:dyDescent="0.35">
      <c r="A10" s="2">
        <v>60000</v>
      </c>
      <c r="B10" s="1">
        <v>0</v>
      </c>
      <c r="C10" s="1">
        <v>9</v>
      </c>
      <c r="D10" s="1">
        <v>59</v>
      </c>
      <c r="E10" s="1">
        <f>0.4*$G$3</f>
        <v>400</v>
      </c>
      <c r="F10" s="3">
        <f t="shared" si="0"/>
        <v>599400</v>
      </c>
    </row>
    <row r="11" spans="1:13" x14ac:dyDescent="0.35">
      <c r="A11" s="2">
        <v>70000</v>
      </c>
      <c r="B11" s="1">
        <v>0</v>
      </c>
      <c r="C11" s="1">
        <v>13</v>
      </c>
      <c r="D11" s="1">
        <v>46</v>
      </c>
      <c r="E11" s="1">
        <f>0.73*$G$3</f>
        <v>730</v>
      </c>
      <c r="F11" s="3">
        <f t="shared" si="0"/>
        <v>826730</v>
      </c>
    </row>
    <row r="12" spans="1:13" x14ac:dyDescent="0.35">
      <c r="A12" s="2">
        <v>80000</v>
      </c>
      <c r="B12" s="1">
        <v>0</v>
      </c>
      <c r="C12" s="1">
        <v>18</v>
      </c>
      <c r="D12" s="1">
        <v>19</v>
      </c>
      <c r="E12" s="1">
        <f>0.6*$G$3</f>
        <v>600</v>
      </c>
      <c r="F12" s="3">
        <f t="shared" si="0"/>
        <v>1099600</v>
      </c>
    </row>
    <row r="13" spans="1:13" x14ac:dyDescent="0.35">
      <c r="A13" s="2">
        <v>90000</v>
      </c>
      <c r="B13" s="1">
        <v>0</v>
      </c>
      <c r="C13" s="1">
        <v>23</v>
      </c>
      <c r="D13" s="1">
        <v>28</v>
      </c>
      <c r="E13" s="1">
        <f>0.14*$G$3</f>
        <v>140</v>
      </c>
      <c r="F13" s="3">
        <f t="shared" si="0"/>
        <v>1408140</v>
      </c>
    </row>
    <row r="14" spans="1:13" x14ac:dyDescent="0.35">
      <c r="A14" s="2">
        <v>100000</v>
      </c>
      <c r="B14" s="1">
        <v>0</v>
      </c>
      <c r="C14" s="1">
        <v>29</v>
      </c>
      <c r="D14" s="1">
        <v>7</v>
      </c>
      <c r="E14" s="1">
        <f>0.15*$G$3</f>
        <v>150</v>
      </c>
      <c r="F14" s="3">
        <f t="shared" si="0"/>
        <v>1747150</v>
      </c>
    </row>
    <row r="15" spans="1:13" x14ac:dyDescent="0.35">
      <c r="A15" s="2">
        <v>120000</v>
      </c>
      <c r="B15" s="1">
        <v>0</v>
      </c>
      <c r="C15" s="1">
        <v>42</v>
      </c>
      <c r="D15" s="1">
        <v>8</v>
      </c>
      <c r="E15" s="1">
        <f>0.55*$G$3</f>
        <v>550</v>
      </c>
      <c r="F15" s="3">
        <f t="shared" si="0"/>
        <v>2528550</v>
      </c>
    </row>
    <row r="16" spans="1:13" x14ac:dyDescent="0.35">
      <c r="A16" s="18">
        <v>140000</v>
      </c>
      <c r="B16" s="19">
        <v>0</v>
      </c>
      <c r="C16" s="19">
        <v>58</v>
      </c>
      <c r="D16" s="19">
        <v>15</v>
      </c>
      <c r="E16" s="19">
        <f>0.41*$G$3</f>
        <v>410</v>
      </c>
      <c r="F16" s="20">
        <f>E16+D16*1000+C16*60000+B16*3600000</f>
        <v>3495410</v>
      </c>
    </row>
    <row r="17" spans="1:7" x14ac:dyDescent="0.35">
      <c r="A17" s="2">
        <v>400000</v>
      </c>
      <c r="B17" s="19">
        <v>8</v>
      </c>
      <c r="C17" s="19">
        <v>7</v>
      </c>
      <c r="D17" s="19">
        <v>27</v>
      </c>
      <c r="E17" s="19">
        <f>0.56*$G$3</f>
        <v>560</v>
      </c>
      <c r="F17" s="20">
        <f>E17+D17*1000+C17*60000+B17*3600000</f>
        <v>29247560</v>
      </c>
    </row>
    <row r="18" spans="1:7" x14ac:dyDescent="0.35">
      <c r="A18" s="2">
        <v>500000</v>
      </c>
      <c r="B18" s="1">
        <v>0</v>
      </c>
      <c r="C18" s="1">
        <v>0</v>
      </c>
      <c r="D18" s="1">
        <v>0</v>
      </c>
      <c r="E18" s="1">
        <f t="shared" ref="E18:E23" si="1">0*$G$3</f>
        <v>0</v>
      </c>
      <c r="F18" s="3">
        <v>0</v>
      </c>
    </row>
    <row r="19" spans="1:7" x14ac:dyDescent="0.35">
      <c r="A19" s="2">
        <v>600000</v>
      </c>
      <c r="B19" s="1">
        <v>0</v>
      </c>
      <c r="C19" s="1">
        <v>0</v>
      </c>
      <c r="D19" s="1">
        <v>0</v>
      </c>
      <c r="E19" s="1">
        <f t="shared" si="1"/>
        <v>0</v>
      </c>
      <c r="F19" s="3">
        <f t="shared" ref="F19:F23" si="2">E18+D18*1000+C18*60000+B18*3600000</f>
        <v>0</v>
      </c>
    </row>
    <row r="20" spans="1:7" x14ac:dyDescent="0.35">
      <c r="A20" s="2">
        <v>700000</v>
      </c>
      <c r="B20" s="1">
        <v>0</v>
      </c>
      <c r="C20" s="1">
        <v>0</v>
      </c>
      <c r="D20" s="1">
        <v>0</v>
      </c>
      <c r="E20" s="1">
        <f t="shared" si="1"/>
        <v>0</v>
      </c>
      <c r="F20" s="3">
        <f t="shared" si="2"/>
        <v>0</v>
      </c>
    </row>
    <row r="21" spans="1:7" x14ac:dyDescent="0.35">
      <c r="A21" s="2">
        <v>800000</v>
      </c>
      <c r="B21" s="1">
        <v>0</v>
      </c>
      <c r="C21" s="1">
        <v>0</v>
      </c>
      <c r="D21" s="1">
        <v>0</v>
      </c>
      <c r="E21" s="1">
        <f t="shared" si="1"/>
        <v>0</v>
      </c>
      <c r="F21" s="3">
        <f t="shared" si="2"/>
        <v>0</v>
      </c>
    </row>
    <row r="22" spans="1:7" x14ac:dyDescent="0.35">
      <c r="A22" s="2">
        <v>900000</v>
      </c>
      <c r="B22" s="1">
        <v>0</v>
      </c>
      <c r="C22" s="1">
        <v>0</v>
      </c>
      <c r="D22" s="1">
        <v>0</v>
      </c>
      <c r="E22" s="1">
        <f t="shared" si="1"/>
        <v>0</v>
      </c>
      <c r="F22" s="3">
        <f t="shared" si="2"/>
        <v>0</v>
      </c>
    </row>
    <row r="23" spans="1:7" ht="15" thickBot="1" x14ac:dyDescent="0.4">
      <c r="A23" s="4">
        <v>1000000</v>
      </c>
      <c r="B23" s="5">
        <v>0</v>
      </c>
      <c r="C23" s="5">
        <v>0</v>
      </c>
      <c r="D23" s="5">
        <v>0</v>
      </c>
      <c r="E23" s="5">
        <f t="shared" si="1"/>
        <v>0</v>
      </c>
      <c r="F23" s="6">
        <f t="shared" si="2"/>
        <v>0</v>
      </c>
    </row>
    <row r="24" spans="1:7" x14ac:dyDescent="0.35">
      <c r="A24" s="10"/>
      <c r="B24" s="10"/>
      <c r="C24" s="10"/>
      <c r="D24" s="10"/>
      <c r="E24" s="10"/>
      <c r="F24" s="10"/>
    </row>
    <row r="28" spans="1:7" x14ac:dyDescent="0.35">
      <c r="A28" s="10"/>
      <c r="B28" s="10"/>
      <c r="C28" s="10"/>
      <c r="D28" s="10"/>
      <c r="E28" s="10"/>
      <c r="F28" s="10"/>
      <c r="G28" s="10"/>
    </row>
    <row r="29" spans="1:7" x14ac:dyDescent="0.35">
      <c r="A29" s="10"/>
      <c r="B29" s="10"/>
      <c r="C29" s="10"/>
      <c r="D29" s="10"/>
      <c r="E29" s="10"/>
      <c r="F29" s="10"/>
      <c r="G29" s="10"/>
    </row>
    <row r="30" spans="1:7" x14ac:dyDescent="0.35">
      <c r="A30" s="10"/>
      <c r="B30" s="10"/>
      <c r="C30" s="10"/>
      <c r="D30" s="10"/>
      <c r="E30" s="10"/>
      <c r="F30" s="10"/>
      <c r="G30" s="10"/>
    </row>
    <row r="31" spans="1:7" x14ac:dyDescent="0.35">
      <c r="A31" s="10"/>
      <c r="B31" s="10"/>
      <c r="C31" s="10"/>
      <c r="D31" s="10"/>
      <c r="E31" s="10"/>
      <c r="F31" s="10"/>
      <c r="G31" s="10"/>
    </row>
    <row r="32" spans="1:7" x14ac:dyDescent="0.35">
      <c r="A32" s="10"/>
      <c r="B32" s="10"/>
      <c r="C32" s="10"/>
      <c r="D32" s="10"/>
      <c r="E32" s="10"/>
      <c r="F32" s="10"/>
      <c r="G32" s="10"/>
    </row>
    <row r="33" spans="1:7" x14ac:dyDescent="0.35">
      <c r="A33" s="10"/>
      <c r="B33" s="10"/>
      <c r="C33" s="10"/>
      <c r="D33" s="10"/>
      <c r="E33" s="10"/>
      <c r="F33" s="10"/>
      <c r="G33" s="10"/>
    </row>
    <row r="34" spans="1:7" x14ac:dyDescent="0.35">
      <c r="A34" s="10"/>
      <c r="B34" s="10"/>
      <c r="C34" s="10"/>
      <c r="D34" s="10"/>
      <c r="E34" s="10"/>
      <c r="F34" s="10"/>
      <c r="G34" s="10"/>
    </row>
    <row r="35" spans="1:7" x14ac:dyDescent="0.35">
      <c r="A35" s="10"/>
      <c r="B35" s="10"/>
      <c r="C35" s="10"/>
      <c r="D35" s="10"/>
      <c r="E35" s="10"/>
      <c r="F35" s="10"/>
      <c r="G35" s="10"/>
    </row>
    <row r="36" spans="1:7" x14ac:dyDescent="0.35">
      <c r="A36" s="10"/>
      <c r="B36" s="10"/>
      <c r="C36" s="10"/>
      <c r="D36" s="10"/>
      <c r="E36" s="10"/>
      <c r="F36" s="10"/>
      <c r="G36" s="10"/>
    </row>
    <row r="37" spans="1:7" x14ac:dyDescent="0.35">
      <c r="A37" s="10"/>
      <c r="B37" s="10"/>
      <c r="C37" s="10"/>
      <c r="D37" s="10"/>
      <c r="E37" s="10"/>
      <c r="F37" s="10"/>
      <c r="G37" s="10"/>
    </row>
    <row r="38" spans="1:7" x14ac:dyDescent="0.35">
      <c r="A38" s="10"/>
      <c r="B38" s="10"/>
      <c r="C38" s="10"/>
      <c r="D38" s="10"/>
      <c r="E38" s="10"/>
      <c r="F38" s="10"/>
      <c r="G38" s="10"/>
    </row>
    <row r="39" spans="1:7" x14ac:dyDescent="0.35">
      <c r="A39" s="10"/>
      <c r="B39" s="10"/>
      <c r="C39" s="10"/>
      <c r="D39" s="10"/>
      <c r="E39" s="10"/>
      <c r="F39" s="10"/>
      <c r="G39" s="10"/>
    </row>
    <row r="40" spans="1:7" x14ac:dyDescent="0.35">
      <c r="A40" s="10"/>
      <c r="B40" s="10"/>
      <c r="C40" s="10"/>
      <c r="D40" s="10"/>
      <c r="E40" s="10"/>
      <c r="F40" s="10"/>
      <c r="G40" s="10"/>
    </row>
    <row r="41" spans="1:7" x14ac:dyDescent="0.35">
      <c r="A41" s="10"/>
      <c r="B41" s="10"/>
      <c r="C41" s="10"/>
      <c r="D41" s="10"/>
      <c r="E41" s="10"/>
      <c r="F41" s="10"/>
      <c r="G41" s="10"/>
    </row>
    <row r="42" spans="1:7" x14ac:dyDescent="0.35">
      <c r="A42" s="10"/>
      <c r="B42" s="10"/>
      <c r="C42" s="10"/>
      <c r="D42" s="10"/>
      <c r="E42" s="10"/>
      <c r="F42" s="10"/>
      <c r="G42" s="10"/>
    </row>
    <row r="43" spans="1:7" x14ac:dyDescent="0.35">
      <c r="A43" s="10"/>
      <c r="B43" s="10"/>
      <c r="C43" s="10"/>
      <c r="D43" s="10"/>
      <c r="E43" s="10"/>
      <c r="F43" s="10"/>
      <c r="G43" s="10"/>
    </row>
    <row r="44" spans="1:7" x14ac:dyDescent="0.35">
      <c r="A44" s="10"/>
      <c r="B44" s="10"/>
      <c r="C44" s="10"/>
      <c r="D44" s="10"/>
      <c r="E44" s="10"/>
      <c r="F44" s="10"/>
      <c r="G44" s="10"/>
    </row>
    <row r="45" spans="1:7" x14ac:dyDescent="0.35">
      <c r="A45" s="10"/>
      <c r="B45" s="10"/>
      <c r="C45" s="10"/>
      <c r="D45" s="10"/>
      <c r="E45" s="10"/>
      <c r="F45" s="10"/>
      <c r="G45" s="10"/>
    </row>
  </sheetData>
  <mergeCells count="1">
    <mergeCell ref="A1:F1"/>
  </mergeCells>
  <pageMargins left="0.7" right="0.7" top="0.75" bottom="0.75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0A8D-AF89-4CDB-A8E7-536CBD14EEB8}">
  <dimension ref="A1:M50"/>
  <sheetViews>
    <sheetView zoomScaleNormal="100" workbookViewId="0">
      <selection activeCell="E24" sqref="E24"/>
    </sheetView>
  </sheetViews>
  <sheetFormatPr baseColWidth="10" defaultRowHeight="14.5" x14ac:dyDescent="0.35"/>
  <cols>
    <col min="1" max="1" width="11.08984375" customWidth="1"/>
    <col min="2" max="2" width="13" bestFit="1" customWidth="1"/>
    <col min="3" max="3" width="14.90625" bestFit="1" customWidth="1"/>
    <col min="4" max="4" width="16" bestFit="1" customWidth="1"/>
    <col min="5" max="5" width="10.54296875" bestFit="1" customWidth="1"/>
    <col min="6" max="6" width="16.453125" bestFit="1" customWidth="1"/>
  </cols>
  <sheetData>
    <row r="1" spans="1:13" x14ac:dyDescent="0.35">
      <c r="A1" s="22" t="s">
        <v>16</v>
      </c>
      <c r="B1" s="22"/>
      <c r="C1" s="22"/>
      <c r="D1" s="22"/>
      <c r="E1" s="22"/>
      <c r="F1" s="22"/>
    </row>
    <row r="2" spans="1:13" ht="15" thickBot="1" x14ac:dyDescent="0.4"/>
    <row r="3" spans="1:13" ht="15" thickBot="1" x14ac:dyDescent="0.4">
      <c r="A3" s="7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9" t="s">
        <v>5</v>
      </c>
      <c r="G3">
        <v>1000</v>
      </c>
      <c r="I3" t="s">
        <v>6</v>
      </c>
      <c r="J3">
        <v>1000000</v>
      </c>
      <c r="L3" t="s">
        <v>7</v>
      </c>
      <c r="M3">
        <f>ROUNDDOWN(J4/86400000,0)</f>
        <v>0</v>
      </c>
    </row>
    <row r="4" spans="1:13" x14ac:dyDescent="0.35">
      <c r="A4" s="11">
        <v>0</v>
      </c>
      <c r="B4" s="12">
        <v>0</v>
      </c>
      <c r="C4" s="12">
        <v>0</v>
      </c>
      <c r="D4" s="12">
        <v>0</v>
      </c>
      <c r="E4" s="12">
        <f>0*$G$3</f>
        <v>0</v>
      </c>
      <c r="F4" s="13">
        <f>E4+D4*1000+C4*60000+B4*3600000</f>
        <v>0</v>
      </c>
      <c r="I4" t="s">
        <v>11</v>
      </c>
      <c r="J4">
        <f>7*10^(-6) * J3 * J3 + 0.644* J3 - 24800</f>
        <v>7619200</v>
      </c>
      <c r="L4" t="s">
        <v>8</v>
      </c>
      <c r="M4">
        <f>ROUNDDOWN((J4/86400000 - ROUNDDOWN(J4/86400000,0) )* 24,0)</f>
        <v>2</v>
      </c>
    </row>
    <row r="5" spans="1:13" x14ac:dyDescent="0.35">
      <c r="A5" s="2">
        <v>10000</v>
      </c>
      <c r="B5" s="1">
        <v>0</v>
      </c>
      <c r="C5" s="1">
        <v>0</v>
      </c>
      <c r="D5" s="1">
        <v>0</v>
      </c>
      <c r="E5" s="1">
        <f>0.62*$G$3</f>
        <v>620</v>
      </c>
      <c r="F5" s="3">
        <f t="shared" ref="F5:F7" si="0">E5+D5*1000+C5*60000+B5*3600000</f>
        <v>620</v>
      </c>
      <c r="L5" t="s">
        <v>9</v>
      </c>
      <c r="M5">
        <f>ROUNDDOWN(((J4/86400000-ROUNDDOWN(J4/86400000,0))*24-M4)*60,0)</f>
        <v>6</v>
      </c>
    </row>
    <row r="6" spans="1:13" x14ac:dyDescent="0.35">
      <c r="A6" s="2">
        <v>20000</v>
      </c>
      <c r="B6" s="1">
        <v>0</v>
      </c>
      <c r="C6" s="1">
        <v>0</v>
      </c>
      <c r="D6" s="1">
        <v>2</v>
      </c>
      <c r="E6" s="1">
        <f>0.15*$G$3</f>
        <v>150</v>
      </c>
      <c r="F6" s="3">
        <f t="shared" si="0"/>
        <v>2150</v>
      </c>
      <c r="L6" t="s">
        <v>10</v>
      </c>
      <c r="M6">
        <f>ROUNDDOWN((((J4/86400000-ROUNDDOWN(J4/86400000,0))*24-M4)*60 - M5) * 60,0)</f>
        <v>59</v>
      </c>
    </row>
    <row r="7" spans="1:13" x14ac:dyDescent="0.35">
      <c r="A7" s="2">
        <v>30000</v>
      </c>
      <c r="B7" s="1">
        <v>0</v>
      </c>
      <c r="C7" s="1">
        <v>0</v>
      </c>
      <c r="D7" s="1">
        <v>8</v>
      </c>
      <c r="E7" s="1">
        <f>0.14*$G$3</f>
        <v>140</v>
      </c>
      <c r="F7" s="3">
        <f t="shared" si="0"/>
        <v>8140</v>
      </c>
      <c r="L7" t="s">
        <v>12</v>
      </c>
      <c r="M7">
        <f>((((J4/86400000-ROUNDDOWN(J4/86400000,0))*24-M4)*60 - M5) * 60 - M6) * 1000</f>
        <v>199.99999999966178</v>
      </c>
    </row>
    <row r="8" spans="1:13" x14ac:dyDescent="0.35">
      <c r="A8" s="2">
        <v>40000</v>
      </c>
      <c r="B8" s="1">
        <v>0</v>
      </c>
      <c r="C8" s="1">
        <v>0</v>
      </c>
      <c r="D8" s="1">
        <v>20</v>
      </c>
      <c r="E8" s="1">
        <f>0.43*$G$3</f>
        <v>430</v>
      </c>
      <c r="F8" s="3">
        <f t="shared" ref="F8:F16" si="1">E8+D8*1000+C8*60000+B8*3600000</f>
        <v>20430</v>
      </c>
    </row>
    <row r="9" spans="1:13" x14ac:dyDescent="0.35">
      <c r="A9" s="2">
        <v>50000</v>
      </c>
      <c r="B9" s="1">
        <v>0</v>
      </c>
      <c r="C9" s="1">
        <v>0</v>
      </c>
      <c r="D9" s="1">
        <v>37</v>
      </c>
      <c r="E9" s="1">
        <f>0.49*$G$3</f>
        <v>490</v>
      </c>
      <c r="F9" s="3">
        <f t="shared" si="1"/>
        <v>37490</v>
      </c>
    </row>
    <row r="10" spans="1:13" x14ac:dyDescent="0.35">
      <c r="A10" s="2">
        <v>60000</v>
      </c>
      <c r="B10" s="1">
        <v>0</v>
      </c>
      <c r="C10" s="1">
        <v>0</v>
      </c>
      <c r="D10" s="1">
        <v>51</v>
      </c>
      <c r="E10" s="1">
        <f>0.6*$G$3</f>
        <v>600</v>
      </c>
      <c r="F10" s="3">
        <f t="shared" si="1"/>
        <v>51600</v>
      </c>
    </row>
    <row r="11" spans="1:13" x14ac:dyDescent="0.35">
      <c r="A11" s="2">
        <v>70000</v>
      </c>
      <c r="B11" s="1">
        <v>0</v>
      </c>
      <c r="C11" s="1">
        <v>0</v>
      </c>
      <c r="D11" s="1">
        <v>58</v>
      </c>
      <c r="E11" s="1">
        <f>0.36*$G$3</f>
        <v>360</v>
      </c>
      <c r="F11" s="3">
        <f t="shared" si="1"/>
        <v>58360</v>
      </c>
    </row>
    <row r="12" spans="1:13" x14ac:dyDescent="0.35">
      <c r="A12" s="2">
        <v>80000</v>
      </c>
      <c r="B12" s="1">
        <v>0</v>
      </c>
      <c r="C12" s="1">
        <v>1</v>
      </c>
      <c r="D12" s="1">
        <v>12</v>
      </c>
      <c r="E12" s="1">
        <f>0.88*$G$3</f>
        <v>880</v>
      </c>
      <c r="F12" s="3">
        <f t="shared" si="1"/>
        <v>72880</v>
      </c>
    </row>
    <row r="13" spans="1:13" x14ac:dyDescent="0.35">
      <c r="A13" s="2">
        <v>90000</v>
      </c>
      <c r="B13" s="1">
        <v>0</v>
      </c>
      <c r="C13" s="1">
        <v>1</v>
      </c>
      <c r="D13" s="1">
        <v>33</v>
      </c>
      <c r="E13" s="1">
        <f>0.72*$G$3</f>
        <v>720</v>
      </c>
      <c r="F13" s="3">
        <f t="shared" si="1"/>
        <v>93720</v>
      </c>
    </row>
    <row r="14" spans="1:13" x14ac:dyDescent="0.35">
      <c r="A14" s="2">
        <v>100000</v>
      </c>
      <c r="B14" s="1">
        <v>0</v>
      </c>
      <c r="C14" s="1">
        <v>1</v>
      </c>
      <c r="D14" s="1">
        <v>59</v>
      </c>
      <c r="E14" s="1">
        <f>0.67*$G$3</f>
        <v>670</v>
      </c>
      <c r="F14" s="3">
        <f t="shared" si="1"/>
        <v>119670</v>
      </c>
    </row>
    <row r="15" spans="1:13" x14ac:dyDescent="0.35">
      <c r="A15" s="2">
        <v>120000</v>
      </c>
      <c r="B15" s="1">
        <v>0</v>
      </c>
      <c r="C15" s="1">
        <v>2</v>
      </c>
      <c r="D15" s="1">
        <v>28</v>
      </c>
      <c r="E15" s="1">
        <f>0.81*$G$3</f>
        <v>810</v>
      </c>
      <c r="F15" s="3">
        <f t="shared" si="1"/>
        <v>148810</v>
      </c>
    </row>
    <row r="16" spans="1:13" x14ac:dyDescent="0.35">
      <c r="A16" s="18">
        <v>140000</v>
      </c>
      <c r="B16" s="1">
        <v>0</v>
      </c>
      <c r="C16" s="1">
        <v>3</v>
      </c>
      <c r="D16" s="1">
        <v>21</v>
      </c>
      <c r="E16" s="1">
        <f>0.11*$G$3</f>
        <v>110</v>
      </c>
      <c r="F16" s="3">
        <f t="shared" si="1"/>
        <v>201110</v>
      </c>
    </row>
    <row r="17" spans="1:6" x14ac:dyDescent="0.35">
      <c r="A17" s="18">
        <v>160000</v>
      </c>
      <c r="B17" s="19">
        <v>0</v>
      </c>
      <c r="C17" s="19">
        <v>4</v>
      </c>
      <c r="D17" s="19">
        <v>8</v>
      </c>
      <c r="E17" s="19">
        <f>0.72*$G$3</f>
        <v>720</v>
      </c>
      <c r="F17" s="20">
        <f>E17+D17*1000+C17*60000+B17*3600000</f>
        <v>248720</v>
      </c>
    </row>
    <row r="18" spans="1:6" x14ac:dyDescent="0.35">
      <c r="A18" s="18">
        <v>180000</v>
      </c>
      <c r="B18" s="19">
        <v>0</v>
      </c>
      <c r="C18" s="19">
        <v>5</v>
      </c>
      <c r="D18" s="19">
        <v>8</v>
      </c>
      <c r="E18" s="1">
        <f t="shared" ref="E18" si="2">0.11*$G$3</f>
        <v>110</v>
      </c>
      <c r="F18" s="3">
        <f t="shared" ref="F18:F20" si="3">E18+D18*1000+C18*60000+B18*3600000</f>
        <v>308110</v>
      </c>
    </row>
    <row r="19" spans="1:6" x14ac:dyDescent="0.35">
      <c r="A19" s="18">
        <v>200000</v>
      </c>
      <c r="B19" s="19">
        <v>0</v>
      </c>
      <c r="C19" s="19">
        <v>6</v>
      </c>
      <c r="D19" s="19">
        <v>19</v>
      </c>
      <c r="E19" s="19">
        <f>0.71*$G$3</f>
        <v>710</v>
      </c>
      <c r="F19" s="3">
        <f t="shared" si="3"/>
        <v>379710</v>
      </c>
    </row>
    <row r="20" spans="1:6" x14ac:dyDescent="0.35">
      <c r="A20" s="18">
        <v>253000</v>
      </c>
      <c r="B20" s="19">
        <v>0</v>
      </c>
      <c r="C20" s="19">
        <v>9</v>
      </c>
      <c r="D20" s="19">
        <v>52</v>
      </c>
      <c r="E20" s="1">
        <f>0.66*$G$3</f>
        <v>660</v>
      </c>
      <c r="F20" s="3">
        <f t="shared" si="3"/>
        <v>592660</v>
      </c>
    </row>
    <row r="21" spans="1:6" x14ac:dyDescent="0.35">
      <c r="A21" s="18">
        <v>305000</v>
      </c>
      <c r="B21" s="19">
        <v>0</v>
      </c>
      <c r="C21" s="19">
        <v>13</v>
      </c>
      <c r="D21" s="19">
        <v>18</v>
      </c>
      <c r="E21" s="19">
        <f>0.73*$G$3</f>
        <v>730</v>
      </c>
      <c r="F21" s="20">
        <f>E21+D21*1000+C21*60000+B21*3600000</f>
        <v>798730</v>
      </c>
    </row>
    <row r="22" spans="1:6" x14ac:dyDescent="0.35">
      <c r="A22" s="2">
        <v>400000</v>
      </c>
      <c r="B22" s="19">
        <v>0</v>
      </c>
      <c r="C22" s="19">
        <v>22</v>
      </c>
      <c r="D22" s="19">
        <v>18</v>
      </c>
      <c r="E22" s="19">
        <f>0.3*$G$3</f>
        <v>300</v>
      </c>
      <c r="F22" s="20">
        <f>E22+D22*1000+C22*60000+B22*3600000</f>
        <v>1338300</v>
      </c>
    </row>
    <row r="23" spans="1:6" x14ac:dyDescent="0.35">
      <c r="A23" s="2">
        <v>500000</v>
      </c>
      <c r="B23" s="1">
        <v>0</v>
      </c>
      <c r="C23" s="1">
        <v>34</v>
      </c>
      <c r="D23" s="1">
        <v>44</v>
      </c>
      <c r="E23" s="1">
        <f>0.86*$G$3</f>
        <v>860</v>
      </c>
      <c r="F23" s="20">
        <f>E23+D23*1000+C23*60000+B23*3600000</f>
        <v>2084860</v>
      </c>
    </row>
    <row r="24" spans="1:6" x14ac:dyDescent="0.35">
      <c r="A24" s="2">
        <v>600000</v>
      </c>
      <c r="B24" s="1">
        <v>0</v>
      </c>
      <c r="C24" s="1">
        <v>49</v>
      </c>
      <c r="D24" s="1">
        <v>49</v>
      </c>
      <c r="E24" s="1">
        <f>0.57*$G$3</f>
        <v>570</v>
      </c>
      <c r="F24" s="20">
        <f t="shared" ref="F24:F28" si="4">E24+D24*1000+C24*60000+B24*3600000</f>
        <v>2989570</v>
      </c>
    </row>
    <row r="25" spans="1:6" x14ac:dyDescent="0.35">
      <c r="A25" s="2">
        <v>700000</v>
      </c>
      <c r="B25" s="1">
        <v>1</v>
      </c>
      <c r="C25" s="1">
        <v>8</v>
      </c>
      <c r="D25" s="1">
        <v>19</v>
      </c>
      <c r="E25" s="1">
        <f>0.92*$G$3</f>
        <v>920</v>
      </c>
      <c r="F25" s="20">
        <f t="shared" si="4"/>
        <v>4099920</v>
      </c>
    </row>
    <row r="26" spans="1:6" x14ac:dyDescent="0.35">
      <c r="A26" s="2">
        <v>805000</v>
      </c>
      <c r="B26" s="1">
        <v>1</v>
      </c>
      <c r="C26" s="1">
        <v>29</v>
      </c>
      <c r="D26" s="1">
        <v>37</v>
      </c>
      <c r="E26" s="1">
        <f>0.74*$G$3</f>
        <v>740</v>
      </c>
      <c r="F26" s="20">
        <f t="shared" si="4"/>
        <v>5377740</v>
      </c>
    </row>
    <row r="27" spans="1:6" x14ac:dyDescent="0.35">
      <c r="A27" s="2">
        <v>900000</v>
      </c>
      <c r="B27" s="1">
        <v>1</v>
      </c>
      <c r="C27" s="1">
        <v>47</v>
      </c>
      <c r="D27" s="1">
        <v>40</v>
      </c>
      <c r="E27" s="1">
        <f>0.45*$G$3</f>
        <v>450</v>
      </c>
      <c r="F27" s="20">
        <f t="shared" si="4"/>
        <v>6460450</v>
      </c>
    </row>
    <row r="28" spans="1:6" ht="15" thickBot="1" x14ac:dyDescent="0.4">
      <c r="A28" s="4">
        <v>1000000</v>
      </c>
      <c r="B28" s="5">
        <v>2</v>
      </c>
      <c r="C28" s="5">
        <v>10</v>
      </c>
      <c r="D28" s="5">
        <v>2</v>
      </c>
      <c r="E28" s="5">
        <f>0.5*$G$3</f>
        <v>500</v>
      </c>
      <c r="F28" s="20">
        <f t="shared" si="4"/>
        <v>7802500</v>
      </c>
    </row>
    <row r="29" spans="1:6" x14ac:dyDescent="0.35">
      <c r="A29" s="10"/>
      <c r="B29" s="10"/>
      <c r="C29" s="10"/>
      <c r="D29" s="10"/>
      <c r="E29" s="10"/>
      <c r="F29" s="10"/>
    </row>
    <row r="33" spans="1:7" x14ac:dyDescent="0.35">
      <c r="A33" s="10"/>
      <c r="B33" s="10"/>
      <c r="C33" s="10"/>
      <c r="D33" s="10"/>
      <c r="E33" s="10"/>
      <c r="F33" s="10"/>
      <c r="G33" s="10"/>
    </row>
    <row r="34" spans="1:7" x14ac:dyDescent="0.35">
      <c r="A34" s="10"/>
      <c r="B34" s="10"/>
      <c r="C34" s="10"/>
      <c r="D34" s="10"/>
      <c r="E34" s="10"/>
      <c r="F34" s="10"/>
      <c r="G34" s="10"/>
    </row>
    <row r="35" spans="1:7" x14ac:dyDescent="0.35">
      <c r="A35" s="10"/>
      <c r="B35" s="10"/>
      <c r="C35" s="10"/>
      <c r="D35" s="10"/>
      <c r="E35" s="10"/>
      <c r="F35" s="10"/>
      <c r="G35" s="10"/>
    </row>
    <row r="36" spans="1:7" x14ac:dyDescent="0.35">
      <c r="A36" s="10"/>
      <c r="B36" s="10"/>
      <c r="C36" s="10"/>
      <c r="D36" s="10"/>
      <c r="E36" s="10"/>
      <c r="F36" s="10"/>
      <c r="G36" s="10"/>
    </row>
    <row r="37" spans="1:7" x14ac:dyDescent="0.35">
      <c r="A37" s="10"/>
      <c r="B37" s="10"/>
      <c r="C37" s="10"/>
      <c r="D37" s="10"/>
      <c r="E37" s="10"/>
      <c r="F37" s="10"/>
      <c r="G37" s="10"/>
    </row>
    <row r="38" spans="1:7" x14ac:dyDescent="0.35">
      <c r="A38" s="10"/>
      <c r="B38" s="10"/>
      <c r="C38" s="10"/>
      <c r="D38" s="10"/>
      <c r="E38" s="10"/>
      <c r="F38" s="10"/>
      <c r="G38" s="10"/>
    </row>
    <row r="39" spans="1:7" x14ac:dyDescent="0.35">
      <c r="A39" s="10"/>
      <c r="B39" s="10"/>
      <c r="C39" s="10"/>
      <c r="D39" s="10"/>
      <c r="E39" s="10"/>
      <c r="F39" s="10"/>
      <c r="G39" s="10"/>
    </row>
    <row r="40" spans="1:7" x14ac:dyDescent="0.35">
      <c r="A40" s="10"/>
      <c r="B40" s="10"/>
      <c r="C40" s="10"/>
      <c r="D40" s="10"/>
      <c r="E40" s="10"/>
      <c r="F40" s="10"/>
      <c r="G40" s="10"/>
    </row>
    <row r="41" spans="1:7" x14ac:dyDescent="0.35">
      <c r="A41" s="10"/>
      <c r="B41" s="10"/>
      <c r="C41" s="10"/>
      <c r="D41" s="10"/>
      <c r="E41" s="10"/>
      <c r="F41" s="10"/>
      <c r="G41" s="10"/>
    </row>
    <row r="42" spans="1:7" x14ac:dyDescent="0.35">
      <c r="A42" s="10"/>
      <c r="B42" s="10"/>
      <c r="C42" s="10"/>
      <c r="D42" s="10"/>
      <c r="E42" s="10"/>
      <c r="F42" s="10"/>
      <c r="G42" s="10"/>
    </row>
    <row r="43" spans="1:7" x14ac:dyDescent="0.35">
      <c r="A43" s="10"/>
      <c r="B43" s="10"/>
      <c r="C43" s="10"/>
      <c r="D43" s="10"/>
      <c r="E43" s="10"/>
      <c r="F43" s="10"/>
      <c r="G43" s="10"/>
    </row>
    <row r="44" spans="1:7" x14ac:dyDescent="0.35">
      <c r="A44" s="10"/>
      <c r="B44" s="10"/>
      <c r="C44" s="10"/>
      <c r="D44" s="10"/>
      <c r="E44" s="10"/>
      <c r="F44" s="10"/>
      <c r="G44" s="10"/>
    </row>
    <row r="45" spans="1:7" x14ac:dyDescent="0.35">
      <c r="A45" s="10"/>
      <c r="B45" s="10"/>
      <c r="C45" s="10"/>
      <c r="D45" s="10"/>
      <c r="E45" s="10"/>
      <c r="F45" s="10"/>
      <c r="G45" s="10"/>
    </row>
    <row r="46" spans="1:7" x14ac:dyDescent="0.35">
      <c r="A46" s="10"/>
      <c r="B46" s="10"/>
      <c r="C46" s="10"/>
      <c r="D46" s="10"/>
      <c r="E46" s="10"/>
      <c r="F46" s="10"/>
      <c r="G46" s="10"/>
    </row>
    <row r="47" spans="1:7" x14ac:dyDescent="0.35">
      <c r="A47" s="10"/>
      <c r="B47" s="10"/>
      <c r="C47" s="10"/>
      <c r="D47" s="10"/>
      <c r="E47" s="10"/>
      <c r="F47" s="10"/>
      <c r="G47" s="10"/>
    </row>
    <row r="48" spans="1:7" x14ac:dyDescent="0.35">
      <c r="A48" s="10"/>
      <c r="B48" s="10"/>
      <c r="C48" s="10"/>
      <c r="D48" s="10"/>
      <c r="E48" s="10"/>
      <c r="F48" s="10"/>
      <c r="G48" s="10"/>
    </row>
    <row r="49" spans="1:7" x14ac:dyDescent="0.35">
      <c r="A49" s="10"/>
      <c r="B49" s="10"/>
      <c r="C49" s="10"/>
      <c r="D49" s="10"/>
      <c r="E49" s="10"/>
      <c r="F49" s="10"/>
      <c r="G49" s="10"/>
    </row>
    <row r="50" spans="1:7" x14ac:dyDescent="0.35">
      <c r="A50" s="10"/>
      <c r="B50" s="10"/>
      <c r="C50" s="10"/>
      <c r="D50" s="10"/>
      <c r="E50" s="10"/>
      <c r="F50" s="10"/>
      <c r="G50" s="10"/>
    </row>
  </sheetData>
  <mergeCells count="1">
    <mergeCell ref="A1:F1"/>
  </mergeCells>
  <pageMargins left="0.7" right="0.7" top="0.75" bottom="0.75" header="0.3" footer="0.3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646E-D5B8-428B-9312-A9C4AFBE8DEF}">
  <dimension ref="A1:M42"/>
  <sheetViews>
    <sheetView zoomScaleNormal="100" workbookViewId="0">
      <selection activeCell="M3" sqref="M3"/>
    </sheetView>
  </sheetViews>
  <sheetFormatPr baseColWidth="10" defaultRowHeight="14.5" x14ac:dyDescent="0.35"/>
  <cols>
    <col min="1" max="1" width="11.08984375" customWidth="1"/>
    <col min="2" max="2" width="13" bestFit="1" customWidth="1"/>
    <col min="3" max="3" width="14.90625" bestFit="1" customWidth="1"/>
    <col min="4" max="4" width="16" bestFit="1" customWidth="1"/>
    <col min="5" max="5" width="10.54296875" bestFit="1" customWidth="1"/>
    <col min="6" max="6" width="16.453125" bestFit="1" customWidth="1"/>
  </cols>
  <sheetData>
    <row r="1" spans="1:13" x14ac:dyDescent="0.35">
      <c r="A1" s="22" t="s">
        <v>17</v>
      </c>
      <c r="B1" s="22"/>
      <c r="C1" s="22"/>
      <c r="D1" s="22"/>
      <c r="E1" s="22"/>
      <c r="F1" s="22"/>
    </row>
    <row r="2" spans="1:13" ht="15" thickBot="1" x14ac:dyDescent="0.4"/>
    <row r="3" spans="1:13" ht="15" thickBot="1" x14ac:dyDescent="0.4">
      <c r="A3" s="7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9" t="s">
        <v>5</v>
      </c>
      <c r="G3">
        <v>1000</v>
      </c>
      <c r="I3" t="s">
        <v>6</v>
      </c>
      <c r="J3">
        <v>1000000</v>
      </c>
      <c r="L3" t="s">
        <v>7</v>
      </c>
      <c r="M3">
        <f>ROUNDDOWN(J4/86400000,0)</f>
        <v>0</v>
      </c>
    </row>
    <row r="4" spans="1:13" x14ac:dyDescent="0.35">
      <c r="A4" s="11">
        <v>0</v>
      </c>
      <c r="B4" s="12">
        <v>0</v>
      </c>
      <c r="C4" s="12">
        <v>0</v>
      </c>
      <c r="D4" s="12">
        <v>0</v>
      </c>
      <c r="E4" s="12">
        <f>0*$G$3</f>
        <v>0</v>
      </c>
      <c r="F4" s="13">
        <f>E4+D4*1000+C4*60000+B4*3600000</f>
        <v>0</v>
      </c>
      <c r="I4" t="s">
        <v>11</v>
      </c>
      <c r="J4">
        <f>2*10^(-5) * J3 * J3 + 0.1536* J3 - 29051</f>
        <v>20124549</v>
      </c>
      <c r="L4" t="s">
        <v>8</v>
      </c>
      <c r="M4">
        <f>ROUNDDOWN((J4/86400000 - ROUNDDOWN(J4/86400000,0) )* 24,0)</f>
        <v>5</v>
      </c>
    </row>
    <row r="5" spans="1:13" x14ac:dyDescent="0.35">
      <c r="A5" s="2">
        <v>10000</v>
      </c>
      <c r="B5" s="1">
        <v>0</v>
      </c>
      <c r="C5" s="1">
        <v>0</v>
      </c>
      <c r="D5" s="1">
        <v>0</v>
      </c>
      <c r="E5" s="1">
        <f>0.62*$G$3</f>
        <v>620</v>
      </c>
      <c r="F5" s="3">
        <f t="shared" ref="F5:F16" si="0">E5+D5*1000+C5*60000+B5*3600000</f>
        <v>620</v>
      </c>
      <c r="L5" t="s">
        <v>9</v>
      </c>
      <c r="M5">
        <f>ROUNDDOWN(((J4/86400000-ROUNDDOWN(J4/86400000,0))*24-M4)*60,0)</f>
        <v>35</v>
      </c>
    </row>
    <row r="6" spans="1:13" x14ac:dyDescent="0.35">
      <c r="A6" s="2">
        <v>20000</v>
      </c>
      <c r="B6" s="1">
        <v>0</v>
      </c>
      <c r="C6" s="1">
        <v>0</v>
      </c>
      <c r="D6" s="1">
        <v>1</v>
      </c>
      <c r="E6" s="1">
        <f>0.95*$G$3</f>
        <v>950</v>
      </c>
      <c r="F6" s="3">
        <f t="shared" si="0"/>
        <v>1950</v>
      </c>
      <c r="L6" t="s">
        <v>10</v>
      </c>
      <c r="M6">
        <f>ROUNDDOWN((((J4/86400000-ROUNDDOWN(J4/86400000,0))*24-M4)*60 - M5) * 60,0)</f>
        <v>24</v>
      </c>
    </row>
    <row r="7" spans="1:13" x14ac:dyDescent="0.35">
      <c r="A7" s="2">
        <v>30000</v>
      </c>
      <c r="B7" s="1">
        <v>0</v>
      </c>
      <c r="C7" s="1">
        <v>0</v>
      </c>
      <c r="D7" s="1">
        <v>3</v>
      </c>
      <c r="E7" s="1">
        <f>0.88*$G$3</f>
        <v>880</v>
      </c>
      <c r="F7" s="3">
        <f t="shared" si="0"/>
        <v>3880</v>
      </c>
      <c r="L7" t="s">
        <v>12</v>
      </c>
      <c r="M7">
        <f>((((J4/86400000-ROUNDDOWN(J4/86400000,0))*24-M4)*60 - M5) * 60 - M6) * 1000</f>
        <v>549.00000000108662</v>
      </c>
    </row>
    <row r="8" spans="1:13" x14ac:dyDescent="0.35">
      <c r="A8" s="2">
        <v>40000</v>
      </c>
      <c r="B8" s="1">
        <v>0</v>
      </c>
      <c r="C8" s="1">
        <v>0</v>
      </c>
      <c r="D8" s="1">
        <v>6</v>
      </c>
      <c r="E8" s="1">
        <f>0.73*$G$3</f>
        <v>730</v>
      </c>
      <c r="F8" s="3">
        <f t="shared" si="0"/>
        <v>6730</v>
      </c>
    </row>
    <row r="9" spans="1:13" x14ac:dyDescent="0.35">
      <c r="A9" s="2">
        <v>50000</v>
      </c>
      <c r="B9" s="1">
        <v>0</v>
      </c>
      <c r="C9" s="1">
        <v>0</v>
      </c>
      <c r="D9" s="1">
        <v>11</v>
      </c>
      <c r="E9" s="1">
        <f>0.36*$G$3</f>
        <v>360</v>
      </c>
      <c r="F9" s="3">
        <f t="shared" si="0"/>
        <v>11360</v>
      </c>
    </row>
    <row r="10" spans="1:13" x14ac:dyDescent="0.35">
      <c r="A10" s="2">
        <v>60000</v>
      </c>
      <c r="B10" s="1">
        <v>0</v>
      </c>
      <c r="C10" s="1">
        <v>0</v>
      </c>
      <c r="D10" s="1">
        <v>20</v>
      </c>
      <c r="E10" s="1">
        <f>0.85*$G$3</f>
        <v>850</v>
      </c>
      <c r="F10" s="3">
        <f t="shared" si="0"/>
        <v>20850</v>
      </c>
    </row>
    <row r="11" spans="1:13" x14ac:dyDescent="0.35">
      <c r="A11" s="2">
        <v>70000</v>
      </c>
      <c r="B11" s="1">
        <v>0</v>
      </c>
      <c r="C11" s="1">
        <v>0</v>
      </c>
      <c r="D11" s="1">
        <v>37</v>
      </c>
      <c r="E11" s="1">
        <f>0.13*$G$3</f>
        <v>130</v>
      </c>
      <c r="F11" s="3">
        <f t="shared" si="0"/>
        <v>37130</v>
      </c>
    </row>
    <row r="12" spans="1:13" x14ac:dyDescent="0.35">
      <c r="A12" s="2">
        <v>80000</v>
      </c>
      <c r="B12" s="1">
        <v>0</v>
      </c>
      <c r="C12" s="1">
        <v>0</v>
      </c>
      <c r="D12" s="1">
        <v>58</v>
      </c>
      <c r="E12" s="1">
        <f>0.33*$G$3</f>
        <v>330</v>
      </c>
      <c r="F12" s="3">
        <f t="shared" si="0"/>
        <v>58330</v>
      </c>
    </row>
    <row r="13" spans="1:13" x14ac:dyDescent="0.35">
      <c r="A13" s="2">
        <v>90000</v>
      </c>
      <c r="B13" s="1">
        <v>0</v>
      </c>
      <c r="C13" s="1">
        <v>1</v>
      </c>
      <c r="D13" s="1">
        <v>25</v>
      </c>
      <c r="E13" s="1">
        <f>0.83*$G$3</f>
        <v>830</v>
      </c>
      <c r="F13" s="3">
        <f t="shared" si="0"/>
        <v>85830</v>
      </c>
    </row>
    <row r="14" spans="1:13" x14ac:dyDescent="0.35">
      <c r="A14" s="2">
        <v>100000</v>
      </c>
      <c r="B14" s="1">
        <v>0</v>
      </c>
      <c r="C14" s="1">
        <v>2</v>
      </c>
      <c r="D14" s="1">
        <v>0</v>
      </c>
      <c r="E14" s="1">
        <f>0.3*$G$3</f>
        <v>300</v>
      </c>
      <c r="F14" s="3">
        <f t="shared" si="0"/>
        <v>120300</v>
      </c>
    </row>
    <row r="15" spans="1:13" x14ac:dyDescent="0.35">
      <c r="A15" s="2">
        <v>120000</v>
      </c>
      <c r="B15" s="1">
        <v>0</v>
      </c>
      <c r="C15" s="1">
        <v>3</v>
      </c>
      <c r="D15" s="1">
        <v>25</v>
      </c>
      <c r="E15" s="1">
        <f>0.65*$G$3</f>
        <v>650</v>
      </c>
      <c r="F15" s="3">
        <f t="shared" si="0"/>
        <v>205650</v>
      </c>
    </row>
    <row r="16" spans="1:13" x14ac:dyDescent="0.35">
      <c r="A16" s="18">
        <v>140000</v>
      </c>
      <c r="B16" s="1">
        <v>0</v>
      </c>
      <c r="C16" s="1">
        <v>5</v>
      </c>
      <c r="D16" s="1">
        <v>2</v>
      </c>
      <c r="E16" s="1">
        <f>0.74*$G$3</f>
        <v>740</v>
      </c>
      <c r="F16" s="3">
        <f t="shared" si="0"/>
        <v>302740</v>
      </c>
    </row>
    <row r="17" spans="1:7" x14ac:dyDescent="0.35">
      <c r="A17" s="18">
        <v>160000</v>
      </c>
      <c r="B17" s="19">
        <v>0</v>
      </c>
      <c r="C17" s="19">
        <v>7</v>
      </c>
      <c r="D17" s="19">
        <v>5</v>
      </c>
      <c r="E17" s="19">
        <f>0.73*$G$3</f>
        <v>730</v>
      </c>
      <c r="F17" s="20">
        <f>E17+D17*1000+C17*60000+B17*3600000</f>
        <v>425730</v>
      </c>
    </row>
    <row r="18" spans="1:7" x14ac:dyDescent="0.35">
      <c r="A18" s="18">
        <v>180000</v>
      </c>
      <c r="B18" s="19">
        <v>0</v>
      </c>
      <c r="C18" s="19">
        <v>9</v>
      </c>
      <c r="D18" s="19">
        <v>17</v>
      </c>
      <c r="E18" s="1">
        <f>0.99*$G$3</f>
        <v>990</v>
      </c>
      <c r="F18" s="3">
        <f t="shared" ref="F18:F19" si="1">E18+D18*1000+C18*60000+B18*3600000</f>
        <v>557990</v>
      </c>
    </row>
    <row r="19" spans="1:7" x14ac:dyDescent="0.35">
      <c r="A19" s="18">
        <v>200000</v>
      </c>
      <c r="B19" s="19">
        <v>0</v>
      </c>
      <c r="C19" s="19">
        <v>11</v>
      </c>
      <c r="D19" s="19">
        <v>49</v>
      </c>
      <c r="E19" s="19">
        <f>0.37*$G$3</f>
        <v>370</v>
      </c>
      <c r="F19" s="3">
        <f t="shared" si="1"/>
        <v>709370</v>
      </c>
    </row>
    <row r="20" spans="1:7" ht="15" thickBot="1" x14ac:dyDescent="0.4">
      <c r="A20" s="4">
        <v>1000000</v>
      </c>
      <c r="B20" s="21">
        <v>4</v>
      </c>
      <c r="C20" s="21">
        <v>36</v>
      </c>
      <c r="D20" s="21">
        <v>10</v>
      </c>
      <c r="E20" s="21">
        <f>0.81*$G$3</f>
        <v>810</v>
      </c>
      <c r="F20" s="17">
        <f t="shared" ref="F20" si="2">E20+D20*1000+C20*60000+B20*3600000</f>
        <v>16570810</v>
      </c>
      <c r="G20" s="10"/>
    </row>
    <row r="21" spans="1:7" x14ac:dyDescent="0.35">
      <c r="A21" s="10"/>
      <c r="B21" s="10"/>
      <c r="C21" s="10"/>
      <c r="D21" s="10"/>
      <c r="E21" s="10"/>
      <c r="F21" s="10"/>
      <c r="G21" s="10"/>
    </row>
    <row r="22" spans="1:7" x14ac:dyDescent="0.35">
      <c r="G22" s="10"/>
    </row>
    <row r="23" spans="1:7" x14ac:dyDescent="0.35">
      <c r="G23" s="10"/>
    </row>
    <row r="24" spans="1:7" x14ac:dyDescent="0.35">
      <c r="G24" s="10"/>
    </row>
    <row r="25" spans="1:7" x14ac:dyDescent="0.35">
      <c r="A25" s="10"/>
      <c r="B25" s="10"/>
      <c r="C25" s="10"/>
      <c r="D25" s="10"/>
      <c r="E25" s="10"/>
      <c r="F25" s="10"/>
      <c r="G25" s="10"/>
    </row>
    <row r="26" spans="1:7" x14ac:dyDescent="0.35">
      <c r="A26" s="10"/>
      <c r="B26" s="10"/>
      <c r="C26" s="10"/>
      <c r="D26" s="10"/>
      <c r="E26" s="10"/>
      <c r="F26" s="10"/>
      <c r="G26" s="10"/>
    </row>
    <row r="27" spans="1:7" x14ac:dyDescent="0.35">
      <c r="A27" s="10"/>
      <c r="B27" s="10"/>
      <c r="C27" s="10"/>
      <c r="D27" s="10"/>
      <c r="E27" s="10"/>
      <c r="F27" s="10"/>
      <c r="G27" s="10"/>
    </row>
    <row r="28" spans="1:7" x14ac:dyDescent="0.35">
      <c r="A28" s="10"/>
      <c r="B28" s="10"/>
      <c r="C28" s="10"/>
      <c r="D28" s="10"/>
      <c r="E28" s="10"/>
      <c r="F28" s="10"/>
      <c r="G28" s="10"/>
    </row>
    <row r="29" spans="1:7" x14ac:dyDescent="0.35">
      <c r="A29" s="10"/>
      <c r="B29" s="10"/>
      <c r="C29" s="10"/>
      <c r="D29" s="10"/>
      <c r="E29" s="10"/>
      <c r="F29" s="10"/>
      <c r="G29" s="10"/>
    </row>
    <row r="30" spans="1:7" x14ac:dyDescent="0.35">
      <c r="A30" s="10"/>
      <c r="B30" s="10"/>
      <c r="C30" s="10"/>
      <c r="D30" s="10"/>
      <c r="E30" s="10"/>
      <c r="F30" s="10"/>
      <c r="G30" s="10"/>
    </row>
    <row r="31" spans="1:7" x14ac:dyDescent="0.35">
      <c r="A31" s="10"/>
      <c r="B31" s="10"/>
      <c r="C31" s="10"/>
      <c r="D31" s="10"/>
      <c r="E31" s="10"/>
      <c r="F31" s="10"/>
      <c r="G31" s="10"/>
    </row>
    <row r="32" spans="1:7" x14ac:dyDescent="0.35">
      <c r="A32" s="10"/>
      <c r="B32" s="10"/>
      <c r="C32" s="10"/>
      <c r="D32" s="10"/>
      <c r="E32" s="10"/>
      <c r="F32" s="10"/>
      <c r="G32" s="10"/>
    </row>
    <row r="33" spans="1:7" x14ac:dyDescent="0.35">
      <c r="A33" s="10"/>
      <c r="B33" s="10"/>
      <c r="C33" s="10"/>
      <c r="D33" s="10"/>
      <c r="E33" s="10"/>
      <c r="F33" s="10"/>
      <c r="G33" s="10"/>
    </row>
    <row r="34" spans="1:7" x14ac:dyDescent="0.35">
      <c r="A34" s="10"/>
      <c r="B34" s="10"/>
      <c r="C34" s="10"/>
      <c r="D34" s="10"/>
      <c r="E34" s="10"/>
      <c r="F34" s="10"/>
      <c r="G34" s="10"/>
    </row>
    <row r="35" spans="1:7" x14ac:dyDescent="0.35">
      <c r="A35" s="10"/>
      <c r="B35" s="10"/>
      <c r="C35" s="10"/>
      <c r="D35" s="10"/>
      <c r="E35" s="10"/>
      <c r="F35" s="10"/>
      <c r="G35" s="10"/>
    </row>
    <row r="36" spans="1:7" x14ac:dyDescent="0.35">
      <c r="A36" s="10"/>
      <c r="B36" s="10"/>
      <c r="C36" s="10"/>
      <c r="D36" s="10"/>
      <c r="E36" s="10"/>
      <c r="F36" s="10"/>
      <c r="G36" s="10"/>
    </row>
    <row r="37" spans="1:7" x14ac:dyDescent="0.35">
      <c r="A37" s="10"/>
      <c r="B37" s="10"/>
      <c r="C37" s="10"/>
      <c r="D37" s="10"/>
      <c r="E37" s="10"/>
      <c r="F37" s="10"/>
      <c r="G37" s="10"/>
    </row>
    <row r="38" spans="1:7" x14ac:dyDescent="0.35">
      <c r="A38" s="10"/>
      <c r="B38" s="10"/>
      <c r="C38" s="10"/>
      <c r="D38" s="10"/>
      <c r="E38" s="10"/>
      <c r="F38" s="10"/>
    </row>
    <row r="39" spans="1:7" x14ac:dyDescent="0.35">
      <c r="A39" s="10"/>
      <c r="B39" s="10"/>
      <c r="C39" s="10"/>
      <c r="D39" s="10"/>
      <c r="E39" s="10"/>
      <c r="F39" s="10"/>
    </row>
    <row r="40" spans="1:7" x14ac:dyDescent="0.35">
      <c r="A40" s="10"/>
      <c r="B40" s="10"/>
      <c r="C40" s="10"/>
      <c r="D40" s="10"/>
      <c r="E40" s="10"/>
      <c r="F40" s="10"/>
    </row>
    <row r="41" spans="1:7" x14ac:dyDescent="0.35">
      <c r="A41" s="10"/>
      <c r="B41" s="10"/>
      <c r="C41" s="10"/>
      <c r="D41" s="10"/>
      <c r="E41" s="10"/>
      <c r="F41" s="10"/>
    </row>
    <row r="42" spans="1:7" x14ac:dyDescent="0.35">
      <c r="A42" s="10"/>
      <c r="B42" s="10"/>
      <c r="C42" s="10"/>
      <c r="D42" s="10"/>
      <c r="E42" s="10"/>
      <c r="F42" s="10"/>
    </row>
  </sheetData>
  <mergeCells count="1">
    <mergeCell ref="A1:F1"/>
  </mergeCells>
  <pageMargins left="0.7" right="0.7" top="0.75" bottom="0.75" header="0.3" footer="0.3"/>
  <pageSetup paperSize="9" orientation="portrait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45EA7-4FE2-4A5C-83C2-4E073849715A}">
  <dimension ref="A1"/>
  <sheetViews>
    <sheetView tabSelected="1" topLeftCell="A16" zoomScale="85" zoomScaleNormal="85" workbookViewId="0">
      <selection activeCell="P22" sqref="P22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Base</vt:lpstr>
      <vt:lpstr>Optimisation Mono</vt:lpstr>
      <vt:lpstr>Optimisation Mono Parcours</vt:lpstr>
      <vt:lpstr>Optimisation Mono Accès</vt:lpstr>
      <vt:lpstr>Optimisation MultiThreading</vt:lpstr>
      <vt:lpstr>Graphiques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Drogo</dc:creator>
  <cp:lastModifiedBy>Richard Drogo</cp:lastModifiedBy>
  <dcterms:created xsi:type="dcterms:W3CDTF">2020-05-13T14:17:47Z</dcterms:created>
  <dcterms:modified xsi:type="dcterms:W3CDTF">2020-05-25T08:22:50Z</dcterms:modified>
</cp:coreProperties>
</file>