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hemat\OneDrive\Desktop\Rocketry\UTAT\"/>
    </mc:Choice>
  </mc:AlternateContent>
  <xr:revisionPtr revIDLastSave="0" documentId="8_{F0E3A38A-2AD9-4C65-B876-3B4D77E45CEF}" xr6:coauthVersionLast="47" xr6:coauthVersionMax="47" xr10:uidLastSave="{00000000-0000-0000-0000-000000000000}"/>
  <bookViews>
    <workbookView xWindow="-108" yWindow="-108" windowWidth="23256" windowHeight="12720" xr2:uid="{505026CD-80D0-48BA-ABF9-0C85740AFB00}"/>
  </bookViews>
  <sheets>
    <sheet name="Sheet1" sheetId="1" r:id="rId1"/>
    <sheet name="K-value table" sheetId="7" r:id="rId2"/>
    <sheet name="Moody Chart" sheetId="4" r:id="rId3"/>
    <sheet name="Moody Calculator" sheetId="6" r:id="rId4"/>
    <sheet name="N2O Properties" sheetId="2" r:id="rId5"/>
    <sheet name="Ethanol Properties" sheetId="3" r:id="rId6"/>
  </sheets>
  <externalReferences>
    <externalReference r:id="rId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6" i="1" l="1"/>
  <c r="C4" i="1" l="1"/>
  <c r="H43" i="1"/>
  <c r="M53" i="1"/>
  <c r="M43" i="1"/>
  <c r="M33" i="1"/>
  <c r="M34" i="1" s="1"/>
  <c r="H53" i="1"/>
  <c r="H33" i="1"/>
  <c r="H34" i="1" s="1"/>
  <c r="B14" i="6"/>
  <c r="D14" i="6" s="1"/>
  <c r="C14" i="6"/>
  <c r="L20" i="1"/>
  <c r="L26" i="1" s="1"/>
  <c r="L18" i="1"/>
  <c r="L17" i="1"/>
  <c r="B5" i="3"/>
  <c r="B3" i="3"/>
  <c r="G20" i="1"/>
  <c r="G22" i="1" s="1"/>
  <c r="H39" i="1" s="1"/>
  <c r="G42" i="1" s="1"/>
  <c r="G18" i="1"/>
  <c r="B7" i="2"/>
  <c r="B8" i="2"/>
  <c r="G17" i="1"/>
  <c r="B5" i="2"/>
  <c r="B3" i="2"/>
  <c r="B7" i="3" a="1"/>
  <c r="B6" i="3" a="1"/>
  <c r="F10" i="2" a="1"/>
  <c r="F9" i="2" a="1"/>
  <c r="B6" i="2" a="1"/>
  <c r="H41" i="1" l="1"/>
  <c r="H45" i="1" s="1"/>
  <c r="G58" i="1" s="1"/>
  <c r="G41" i="1"/>
  <c r="H42" i="1"/>
  <c r="L22" i="1"/>
  <c r="M39" i="1" s="1"/>
  <c r="L42" i="1" s="1"/>
  <c r="G26" i="1"/>
  <c r="G40" i="1"/>
  <c r="G14" i="6"/>
  <c r="H14" i="6" s="1"/>
  <c r="I14" i="6" s="1"/>
  <c r="B7" i="3"/>
  <c r="B6" i="3"/>
  <c r="F10" i="2"/>
  <c r="F9" i="2"/>
  <c r="B6" i="2"/>
  <c r="G59" i="1" l="1"/>
  <c r="G60" i="1" s="1"/>
  <c r="L40" i="1"/>
  <c r="M41" i="1"/>
  <c r="L41" i="1"/>
  <c r="M42" i="1"/>
  <c r="M45" i="1" s="1"/>
  <c r="L58" i="1" s="1"/>
  <c r="J14" i="6"/>
  <c r="K14" i="6" s="1"/>
  <c r="M14" i="6" s="1"/>
  <c r="L59" i="1" l="1"/>
  <c r="L60" i="1" s="1"/>
  <c r="L14" i="6"/>
  <c r="N14" i="6" s="1"/>
  <c r="O14" i="6" s="1"/>
  <c r="P14" i="6" l="1"/>
  <c r="Q14" i="6" s="1"/>
  <c r="R14" i="6" s="1"/>
  <c r="S14" i="6" l="1"/>
  <c r="T14" i="6" s="1"/>
  <c r="U14" i="6" l="1"/>
  <c r="V14" i="6"/>
  <c r="W14" i="6" l="1"/>
  <c r="Y14" i="6" s="1"/>
  <c r="X14" i="6" l="1"/>
  <c r="Z14" i="6" s="1"/>
  <c r="AB14" i="6" s="1"/>
  <c r="AA14" i="6" l="1"/>
  <c r="AC14" i="6" s="1"/>
  <c r="E14" i="6" s="1"/>
  <c r="F14" i="6" s="1"/>
  <c r="C9"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tc={A7AB752E-5393-4319-BD61-CD19C4451DB0}</author>
  </authors>
  <commentList>
    <comment ref="F27" authorId="0" shapeId="0" xr:uid="{A7AB752E-5393-4319-BD61-CD19C4451DB0}">
      <text>
        <t>[Threaded comment]
Your version of Excel allows you to read this threaded comment; however, any edits to it will get removed if the file is opened in a newer version of Excel. Learn more: https://go.microsoft.com/fwlink/?linkid=870924
Comment:
    Calculate friction factor using "Moody Calculator" sheet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<sst xmlns="http://schemas.openxmlformats.org/spreadsheetml/2006/main" count="226" uniqueCount="101">
  <si>
    <t>Basic Information</t>
  </si>
  <si>
    <t>Pintle Injector</t>
  </si>
  <si>
    <t>Ox Pintle</t>
  </si>
  <si>
    <t>Fuel Annulus</t>
  </si>
  <si>
    <t>Input only 1 of 'Design' Parameters for fixed mass flow rate</t>
  </si>
  <si>
    <t>m/s</t>
  </si>
  <si>
    <t>Psi</t>
  </si>
  <si>
    <t>Psia</t>
  </si>
  <si>
    <t>kPa</t>
  </si>
  <si>
    <t>m2</t>
  </si>
  <si>
    <t>Design Injection Velocity:</t>
  </si>
  <si>
    <t>Design Pressure Drop:</t>
  </si>
  <si>
    <t>Design Area:</t>
  </si>
  <si>
    <t>Ox Tank Pressure:</t>
  </si>
  <si>
    <t>Fuel Tank Pressure:</t>
  </si>
  <si>
    <t>Ox Mass Flow:</t>
  </si>
  <si>
    <t>Fuel Mass Flow:</t>
  </si>
  <si>
    <t>Cavitating Venturi Analysis</t>
  </si>
  <si>
    <t>Feed System Analysis</t>
  </si>
  <si>
    <t>Reynolds Number Calculation</t>
  </si>
  <si>
    <t>Ox (Nitrous oxide)</t>
  </si>
  <si>
    <t>Density (tank conditions):</t>
  </si>
  <si>
    <t>Dyn. Visc:</t>
  </si>
  <si>
    <t>Tube Diameter:</t>
  </si>
  <si>
    <t>Velocity:</t>
  </si>
  <si>
    <t>kg/m3</t>
  </si>
  <si>
    <t>Pa-s</t>
  </si>
  <si>
    <t>m</t>
  </si>
  <si>
    <t>Assumed Tank/Feed System Values</t>
  </si>
  <si>
    <t>Pa</t>
  </si>
  <si>
    <t>C</t>
  </si>
  <si>
    <t>K</t>
  </si>
  <si>
    <t>Calculated Density:</t>
  </si>
  <si>
    <t>Temperature:</t>
  </si>
  <si>
    <t>Pressure:</t>
  </si>
  <si>
    <t>Calculated Dyn. Visc:</t>
  </si>
  <si>
    <t>b1</t>
  </si>
  <si>
    <t>b2</t>
  </si>
  <si>
    <t>b3</t>
  </si>
  <si>
    <t>b4</t>
  </si>
  <si>
    <t>Calculated Theta for Dyn. Visc. Formula:</t>
  </si>
  <si>
    <t>Trivial Property Table</t>
  </si>
  <si>
    <t>Critical Pressure</t>
  </si>
  <si>
    <t>Critical Temperature</t>
  </si>
  <si>
    <t>Dimless</t>
  </si>
  <si>
    <t>in</t>
  </si>
  <si>
    <t>Calculated Reynolds Number:</t>
  </si>
  <si>
    <t>Friction Factor Calculation</t>
  </si>
  <si>
    <t>Ethanol</t>
  </si>
  <si>
    <t>Relative roughness:</t>
  </si>
  <si>
    <t>Epsilon:</t>
  </si>
  <si>
    <t>new f</t>
  </si>
  <si>
    <t>G'(f)</t>
  </si>
  <si>
    <t>G(f)</t>
  </si>
  <si>
    <r>
      <t>f</t>
    </r>
    <r>
      <rPr>
        <b/>
        <vertAlign val="subscript"/>
        <sz val="11"/>
        <rFont val="Arial"/>
        <family val="2"/>
      </rPr>
      <t>guess</t>
    </r>
    <r>
      <rPr>
        <b/>
        <sz val="11"/>
        <rFont val="Arial"/>
        <family val="2"/>
      </rPr>
      <t xml:space="preserve"> </t>
    </r>
  </si>
  <si>
    <t>denom</t>
  </si>
  <si>
    <t>final f</t>
  </si>
  <si>
    <t>f</t>
  </si>
  <si>
    <r>
      <t>e</t>
    </r>
    <r>
      <rPr>
        <b/>
        <sz val="11"/>
        <rFont val="Arial"/>
        <family val="2"/>
      </rPr>
      <t>/D</t>
    </r>
  </si>
  <si>
    <t>Re</t>
  </si>
  <si>
    <r>
      <t>Re</t>
    </r>
    <r>
      <rPr>
        <b/>
        <vertAlign val="subscript"/>
        <sz val="11"/>
        <rFont val="Arial"/>
        <family val="2"/>
      </rPr>
      <t>critical</t>
    </r>
    <r>
      <rPr>
        <b/>
        <sz val="11"/>
        <rFont val="Arial"/>
        <family val="2"/>
      </rPr>
      <t xml:space="preserve"> </t>
    </r>
  </si>
  <si>
    <t>turbulent</t>
  </si>
  <si>
    <t>laminar</t>
  </si>
  <si>
    <t>Do not mess with the hidden cells below:</t>
  </si>
  <si>
    <r>
      <rPr>
        <b/>
        <i/>
        <sz val="11"/>
        <color indexed="10"/>
        <rFont val="Arial"/>
        <family val="2"/>
      </rPr>
      <t>f</t>
    </r>
    <r>
      <rPr>
        <b/>
        <sz val="11"/>
        <color indexed="10"/>
        <rFont val="Arial"/>
        <family val="2"/>
      </rPr>
      <t xml:space="preserve"> = </t>
    </r>
  </si>
  <si>
    <t>Result from Colebrook equation (Moody chart):</t>
  </si>
  <si>
    <r>
      <rPr>
        <i/>
        <sz val="11"/>
        <rFont val="Symbol"/>
        <family val="1"/>
        <charset val="2"/>
      </rPr>
      <t>e</t>
    </r>
    <r>
      <rPr>
        <sz val="11"/>
        <rFont val="Arial"/>
        <family val="2"/>
      </rPr>
      <t>/</t>
    </r>
    <r>
      <rPr>
        <i/>
        <sz val="11"/>
        <rFont val="Arial"/>
        <family val="2"/>
      </rPr>
      <t>D</t>
    </r>
    <r>
      <rPr>
        <sz val="11"/>
        <rFont val="Arial"/>
        <family val="2"/>
      </rPr>
      <t xml:space="preserve"> = </t>
    </r>
  </si>
  <si>
    <t>Enter the dimensionless roughness factor:</t>
  </si>
  <si>
    <t xml:space="preserve">Re = </t>
  </si>
  <si>
    <t>Enter the Reynolds number:</t>
  </si>
  <si>
    <t>Change values ONLY in the yellow highlighted cells.</t>
  </si>
  <si>
    <t>This worksheet enables a user to specify a Reynolds number and a roughness factor, and the Darcy friction factor for pipe flow is calculated.</t>
  </si>
  <si>
    <t>J. M. Cimbala, written August 2003; latest update 05 January 2012</t>
  </si>
  <si>
    <t>Moody Chart Solver</t>
  </si>
  <si>
    <t>Calculated Friction Factor:</t>
  </si>
  <si>
    <t>DO NOT EDIT ANYTHING ON THIS SHEET</t>
  </si>
  <si>
    <t>Bends</t>
  </si>
  <si>
    <t>Ox Fluid Components</t>
  </si>
  <si>
    <t>Ethanol Fluid Components</t>
  </si>
  <si>
    <t>Diameter:</t>
  </si>
  <si>
    <t>Straight Tube</t>
  </si>
  <si>
    <t>Friction Factor:</t>
  </si>
  <si>
    <t>PLC:</t>
  </si>
  <si>
    <t>Equivalent Length:</t>
  </si>
  <si>
    <t>Bend Radius:</t>
  </si>
  <si>
    <t>Re*(r/R)^2:</t>
  </si>
  <si>
    <t>K Value (90 deg bend):</t>
  </si>
  <si>
    <t>R/D Value:</t>
  </si>
  <si>
    <t>Ball Valves</t>
  </si>
  <si>
    <t>Individual PLC:</t>
  </si>
  <si>
    <t>Number of components:</t>
  </si>
  <si>
    <t>Calculated Total Pressure Loss:</t>
  </si>
  <si>
    <t>Total PLC:</t>
  </si>
  <si>
    <t>Total Length:</t>
  </si>
  <si>
    <t>Entrance Losses</t>
  </si>
  <si>
    <t>Other Losses</t>
  </si>
  <si>
    <t>kg/s</t>
  </si>
  <si>
    <t>Total PLC due to Bends:</t>
  </si>
  <si>
    <t>Total PLC due to Friction:</t>
  </si>
  <si>
    <t>Dimensionless Coefficients for Dyn. Visc. Calculation (http://edge.rit.edu/edge/P07106/public/Nox.pdf)</t>
  </si>
  <si>
    <t>Dynamic Pressure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</si>
</sst>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6"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
      <b/>
      <i/>
      <sz val="11"/>
      <color theme="1"/>
      <name val="Calibri"/>
      <family val="2"/>
      <scheme val="minor"/>
    </font>
    <font>
      <sz val="10"/>
      <name val="Arial"/>
      <family val="2"/>
    </font>
    <font>
      <sz val="11"/>
      <name val="Arial"/>
      <family val="2"/>
    </font>
    <font>
      <b/>
      <sz val="11"/>
      <name val="Arial"/>
      <family val="2"/>
    </font>
    <font>
      <b/>
      <vertAlign val="subscript"/>
      <sz val="11"/>
      <name val="Arial"/>
      <family val="2"/>
    </font>
    <font>
      <b/>
      <sz val="11"/>
      <name val="Symbol"/>
      <family val="1"/>
      <charset val="2"/>
    </font>
    <font>
      <b/>
      <sz val="11"/>
      <color indexed="10"/>
      <name val="Arial"/>
      <family val="2"/>
    </font>
    <font>
      <b/>
      <i/>
      <sz val="11"/>
      <color indexed="10"/>
      <name val="Arial"/>
      <family val="2"/>
    </font>
    <font>
      <sz val="11"/>
      <name val="Symbol"/>
      <family val="1"/>
      <charset val="2"/>
    </font>
    <font>
      <i/>
      <sz val="11"/>
      <name val="Symbol"/>
      <family val="1"/>
      <charset val="2"/>
    </font>
    <font>
      <i/>
      <sz val="11"/>
      <name val="Arial"/>
      <family val="2"/>
    </font>
    <font>
      <b/>
      <u/>
      <sz val="11"/>
      <name val="Arial"/>
      <family val="2"/>
    </font>
  </fonts>
  <fills count="8">
    <fill>
      <patternFill patternType="none"/>
    </fill>
    <fill>
      <patternFill patternType="gray125"/>
    </fill>
    <fill>
      <patternFill patternType="solid">
        <fgColor theme="7"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indexed="13"/>
        <bgColor indexed="64"/>
      </patternFill>
    </fill>
    <fill>
      <patternFill patternType="solid">
        <fgColor rgb="FFFFFF00"/>
        <bgColor indexed="64"/>
      </patternFill>
    </fill>
  </fills>
  <borders count="12">
    <border>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5" fillId="0" borderId="0"/>
  </cellStyleXfs>
  <cellXfs count="4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3" borderId="0" xfId="0" applyFill="1"/>
    <xf numFmtId="0" fontId="4" fillId="4" borderId="0" xfId="0" applyFont="1" applyFill="1"/>
    <xf numFmtId="0" fontId="0" fillId="4" borderId="0" xfId="0" applyFill="1"/>
    <xf numFmtId="0" fontId="1" fillId="4" borderId="0" xfId="0" applyFont="1" applyFill="1"/>
    <xf numFmtId="0" fontId="6" fillId="0" borderId="0" xfId="1" applyFont="1"/>
    <xf numFmtId="0" fontId="7" fillId="0" borderId="0" xfId="1" applyFont="1" applyAlignment="1">
      <alignment horizontal="right"/>
    </xf>
    <xf numFmtId="0" fontId="6" fillId="0" borderId="0" xfId="1" applyFont="1" applyAlignment="1">
      <alignment horizontal="right"/>
    </xf>
    <xf numFmtId="0" fontId="9" fillId="0" borderId="0" xfId="1" applyFont="1" applyAlignment="1">
      <alignment horizontal="right"/>
    </xf>
    <xf numFmtId="0" fontId="7" fillId="0" borderId="0" xfId="1" applyFont="1"/>
    <xf numFmtId="164" fontId="10" fillId="5" borderId="1" xfId="1" applyNumberFormat="1" applyFont="1" applyFill="1" applyBorder="1"/>
    <xf numFmtId="0" fontId="10" fillId="5" borderId="2" xfId="1" applyFont="1" applyFill="1" applyBorder="1" applyAlignment="1">
      <alignment horizontal="right"/>
    </xf>
    <xf numFmtId="0" fontId="6" fillId="6" borderId="0" xfId="1" applyFont="1" applyFill="1" applyAlignment="1">
      <alignment horizontal="right"/>
    </xf>
    <xf numFmtId="0" fontId="12" fillId="0" borderId="0" xfId="1" applyFont="1" applyAlignment="1">
      <alignment horizontal="right"/>
    </xf>
    <xf numFmtId="0" fontId="6" fillId="6" borderId="0" xfId="1" applyFont="1" applyFill="1"/>
    <xf numFmtId="0" fontId="6" fillId="7" borderId="0" xfId="1" applyFont="1" applyFill="1"/>
    <xf numFmtId="0" fontId="15" fillId="0" borderId="0" xfId="1" applyFont="1"/>
    <xf numFmtId="0" fontId="4" fillId="4" borderId="2" xfId="0" applyFont="1" applyFill="1" applyBorder="1"/>
    <xf numFmtId="0" fontId="0" fillId="4" borderId="3" xfId="0" applyFill="1" applyBorder="1"/>
    <xf numFmtId="0" fontId="0" fillId="4" borderId="1" xfId="0" applyFill="1" applyBorder="1"/>
    <xf numFmtId="0" fontId="4" fillId="4" borderId="4" xfId="0" applyFont="1" applyFill="1" applyBorder="1"/>
    <xf numFmtId="0" fontId="0" fillId="4" borderId="5" xfId="0" applyFill="1" applyBorder="1"/>
    <xf numFmtId="0" fontId="0" fillId="4" borderId="6" xfId="0" applyFill="1" applyBorder="1"/>
    <xf numFmtId="0" fontId="4" fillId="4" borderId="7" xfId="0" applyFont="1" applyFill="1" applyBorder="1"/>
    <xf numFmtId="0" fontId="0" fillId="4" borderId="8" xfId="0" applyFill="1" applyBorder="1"/>
    <xf numFmtId="0" fontId="0" fillId="4" borderId="9" xfId="0" applyFill="1" applyBorder="1"/>
    <xf numFmtId="0" fontId="0" fillId="4" borderId="10" xfId="0" applyFill="1" applyBorder="1"/>
    <xf numFmtId="0" fontId="0" fillId="4" borderId="11" xfId="0" applyFill="1" applyBorder="1"/>
    <xf numFmtId="0" fontId="2" fillId="0" borderId="4" xfId="0" applyFont="1" applyBorder="1"/>
    <xf numFmtId="0" fontId="0" fillId="0" borderId="5" xfId="0" applyBorder="1"/>
    <xf numFmtId="0" fontId="0" fillId="0" borderId="6" xfId="0" applyBorder="1"/>
    <xf numFmtId="0" fontId="4" fillId="0" borderId="7" xfId="0" applyFont="1" applyBorder="1"/>
    <xf numFmtId="0" fontId="0" fillId="0" borderId="8" xfId="0" applyBorder="1"/>
    <xf numFmtId="0" fontId="0" fillId="3" borderId="7" xfId="0" applyFill="1" applyBorder="1"/>
    <xf numFmtId="0" fontId="0" fillId="3" borderId="8" xfId="0" applyFill="1" applyBorder="1"/>
    <xf numFmtId="0" fontId="4" fillId="4" borderId="9" xfId="0" applyFont="1" applyFill="1" applyBorder="1"/>
    <xf numFmtId="0" fontId="0" fillId="0" borderId="10" xfId="0" applyBorder="1"/>
    <xf numFmtId="0" fontId="4" fillId="4" borderId="10" xfId="0" applyFont="1" applyFill="1" applyBorder="1"/>
    <xf numFmtId="0" fontId="0" fillId="4" borderId="7" xfId="0" applyFill="1" applyBorder="1"/>
    <xf numFmtId="0" fontId="4" fillId="2" borderId="9" xfId="0" applyFont="1" applyFill="1" applyBorder="1"/>
    <xf numFmtId="0" fontId="0" fillId="2" borderId="10" xfId="0" applyFill="1" applyBorder="1"/>
    <xf numFmtId="0" fontId="4" fillId="2" borderId="10" xfId="0" applyFont="1" applyFill="1" applyBorder="1"/>
    <xf numFmtId="0" fontId="0" fillId="2" borderId="11" xfId="0" applyFill="1" applyBorder="1"/>
  </cellXfs>
  <cellStyles count="2">
    <cellStyle name="Normal" xfId="0" builtinId="0"/>
    <cellStyle name="Normal 2" xfId="1" xr:uid="{FC304A7E-5A47-4ED2-A160-3F2803DAEE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0</xdr:col>
      <xdr:colOff>53340</xdr:colOff>
      <xdr:row>14</xdr:row>
      <xdr:rowOff>53340</xdr:rowOff>
    </xdr:from>
    <xdr:to>
      <xdr:col>1</xdr:col>
      <xdr:colOff>952500</xdr:colOff>
      <xdr:row>53</xdr:row>
      <xdr:rowOff>60960</xdr:rowOff>
    </xdr:to>
    <xdr:sp macro="" textlink="">
      <xdr:nvSpPr>
        <xdr:cNvPr id="2" name="TextBox 1">
          <a:extLst>
            <a:ext uri="{FF2B5EF4-FFF2-40B4-BE49-F238E27FC236}">
              <a16:creationId xmlns:a16="http://schemas.microsoft.com/office/drawing/2014/main" id="{6659A8DE-55E1-71A4-71E6-D265D022BFF3}"/>
            </a:ext>
          </a:extLst>
        </xdr:cNvPr>
        <xdr:cNvSpPr txBox="1"/>
      </xdr:nvSpPr>
      <xdr:spPr>
        <a:xfrm>
          <a:off x="53340" y="2613660"/>
          <a:ext cx="2522220" cy="718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Generally, pressure</a:t>
          </a:r>
          <a:r>
            <a:rPr lang="en-CA" sz="1100" baseline="0"/>
            <a:t> losses in fluid systems are classically divided into two major categories: 1. </a:t>
          </a:r>
          <a:r>
            <a:rPr lang="en-CA" sz="1100"/>
            <a:t>major head loss,</a:t>
          </a:r>
          <a:r>
            <a:rPr lang="en-CA" sz="1100" baseline="0"/>
            <a:t> which </a:t>
          </a:r>
          <a:r>
            <a:rPr lang="en-CA" sz="1100"/>
            <a:t>refers to frictional</a:t>
          </a:r>
          <a:r>
            <a:rPr lang="en-CA" sz="1100" baseline="0"/>
            <a:t> losses in straight pipes and 2. minor head loss, which refers to other fluid components like bends, valves, fittings, etc. that also cause frictional losses in the flow. There exist lots of possible ways to write the same basic equations, but in order to allow comparison between major and minor head losses, the convention denoted in the following diagram will be used. This formula allows for easy summation of all lossy components on the fluid path.</a:t>
          </a:r>
        </a:p>
        <a:p>
          <a:endParaRPr lang="en-CA" sz="1100" baseline="0"/>
        </a:p>
        <a:p>
          <a:endParaRPr lang="en-CA" sz="1100" baseline="0"/>
        </a:p>
        <a:p>
          <a:endParaRPr lang="en-CA" sz="1100" baseline="0"/>
        </a:p>
        <a:p>
          <a:endParaRPr lang="en-CA" sz="1100" baseline="0"/>
        </a:p>
        <a:p>
          <a:endParaRPr lang="en-CA" sz="1100" baseline="0"/>
        </a:p>
        <a:p>
          <a:endParaRPr lang="en-CA" sz="1100" baseline="0"/>
        </a:p>
        <a:p>
          <a:endParaRPr lang="en-CA" sz="1100" baseline="0"/>
        </a:p>
        <a:p>
          <a:endParaRPr lang="en-CA" sz="1100" baseline="0"/>
        </a:p>
        <a:p>
          <a:endParaRPr lang="en-CA" sz="1100" baseline="0"/>
        </a:p>
        <a:p>
          <a:endParaRPr lang="en-CA" sz="1100" baseline="0"/>
        </a:p>
        <a:p>
          <a:endParaRPr lang="en-CA" sz="1100" baseline="0"/>
        </a:p>
        <a:p>
          <a:endParaRPr lang="en-CA" sz="1100" baseline="0"/>
        </a:p>
        <a:p>
          <a:endParaRPr lang="en-CA" sz="1100" baseline="0"/>
        </a:p>
        <a:p>
          <a:endParaRPr lang="en-CA" sz="1100" baseline="0"/>
        </a:p>
        <a:p>
          <a:r>
            <a:rPr lang="en-CA" sz="1100" baseline="0"/>
            <a:t>Once the Reynolds number of the flow is found, a Moody Chart can be used to determine the friction factor assuming an appropriate surface roughness of the pipe. Using the Nitrous Oxide line as an example, we calculate a Reynolds number of about 5340 and assume a relative pipe roughness of around 0.000025/0.01905 = 1.3e-3. From the Moody Chart, an appropriate friction factor is around 0.04. </a:t>
          </a:r>
        </a:p>
        <a:p>
          <a:endParaRPr lang="en-CA" sz="1100" baseline="0"/>
        </a:p>
      </xdr:txBody>
    </xdr:sp>
    <xdr:clientData/>
  </xdr:twoCellAnchor>
  <xdr:twoCellAnchor>
    <xdr:from>
      <xdr:col>0</xdr:col>
      <xdr:colOff>403860</xdr:colOff>
      <xdr:row>30</xdr:row>
      <xdr:rowOff>28399</xdr:rowOff>
    </xdr:from>
    <xdr:to>
      <xdr:col>1</xdr:col>
      <xdr:colOff>571500</xdr:colOff>
      <xdr:row>41</xdr:row>
      <xdr:rowOff>38100</xdr:rowOff>
    </xdr:to>
    <xdr:pic>
      <xdr:nvPicPr>
        <xdr:cNvPr id="5" name="Picture 4">
          <a:extLst>
            <a:ext uri="{FF2B5EF4-FFF2-40B4-BE49-F238E27FC236}">
              <a16:creationId xmlns:a16="http://schemas.microsoft.com/office/drawing/2014/main" id="{D13755F3-9BE7-4D9B-B66A-0D73D6196B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3860" y="5514799"/>
          <a:ext cx="1790700" cy="20366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990600</xdr:colOff>
      <xdr:row>36</xdr:row>
      <xdr:rowOff>7620</xdr:rowOff>
    </xdr:from>
    <xdr:to>
      <xdr:col>5</xdr:col>
      <xdr:colOff>1790700</xdr:colOff>
      <xdr:row>49</xdr:row>
      <xdr:rowOff>45720</xdr:rowOff>
    </xdr:to>
    <xdr:sp macro="" textlink="">
      <xdr:nvSpPr>
        <xdr:cNvPr id="7" name="TextBox 6">
          <a:extLst>
            <a:ext uri="{FF2B5EF4-FFF2-40B4-BE49-F238E27FC236}">
              <a16:creationId xmlns:a16="http://schemas.microsoft.com/office/drawing/2014/main" id="{5C9DB410-A781-F197-5ECE-0C66CB689D1E}"/>
            </a:ext>
          </a:extLst>
        </xdr:cNvPr>
        <xdr:cNvSpPr txBox="1"/>
      </xdr:nvSpPr>
      <xdr:spPr>
        <a:xfrm>
          <a:off x="2613660" y="6606540"/>
          <a:ext cx="3733800" cy="2430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000"/>
            <a:t>There appear to be more than one method of calculating</a:t>
          </a:r>
          <a:r>
            <a:rPr lang="en-CA" sz="1000" baseline="0"/>
            <a:t> the pressure losses in bends. Be sure you understand which method is being used. The method used here is outlined in the Aerospace Fluid Component Designer's Handbook (1964) page 98. The calculation of friction factors for turbulent flow in curved pipes is taken from: https://sci-hub.se/10.1115/1.4008390 </a:t>
          </a:r>
        </a:p>
        <a:p>
          <a:r>
            <a:rPr lang="en-CA" sz="1000"/>
            <a:t>The friction factor deals with frictional losses, while the additional</a:t>
          </a:r>
          <a:r>
            <a:rPr lang="en-CA" sz="1000" baseline="0"/>
            <a:t> minor head loss term accounts for the loss in energy due to directional changes in the flow. The values of K can be reasonably approximated from the second sheet in this workbook. </a:t>
          </a:r>
        </a:p>
        <a:p>
          <a:r>
            <a:rPr lang="en-CA" sz="1000" baseline="0"/>
            <a:t>Note: it appears as though you can either use one pipe length value for the </a:t>
          </a:r>
          <a:r>
            <a:rPr lang="en-CA" sz="1000" i="1" baseline="0"/>
            <a:t>entire pipe length </a:t>
          </a:r>
          <a:r>
            <a:rPr lang="en-CA" sz="1000" i="0" baseline="0"/>
            <a:t>(including bends) and place this under </a:t>
          </a:r>
          <a:r>
            <a:rPr lang="en-CA" sz="1000" b="0" i="0" baseline="0"/>
            <a:t>the "straight tube" category, and then only use a K value for the "bend" category; however, the friction factor changes within a bend, which is why we separate them.</a:t>
          </a:r>
          <a:endParaRPr lang="en-CA" sz="10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275276</xdr:colOff>
      <xdr:row>44</xdr:row>
      <xdr:rowOff>105661</xdr:rowOff>
    </xdr:to>
    <xdr:pic>
      <xdr:nvPicPr>
        <xdr:cNvPr id="2" name="Picture 1">
          <a:extLst>
            <a:ext uri="{FF2B5EF4-FFF2-40B4-BE49-F238E27FC236}">
              <a16:creationId xmlns:a16="http://schemas.microsoft.com/office/drawing/2014/main" id="{20BC1BA7-BF1E-88E9-044B-8283010AF00C}"/>
            </a:ext>
          </a:extLst>
        </xdr:cNvPr>
        <xdr:cNvPicPr>
          <a:picLocks noChangeAspect="1"/>
        </xdr:cNvPicPr>
      </xdr:nvPicPr>
      <xdr:blipFill>
        <a:blip xmlns:r="http://schemas.openxmlformats.org/officeDocument/2006/relationships" r:embed="rId1"/>
        <a:stretch>
          <a:fillRect/>
        </a:stretch>
      </xdr:blipFill>
      <xdr:spPr>
        <a:xfrm>
          <a:off x="0" y="0"/>
          <a:ext cx="7590476" cy="8152381"/>
        </a:xfrm>
        <a:prstGeom prst="rect">
          <a:avLst/>
        </a:prstGeom>
      </xdr:spPr>
    </xdr:pic>
    <xdr:clientData/>
  </xdr:twoCellAnchor>
  <xdr:twoCellAnchor editAs="oneCell">
    <xdr:from>
      <xdr:col>12</xdr:col>
      <xdr:colOff>327660</xdr:colOff>
      <xdr:row>0</xdr:row>
      <xdr:rowOff>83820</xdr:rowOff>
    </xdr:from>
    <xdr:to>
      <xdr:col>19</xdr:col>
      <xdr:colOff>289031</xdr:colOff>
      <xdr:row>8</xdr:row>
      <xdr:rowOff>182685</xdr:rowOff>
    </xdr:to>
    <xdr:pic>
      <xdr:nvPicPr>
        <xdr:cNvPr id="3" name="Picture 2">
          <a:extLst>
            <a:ext uri="{FF2B5EF4-FFF2-40B4-BE49-F238E27FC236}">
              <a16:creationId xmlns:a16="http://schemas.microsoft.com/office/drawing/2014/main" id="{1924C186-3DDB-D344-51CC-D3E486099D80}"/>
            </a:ext>
          </a:extLst>
        </xdr:cNvPr>
        <xdr:cNvPicPr>
          <a:picLocks noChangeAspect="1"/>
        </xdr:cNvPicPr>
      </xdr:nvPicPr>
      <xdr:blipFill>
        <a:blip xmlns:r="http://schemas.openxmlformats.org/officeDocument/2006/relationships" r:embed="rId2"/>
        <a:stretch>
          <a:fillRect/>
        </a:stretch>
      </xdr:blipFill>
      <xdr:spPr>
        <a:xfrm>
          <a:off x="7642860" y="83820"/>
          <a:ext cx="4228571" cy="15619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114300</xdr:colOff>
      <xdr:row>29</xdr:row>
      <xdr:rowOff>120752</xdr:rowOff>
    </xdr:to>
    <xdr:pic>
      <xdr:nvPicPr>
        <xdr:cNvPr id="2" name="Picture 1">
          <a:extLst>
            <a:ext uri="{FF2B5EF4-FFF2-40B4-BE49-F238E27FC236}">
              <a16:creationId xmlns:a16="http://schemas.microsoft.com/office/drawing/2014/main" id="{6CDCC8EC-D038-48D9-9DEF-CEC0B56810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648700" cy="54242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hemat\Downloads\CoolProp_sources(1)\CoolProp.sources\wrappers\Excel\CoolProp.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3"/>
      <sheetName val="CoolProp"/>
    </sheetNames>
    <definedNames>
      <definedName name="PropsSI"/>
    </definedNames>
    <sheetDataSet>
      <sheetData sheetId="0"/>
      <sheetData sheetId="1" refreshError="1"/>
    </sheetDataSet>
  </externalBook>
</externalLink>
</file>

<file path=xl/persons/person.xml><?xml version="1.0" encoding="utf-8"?>
<personList xmlns="http://schemas.microsoft.com/office/spreadsheetml/2018/threadedcomments" xmlns:x="http://schemas.openxmlformats.org/spreadsheetml/2006/main">
  <person displayName="Matthew He" id="{F86F5224-B703-4260-B4FC-622E49E61A7A}" userId="Matthew He"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7" dT="2022-07-23T21:17:02.37" personId="{F86F5224-B703-4260-B4FC-622E49E61A7A}" id="{A7AB752E-5393-4319-BD61-CD19C4451DB0}">
    <text>Calculate friction factor using "Moody Calculator" sheet</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4DD23-2418-40BC-B446-0F7098EEEB43}">
  <sheetPr codeName="Sheet1"/>
  <dimension ref="A1:N60"/>
  <sheetViews>
    <sheetView tabSelected="1" zoomScale="85" zoomScaleNormal="85" workbookViewId="0">
      <selection activeCell="D53" sqref="D53"/>
    </sheetView>
  </sheetViews>
  <sheetFormatPr defaultRowHeight="14.4" x14ac:dyDescent="0.3"/>
  <cols>
    <col min="1" max="1" width="23.6640625" bestFit="1" customWidth="1"/>
    <col min="2" max="2" width="16.109375" bestFit="1" customWidth="1"/>
    <col min="6" max="6" width="26.21875" bestFit="1" customWidth="1"/>
    <col min="7" max="7" width="22.6640625" bestFit="1" customWidth="1"/>
    <col min="11" max="11" width="25.5546875" customWidth="1"/>
    <col min="12" max="12" width="22.6640625" bestFit="1" customWidth="1"/>
    <col min="13" max="13" width="12" bestFit="1" customWidth="1"/>
    <col min="14" max="14" width="11.5546875" customWidth="1"/>
  </cols>
  <sheetData>
    <row r="1" spans="1:13" x14ac:dyDescent="0.3">
      <c r="A1" s="2" t="s">
        <v>17</v>
      </c>
    </row>
    <row r="2" spans="1:13" x14ac:dyDescent="0.3">
      <c r="B2" s="2" t="s">
        <v>0</v>
      </c>
      <c r="H2" s="2" t="s">
        <v>1</v>
      </c>
    </row>
    <row r="3" spans="1:13" x14ac:dyDescent="0.3">
      <c r="B3" t="s">
        <v>13</v>
      </c>
      <c r="C3">
        <v>800</v>
      </c>
      <c r="D3" t="s">
        <v>6</v>
      </c>
      <c r="H3" s="1" t="s">
        <v>2</v>
      </c>
      <c r="K3" s="1" t="s">
        <v>3</v>
      </c>
    </row>
    <row r="4" spans="1:13" x14ac:dyDescent="0.3">
      <c r="C4">
        <f>CONVERT(C3,"psi","Pa")</f>
        <v>5515805.8345346898</v>
      </c>
      <c r="D4" t="s">
        <v>29</v>
      </c>
      <c r="K4" s="3" t="s">
        <v>4</v>
      </c>
    </row>
    <row r="5" spans="1:13" x14ac:dyDescent="0.3">
      <c r="B5" t="s">
        <v>14</v>
      </c>
      <c r="C5">
        <v>800</v>
      </c>
      <c r="D5" t="s">
        <v>6</v>
      </c>
      <c r="K5" t="s">
        <v>10</v>
      </c>
      <c r="L5">
        <v>20</v>
      </c>
      <c r="M5" t="s">
        <v>5</v>
      </c>
    </row>
    <row r="6" spans="1:13" x14ac:dyDescent="0.3">
      <c r="C6">
        <f>CONVERT(C5,"psi","Pa")</f>
        <v>5515805.8345346898</v>
      </c>
      <c r="D6" t="s">
        <v>29</v>
      </c>
      <c r="K6" t="s">
        <v>11</v>
      </c>
      <c r="M6" t="s">
        <v>8</v>
      </c>
    </row>
    <row r="7" spans="1:13" x14ac:dyDescent="0.3">
      <c r="B7" t="s">
        <v>15</v>
      </c>
      <c r="C7">
        <v>0.8</v>
      </c>
      <c r="D7" t="s">
        <v>96</v>
      </c>
      <c r="K7" t="s">
        <v>12</v>
      </c>
      <c r="M7" t="s">
        <v>9</v>
      </c>
    </row>
    <row r="8" spans="1:13" x14ac:dyDescent="0.3">
      <c r="B8" t="s">
        <v>16</v>
      </c>
      <c r="C8">
        <v>0.26700000000000002</v>
      </c>
      <c r="D8" t="s">
        <v>96</v>
      </c>
    </row>
    <row r="14" spans="1:13" ht="15" thickBot="1" x14ac:dyDescent="0.35">
      <c r="A14" s="2" t="s">
        <v>18</v>
      </c>
    </row>
    <row r="15" spans="1:13" x14ac:dyDescent="0.3">
      <c r="F15" s="32" t="s">
        <v>19</v>
      </c>
      <c r="G15" s="33"/>
      <c r="H15" s="33"/>
      <c r="I15" s="33"/>
      <c r="J15" s="33"/>
      <c r="K15" s="33"/>
      <c r="L15" s="33"/>
      <c r="M15" s="34"/>
    </row>
    <row r="16" spans="1:13" x14ac:dyDescent="0.3">
      <c r="F16" s="35" t="s">
        <v>20</v>
      </c>
      <c r="K16" s="4" t="s">
        <v>48</v>
      </c>
      <c r="M16" s="36"/>
    </row>
    <row r="17" spans="6:14" x14ac:dyDescent="0.3">
      <c r="F17" s="37" t="s">
        <v>21</v>
      </c>
      <c r="G17" s="5">
        <f>'N2O Properties'!B6</f>
        <v>784.94295339032601</v>
      </c>
      <c r="H17" s="5" t="s">
        <v>25</v>
      </c>
      <c r="K17" s="5" t="s">
        <v>21</v>
      </c>
      <c r="L17" s="5">
        <f>'Ethanol Properties'!B6</f>
        <v>793.25631553237974</v>
      </c>
      <c r="M17" s="38" t="s">
        <v>25</v>
      </c>
    </row>
    <row r="18" spans="6:14" x14ac:dyDescent="0.3">
      <c r="F18" s="37" t="s">
        <v>22</v>
      </c>
      <c r="G18" s="5">
        <f>'N2O Properties'!B7</f>
        <v>5.59821827033039E-2</v>
      </c>
      <c r="H18" s="5" t="s">
        <v>26</v>
      </c>
      <c r="K18" s="5" t="s">
        <v>22</v>
      </c>
      <c r="L18" s="5">
        <f>'Ethanol Properties'!B7</f>
        <v>1.2093039106495116E-3</v>
      </c>
      <c r="M18" s="38" t="s">
        <v>26</v>
      </c>
    </row>
    <row r="19" spans="6:14" x14ac:dyDescent="0.3">
      <c r="F19" s="37" t="s">
        <v>23</v>
      </c>
      <c r="G19" s="5">
        <v>0.75</v>
      </c>
      <c r="H19" s="5" t="s">
        <v>45</v>
      </c>
      <c r="K19" s="5" t="s">
        <v>23</v>
      </c>
      <c r="L19" s="5">
        <v>0.5</v>
      </c>
      <c r="M19" s="38" t="s">
        <v>45</v>
      </c>
    </row>
    <row r="20" spans="6:14" x14ac:dyDescent="0.3">
      <c r="F20" s="37"/>
      <c r="G20" s="5">
        <f>CONVERT(G19,"in","m")</f>
        <v>1.9050000000000001E-2</v>
      </c>
      <c r="H20" s="5" t="s">
        <v>27</v>
      </c>
      <c r="K20" s="5"/>
      <c r="L20" s="5">
        <f>CONVERT(L19,"in","m")</f>
        <v>1.2699999999999999E-2</v>
      </c>
      <c r="M20" s="38" t="s">
        <v>27</v>
      </c>
    </row>
    <row r="21" spans="6:14" x14ac:dyDescent="0.3">
      <c r="F21" s="37" t="s">
        <v>24</v>
      </c>
      <c r="G21" s="5">
        <v>6</v>
      </c>
      <c r="H21" s="5" t="s">
        <v>5</v>
      </c>
      <c r="K21" s="5" t="s">
        <v>24</v>
      </c>
      <c r="L21" s="5">
        <v>6</v>
      </c>
      <c r="M21" s="38" t="s">
        <v>5</v>
      </c>
    </row>
    <row r="22" spans="6:14" ht="15" thickBot="1" x14ac:dyDescent="0.35">
      <c r="F22" s="39" t="s">
        <v>46</v>
      </c>
      <c r="G22" s="30">
        <f>G17*G20*G21/G18</f>
        <v>1602.6345390641463</v>
      </c>
      <c r="H22" s="30" t="s">
        <v>44</v>
      </c>
      <c r="I22" s="40"/>
      <c r="J22" s="40"/>
      <c r="K22" s="41" t="s">
        <v>46</v>
      </c>
      <c r="L22" s="30">
        <f>L17*L20*L21/L18</f>
        <v>49984.235320219872</v>
      </c>
      <c r="M22" s="31" t="s">
        <v>44</v>
      </c>
    </row>
    <row r="23" spans="6:14" ht="15" thickBot="1" x14ac:dyDescent="0.35"/>
    <row r="24" spans="6:14" x14ac:dyDescent="0.3">
      <c r="F24" s="32" t="s">
        <v>47</v>
      </c>
      <c r="G24" s="33"/>
      <c r="H24" s="33"/>
      <c r="I24" s="33"/>
      <c r="J24" s="33"/>
      <c r="K24" s="33"/>
      <c r="L24" s="33"/>
      <c r="M24" s="34"/>
    </row>
    <row r="25" spans="6:14" x14ac:dyDescent="0.3">
      <c r="F25" s="37" t="s">
        <v>50</v>
      </c>
      <c r="G25" s="5">
        <v>2.5000000000000001E-5</v>
      </c>
      <c r="H25" s="5" t="s">
        <v>27</v>
      </c>
      <c r="K25" s="5" t="s">
        <v>50</v>
      </c>
      <c r="L25" s="5">
        <v>2.5000000000000001E-5</v>
      </c>
      <c r="M25" s="38" t="s">
        <v>27</v>
      </c>
    </row>
    <row r="26" spans="6:14" x14ac:dyDescent="0.3">
      <c r="F26" s="42" t="s">
        <v>49</v>
      </c>
      <c r="G26" s="7">
        <f>G25/G20</f>
        <v>1.3123359580052493E-3</v>
      </c>
      <c r="H26" s="7" t="s">
        <v>44</v>
      </c>
      <c r="K26" s="7" t="s">
        <v>49</v>
      </c>
      <c r="L26" s="7">
        <f>L25/L20</f>
        <v>1.968503937007874E-3</v>
      </c>
      <c r="M26" s="28" t="s">
        <v>44</v>
      </c>
    </row>
    <row r="27" spans="6:14" ht="15" thickBot="1" x14ac:dyDescent="0.35">
      <c r="F27" s="43" t="s">
        <v>74</v>
      </c>
      <c r="G27" s="44">
        <v>3.9934244795056403E-2</v>
      </c>
      <c r="H27" s="44" t="s">
        <v>44</v>
      </c>
      <c r="I27" s="40"/>
      <c r="J27" s="40"/>
      <c r="K27" s="45" t="s">
        <v>74</v>
      </c>
      <c r="L27" s="44">
        <v>2.6434733920292504E-2</v>
      </c>
      <c r="M27" s="46" t="s">
        <v>44</v>
      </c>
    </row>
    <row r="30" spans="6:14" x14ac:dyDescent="0.3">
      <c r="F30" s="1" t="s">
        <v>77</v>
      </c>
      <c r="K30" s="1" t="s">
        <v>78</v>
      </c>
    </row>
    <row r="31" spans="6:14" x14ac:dyDescent="0.3">
      <c r="F31" s="4" t="s">
        <v>80</v>
      </c>
      <c r="G31" s="5" t="s">
        <v>93</v>
      </c>
      <c r="H31" s="5">
        <v>0.5</v>
      </c>
      <c r="I31" s="5" t="s">
        <v>27</v>
      </c>
      <c r="K31" s="4" t="s">
        <v>80</v>
      </c>
      <c r="L31" s="5" t="s">
        <v>93</v>
      </c>
      <c r="M31" s="5">
        <v>0.5</v>
      </c>
      <c r="N31" s="5" t="s">
        <v>27</v>
      </c>
    </row>
    <row r="32" spans="6:14" x14ac:dyDescent="0.3">
      <c r="G32" s="5" t="s">
        <v>79</v>
      </c>
      <c r="H32" s="5">
        <v>1.9050000000000001E-2</v>
      </c>
      <c r="I32" s="5" t="s">
        <v>27</v>
      </c>
      <c r="L32" s="5" t="s">
        <v>79</v>
      </c>
      <c r="M32" s="5">
        <v>1.2699999999999999E-2</v>
      </c>
      <c r="N32" s="5" t="s">
        <v>27</v>
      </c>
    </row>
    <row r="33" spans="6:14" ht="15" thickBot="1" x14ac:dyDescent="0.35">
      <c r="G33" s="7" t="s">
        <v>81</v>
      </c>
      <c r="H33" s="7">
        <f>G27</f>
        <v>3.9934244795056403E-2</v>
      </c>
      <c r="I33" s="7" t="s">
        <v>44</v>
      </c>
      <c r="L33" s="7" t="s">
        <v>81</v>
      </c>
      <c r="M33" s="7">
        <f>L27</f>
        <v>2.6434733920292504E-2</v>
      </c>
      <c r="N33" s="7" t="s">
        <v>44</v>
      </c>
    </row>
    <row r="34" spans="6:14" ht="15" thickBot="1" x14ac:dyDescent="0.35">
      <c r="G34" s="21" t="s">
        <v>98</v>
      </c>
      <c r="H34" s="22">
        <f>H33*H31/H32</f>
        <v>1.0481429080067297</v>
      </c>
      <c r="I34" s="23" t="s">
        <v>44</v>
      </c>
      <c r="L34" s="21" t="s">
        <v>82</v>
      </c>
      <c r="M34" s="22">
        <f>M33*M31/M32</f>
        <v>1.0407375559170278</v>
      </c>
      <c r="N34" s="23" t="s">
        <v>44</v>
      </c>
    </row>
    <row r="36" spans="6:14" x14ac:dyDescent="0.3">
      <c r="F36" s="4" t="s">
        <v>76</v>
      </c>
      <c r="G36" s="5" t="s">
        <v>83</v>
      </c>
      <c r="H36" s="5">
        <v>0.1</v>
      </c>
      <c r="I36" s="5" t="s">
        <v>27</v>
      </c>
      <c r="K36" s="4" t="s">
        <v>76</v>
      </c>
      <c r="L36" s="5" t="s">
        <v>83</v>
      </c>
      <c r="M36" s="5">
        <v>0.1</v>
      </c>
      <c r="N36" s="5" t="s">
        <v>27</v>
      </c>
    </row>
    <row r="37" spans="6:14" x14ac:dyDescent="0.3">
      <c r="G37" s="5" t="s">
        <v>84</v>
      </c>
      <c r="H37" s="5">
        <v>0.05</v>
      </c>
      <c r="I37" s="5" t="s">
        <v>27</v>
      </c>
      <c r="L37" s="5" t="s">
        <v>84</v>
      </c>
      <c r="M37" s="5">
        <v>0.05</v>
      </c>
      <c r="N37" s="5" t="s">
        <v>27</v>
      </c>
    </row>
    <row r="38" spans="6:14" x14ac:dyDescent="0.3">
      <c r="G38" s="5" t="s">
        <v>79</v>
      </c>
      <c r="H38" s="5">
        <v>1.9050000000000001E-2</v>
      </c>
      <c r="I38" s="5" t="s">
        <v>27</v>
      </c>
      <c r="L38" s="5" t="s">
        <v>79</v>
      </c>
      <c r="M38" s="5">
        <v>1.2699999999999999E-2</v>
      </c>
      <c r="N38" s="5" t="s">
        <v>27</v>
      </c>
    </row>
    <row r="39" spans="6:14" x14ac:dyDescent="0.3">
      <c r="G39" s="7" t="s">
        <v>85</v>
      </c>
      <c r="H39" s="7">
        <f>G22*POWER(((H38/2)/H37),2)</f>
        <v>58.160008081272643</v>
      </c>
      <c r="I39" s="7" t="s">
        <v>44</v>
      </c>
      <c r="L39" s="7" t="s">
        <v>85</v>
      </c>
      <c r="M39" s="7">
        <f>L22*POWER(((M38/2)/M37),2)</f>
        <v>806.19573147982601</v>
      </c>
      <c r="N39" s="7" t="s">
        <v>44</v>
      </c>
    </row>
    <row r="40" spans="6:14" x14ac:dyDescent="0.3">
      <c r="G40" s="8" t="str">
        <f>IF(AND(H39&gt;0.034, H39&lt;300), "Within Acceptable Range", "Not In Acceptable Range")</f>
        <v>Within Acceptable Range</v>
      </c>
      <c r="H40" s="7"/>
      <c r="I40" s="7"/>
      <c r="L40" s="8" t="str">
        <f>IF(AND(M39&gt;0.034, M39&lt;300), "Within Acceptable Range", "Not In Acceptable Range")</f>
        <v>Not In Acceptable Range</v>
      </c>
      <c r="M40" s="7"/>
      <c r="N40" s="7"/>
    </row>
    <row r="41" spans="6:14" x14ac:dyDescent="0.3">
      <c r="G41" s="7" t="str">
        <f>IF(G42="N/A", "Calculated Friction Factor:", "N/A")</f>
        <v>Calculated Friction Factor:</v>
      </c>
      <c r="H41" s="7">
        <f>IF(G42="N/A", (POWER(H39,-0.25)*0.304+0.029)*POWER((H38/2)/H37, 0.5), "N/A")</f>
        <v>6.0704282953788657E-2</v>
      </c>
      <c r="I41" s="7"/>
      <c r="L41" s="7" t="str">
        <f>IF(L42="N/A", "Calculated Friction Factor:", "N/A")</f>
        <v>N/A</v>
      </c>
      <c r="M41" s="7" t="str">
        <f>IF(L42="N/A", (POWER(M39,-0.25)*0.304+0.029)*POWER((M38/2)/M37, 0.5), "N/A")</f>
        <v>N/A</v>
      </c>
      <c r="N41" s="7"/>
    </row>
    <row r="42" spans="6:14" x14ac:dyDescent="0.3">
      <c r="G42" s="7" t="str">
        <f>IF(AND(H39&gt;0.034, H39&lt;300), "N/A", "Proper Friction Factor")</f>
        <v>N/A</v>
      </c>
      <c r="H42" s="7" t="str">
        <f>IF(G42="N/A","N/A",(0.316/H39)*POWER((H38/2)/H37,0.5))</f>
        <v>N/A</v>
      </c>
      <c r="I42" s="7"/>
      <c r="L42" s="7" t="str">
        <f>IF(AND(M39&gt;0.034, M39&lt;300), "N/A", "Calculated Friction Factor:")</f>
        <v>Calculated Friction Factor:</v>
      </c>
      <c r="M42" s="7">
        <f>IF(L42="N/A","N/A",(0.316/POWER(M39,1/5))*POWER((M38/2)/M37,0.5))</f>
        <v>2.9532542948383405E-2</v>
      </c>
      <c r="N42" s="7"/>
    </row>
    <row r="43" spans="6:14" x14ac:dyDescent="0.3">
      <c r="G43" s="7" t="s">
        <v>87</v>
      </c>
      <c r="H43" s="7">
        <f>H37/H38</f>
        <v>2.6246719160104988</v>
      </c>
      <c r="I43" s="7" t="s">
        <v>44</v>
      </c>
      <c r="L43" s="7" t="s">
        <v>87</v>
      </c>
      <c r="M43" s="7">
        <f>M37/M38</f>
        <v>3.9370078740157486</v>
      </c>
      <c r="N43" s="7" t="s">
        <v>44</v>
      </c>
    </row>
    <row r="44" spans="6:14" ht="15" thickBot="1" x14ac:dyDescent="0.35">
      <c r="G44" s="5" t="s">
        <v>86</v>
      </c>
      <c r="H44" s="5">
        <v>0.3</v>
      </c>
      <c r="I44" s="5" t="s">
        <v>44</v>
      </c>
      <c r="L44" s="5" t="s">
        <v>86</v>
      </c>
      <c r="M44" s="5">
        <v>0.3</v>
      </c>
      <c r="N44" s="5" t="s">
        <v>44</v>
      </c>
    </row>
    <row r="45" spans="6:14" ht="15" thickBot="1" x14ac:dyDescent="0.35">
      <c r="G45" s="21" t="s">
        <v>97</v>
      </c>
      <c r="H45" s="22">
        <f>IF(G42="N/A", H41,H42)*H36/H38 + H44</f>
        <v>0.61865765330072786</v>
      </c>
      <c r="I45" s="23" t="s">
        <v>44</v>
      </c>
      <c r="L45" s="21" t="s">
        <v>82</v>
      </c>
      <c r="M45" s="22">
        <f>IF(L42="N/A", M41,M42)*M36/M38 + M44</f>
        <v>0.53253970825498742</v>
      </c>
      <c r="N45" s="23" t="s">
        <v>44</v>
      </c>
    </row>
    <row r="50" spans="6:14" x14ac:dyDescent="0.3">
      <c r="F50" s="4" t="s">
        <v>95</v>
      </c>
      <c r="G50" s="4"/>
      <c r="K50" s="4" t="s">
        <v>95</v>
      </c>
      <c r="L50" s="4"/>
    </row>
    <row r="51" spans="6:14" x14ac:dyDescent="0.3">
      <c r="F51" t="s">
        <v>88</v>
      </c>
      <c r="G51" s="5" t="s">
        <v>89</v>
      </c>
      <c r="H51" s="5">
        <v>0.08</v>
      </c>
      <c r="I51" s="5" t="s">
        <v>44</v>
      </c>
      <c r="K51" t="s">
        <v>88</v>
      </c>
      <c r="L51" s="5" t="s">
        <v>89</v>
      </c>
      <c r="M51" s="5">
        <v>0.08</v>
      </c>
      <c r="N51" s="5" t="s">
        <v>44</v>
      </c>
    </row>
    <row r="52" spans="6:14" ht="15" thickBot="1" x14ac:dyDescent="0.35">
      <c r="G52" s="5" t="s">
        <v>90</v>
      </c>
      <c r="H52" s="5">
        <v>2</v>
      </c>
      <c r="I52" s="5" t="s">
        <v>44</v>
      </c>
      <c r="L52" s="5" t="s">
        <v>90</v>
      </c>
      <c r="M52" s="5">
        <v>2</v>
      </c>
      <c r="N52" s="5" t="s">
        <v>44</v>
      </c>
    </row>
    <row r="53" spans="6:14" ht="15" thickBot="1" x14ac:dyDescent="0.35">
      <c r="G53" s="21" t="s">
        <v>82</v>
      </c>
      <c r="H53" s="22">
        <f>H51*H52</f>
        <v>0.16</v>
      </c>
      <c r="I53" s="23" t="s">
        <v>44</v>
      </c>
      <c r="L53" s="21" t="s">
        <v>82</v>
      </c>
      <c r="M53" s="22">
        <f>M51*M52</f>
        <v>0.16</v>
      </c>
      <c r="N53" s="23" t="s">
        <v>44</v>
      </c>
    </row>
    <row r="54" spans="6:14" ht="15" thickBot="1" x14ac:dyDescent="0.35">
      <c r="F54" t="s">
        <v>94</v>
      </c>
      <c r="G54" s="21" t="s">
        <v>82</v>
      </c>
      <c r="H54" s="22">
        <v>0.23</v>
      </c>
      <c r="I54" s="23" t="s">
        <v>44</v>
      </c>
      <c r="K54" t="s">
        <v>94</v>
      </c>
      <c r="L54" s="21" t="s">
        <v>82</v>
      </c>
      <c r="M54" s="22">
        <v>0.23</v>
      </c>
      <c r="N54" s="23" t="s">
        <v>44</v>
      </c>
    </row>
    <row r="55" spans="6:14" ht="15" thickBot="1" x14ac:dyDescent="0.35">
      <c r="F55" t="s">
        <v>100</v>
      </c>
      <c r="G55" s="21" t="s">
        <v>82</v>
      </c>
      <c r="H55" s="22">
        <v>1</v>
      </c>
      <c r="I55" s="23" t="s">
        <v>44</v>
      </c>
      <c r="K55" t="s">
        <v>100</v>
      </c>
      <c r="L55" s="21" t="s">
        <v>82</v>
      </c>
      <c r="M55" s="22">
        <v>1</v>
      </c>
      <c r="N55" s="23" t="s">
        <v>44</v>
      </c>
    </row>
    <row r="56" spans="6:14" x14ac:dyDescent="0.3">
      <c r="G56" s="4"/>
      <c r="L56" s="4"/>
    </row>
    <row r="57" spans="6:14" ht="15" thickBot="1" x14ac:dyDescent="0.35"/>
    <row r="58" spans="6:14" x14ac:dyDescent="0.3">
      <c r="F58" s="24" t="s">
        <v>92</v>
      </c>
      <c r="G58" s="25">
        <f>SUM(H53,H45,H34,H54,H55)</f>
        <v>3.0568005613074578</v>
      </c>
      <c r="H58" s="26" t="s">
        <v>44</v>
      </c>
      <c r="K58" s="24" t="s">
        <v>92</v>
      </c>
      <c r="L58" s="25">
        <f>SUM(M53,M45,M34,M54, M55)</f>
        <v>2.9632772641720151</v>
      </c>
      <c r="M58" s="26" t="s">
        <v>44</v>
      </c>
    </row>
    <row r="59" spans="6:14" x14ac:dyDescent="0.3">
      <c r="F59" s="27" t="s">
        <v>91</v>
      </c>
      <c r="G59" s="7">
        <f>G58*'N2O Properties'!B6*POWER(G21,2)/2</f>
        <v>43189.453089321883</v>
      </c>
      <c r="H59" s="28" t="s">
        <v>29</v>
      </c>
      <c r="K59" s="27" t="s">
        <v>91</v>
      </c>
      <c r="L59" s="7">
        <f>L58*'Ethanol Properties'!B6*POWER(L21,2)/2</f>
        <v>42311.491280603332</v>
      </c>
      <c r="M59" s="28" t="s">
        <v>29</v>
      </c>
    </row>
    <row r="60" spans="6:14" ht="15" thickBot="1" x14ac:dyDescent="0.35">
      <c r="F60" s="29"/>
      <c r="G60" s="30">
        <f>CONVERT(G59,"Pa", "psi")</f>
        <v>6.2641005698802408</v>
      </c>
      <c r="H60" s="31" t="s">
        <v>6</v>
      </c>
      <c r="K60" s="29"/>
      <c r="L60" s="30">
        <f>CONVERT(L59,"Pa", "psi")</f>
        <v>6.1367629753301793</v>
      </c>
      <c r="M60" s="31" t="s">
        <v>6</v>
      </c>
    </row>
  </sheetData>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B4E28-91AB-4CA2-BBA4-EFF872FD7704}">
  <sheetPr codeName="Sheet6"/>
  <dimension ref="A1"/>
  <sheetViews>
    <sheetView workbookViewId="0">
      <selection activeCell="P13" sqref="P13"/>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BE8B9-E5D8-4E9B-960F-E9A5C6D18548}">
  <sheetPr codeName="Sheet2"/>
  <dimension ref="A1"/>
  <sheetViews>
    <sheetView workbookViewId="0">
      <selection activeCell="O20" sqref="O20"/>
    </sheetView>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92FB-6FB9-4E47-8A74-638E4614D46B}">
  <sheetPr codeName="Sheet5"/>
  <dimension ref="A1:AC18"/>
  <sheetViews>
    <sheetView workbookViewId="0">
      <selection activeCell="C9" sqref="C9"/>
    </sheetView>
  </sheetViews>
  <sheetFormatPr defaultColWidth="9.109375" defaultRowHeight="13.8" x14ac:dyDescent="0.25"/>
  <cols>
    <col min="1" max="1" width="49" style="9" customWidth="1"/>
    <col min="2" max="2" width="15.44140625" style="9" customWidth="1"/>
    <col min="3" max="3" width="10.33203125" style="9" customWidth="1"/>
    <col min="4" max="11" width="9.33203125" style="9" bestFit="1" customWidth="1"/>
    <col min="12" max="12" width="14.109375" style="9" bestFit="1" customWidth="1"/>
    <col min="13" max="14" width="9.33203125" style="9" bestFit="1" customWidth="1"/>
    <col min="15" max="15" width="14.109375" style="9" bestFit="1" customWidth="1"/>
    <col min="16" max="17" width="9.33203125" style="9" bestFit="1" customWidth="1"/>
    <col min="18" max="18" width="12.5546875" style="9" bestFit="1" customWidth="1"/>
    <col min="19" max="29" width="9.33203125" style="9" bestFit="1" customWidth="1"/>
    <col min="30" max="16384" width="9.109375" style="9"/>
  </cols>
  <sheetData>
    <row r="1" spans="1:29" x14ac:dyDescent="0.25">
      <c r="A1" s="13" t="s">
        <v>73</v>
      </c>
      <c r="B1" s="20" t="s">
        <v>75</v>
      </c>
    </row>
    <row r="2" spans="1:29" x14ac:dyDescent="0.25">
      <c r="A2" s="13" t="s">
        <v>72</v>
      </c>
    </row>
    <row r="4" spans="1:29" x14ac:dyDescent="0.25">
      <c r="A4" s="9" t="s">
        <v>71</v>
      </c>
    </row>
    <row r="5" spans="1:29" x14ac:dyDescent="0.25">
      <c r="A5" s="19" t="s">
        <v>70</v>
      </c>
    </row>
    <row r="6" spans="1:29" x14ac:dyDescent="0.25">
      <c r="A6" s="9" t="s">
        <v>69</v>
      </c>
      <c r="B6" s="11" t="s">
        <v>68</v>
      </c>
      <c r="C6" s="18">
        <v>1602.6345390641463</v>
      </c>
    </row>
    <row r="7" spans="1:29" ht="14.4" x14ac:dyDescent="0.3">
      <c r="A7" s="9" t="s">
        <v>67</v>
      </c>
      <c r="B7" s="17" t="s">
        <v>66</v>
      </c>
      <c r="C7" s="16">
        <v>1.3123359580052493E-3</v>
      </c>
    </row>
    <row r="8" spans="1:29" ht="14.4" thickBot="1" x14ac:dyDescent="0.3"/>
    <row r="9" spans="1:29" ht="14.4" thickBot="1" x14ac:dyDescent="0.3">
      <c r="A9" s="9" t="s">
        <v>65</v>
      </c>
      <c r="B9" s="15" t="s">
        <v>64</v>
      </c>
      <c r="C9" s="14">
        <f>$F$14</f>
        <v>3.9934244795056403E-2</v>
      </c>
    </row>
    <row r="11" spans="1:29" x14ac:dyDescent="0.25">
      <c r="A11" s="10" t="s">
        <v>63</v>
      </c>
      <c r="B11" s="13"/>
    </row>
    <row r="12" spans="1:29" hidden="1" x14ac:dyDescent="0.25">
      <c r="D12" s="10" t="s">
        <v>62</v>
      </c>
      <c r="E12" s="10" t="s">
        <v>61</v>
      </c>
    </row>
    <row r="13" spans="1:29" ht="16.2" hidden="1" x14ac:dyDescent="0.35">
      <c r="A13" s="10" t="s">
        <v>60</v>
      </c>
      <c r="B13" s="10" t="s">
        <v>59</v>
      </c>
      <c r="C13" s="12" t="s">
        <v>58</v>
      </c>
      <c r="D13" s="10" t="s">
        <v>57</v>
      </c>
      <c r="E13" s="10" t="s">
        <v>57</v>
      </c>
      <c r="F13" s="10" t="s">
        <v>56</v>
      </c>
      <c r="G13" s="10" t="s">
        <v>55</v>
      </c>
      <c r="H13" s="10" t="s">
        <v>54</v>
      </c>
      <c r="I13" s="10" t="s">
        <v>53</v>
      </c>
      <c r="J13" s="10" t="s">
        <v>52</v>
      </c>
      <c r="K13" s="10" t="s">
        <v>51</v>
      </c>
      <c r="L13" s="10" t="s">
        <v>53</v>
      </c>
      <c r="M13" s="10" t="s">
        <v>52</v>
      </c>
      <c r="N13" s="10" t="s">
        <v>51</v>
      </c>
      <c r="O13" s="10" t="s">
        <v>53</v>
      </c>
      <c r="P13" s="10" t="s">
        <v>52</v>
      </c>
      <c r="Q13" s="10" t="s">
        <v>51</v>
      </c>
      <c r="R13" s="10" t="s">
        <v>53</v>
      </c>
      <c r="S13" s="10" t="s">
        <v>52</v>
      </c>
      <c r="T13" s="10" t="s">
        <v>51</v>
      </c>
      <c r="U13" s="10" t="s">
        <v>53</v>
      </c>
      <c r="V13" s="10" t="s">
        <v>52</v>
      </c>
      <c r="W13" s="10" t="s">
        <v>51</v>
      </c>
      <c r="X13" s="10" t="s">
        <v>53</v>
      </c>
      <c r="Y13" s="10" t="s">
        <v>52</v>
      </c>
      <c r="Z13" s="10" t="s">
        <v>51</v>
      </c>
      <c r="AA13" s="10" t="s">
        <v>53</v>
      </c>
      <c r="AB13" s="10" t="s">
        <v>52</v>
      </c>
      <c r="AC13" s="10" t="s">
        <v>51</v>
      </c>
    </row>
    <row r="14" spans="1:29" hidden="1" x14ac:dyDescent="0.25">
      <c r="A14" s="9">
        <v>2300</v>
      </c>
      <c r="B14" s="9">
        <f>$C$6</f>
        <v>1602.6345390641463</v>
      </c>
      <c r="C14" s="9">
        <f>$C$7</f>
        <v>1.3123359580052493E-3</v>
      </c>
      <c r="D14" s="9">
        <f>64/B14</f>
        <v>3.9934244795056403E-2</v>
      </c>
      <c r="E14" s="9">
        <f>AC14</f>
        <v>5.4108561174568817E-2</v>
      </c>
      <c r="F14" s="9">
        <f>IF(B14&lt;$A14,D14,E14)</f>
        <v>3.9934244795056403E-2</v>
      </c>
      <c r="G14" s="9">
        <f>1.8*LOG(6.9/B14+($C14/3.7)^1.11)</f>
        <v>-4.2323491915919424</v>
      </c>
      <c r="H14" s="9">
        <f>1/G14/G14</f>
        <v>5.5826064848024909E-2</v>
      </c>
      <c r="I14" s="9">
        <f>1/SQRT(H14)+2*LOG($C14/3.7 + 2.51/($B14*SQRT(H14)))</f>
        <v>-7.9533308622318444E-2</v>
      </c>
      <c r="J14" s="9">
        <f>-0.5*(H14^(-1.5)) * (1 + 2*2.51/(LN(10)*$B14) / ($C14/3.7+2.51/($B14*SQRT(H14))))</f>
        <v>-45.290868087163425</v>
      </c>
      <c r="K14" s="9">
        <f>H14-I14/J14</f>
        <v>5.4070008671992811E-2</v>
      </c>
      <c r="L14" s="9">
        <f>1/SQRT(K14)+2*LOG($C14/3.7 + 2.51/($B14*SQRT(K14)))</f>
        <v>1.8264005774977221E-3</v>
      </c>
      <c r="M14" s="9">
        <f>-0.5*(K14^(-1.5)) * (1 + 2*2.51/(LN(10)*$B14) / ($C14/3.7+2.51/($B14*SQRT(K14))))</f>
        <v>-47.398412103561306</v>
      </c>
      <c r="N14" s="9">
        <f>K14-L14/M14</f>
        <v>5.4108541620596813E-2</v>
      </c>
      <c r="O14" s="9">
        <f>1/SQRT(N14)+2*LOG($C14/3.7 + 2.51/($B14*SQRT(N14)))</f>
        <v>9.2588755418177016E-7</v>
      </c>
      <c r="P14" s="9">
        <f>-0.5*(N14^(-1.5)) * (1 + 2*2.51/(LN(10)*$B14) / ($C14/3.7+2.51/($B14*SQRT(N14))))</f>
        <v>-47.350369115207883</v>
      </c>
      <c r="Q14" s="9">
        <f>N14-O14/P14</f>
        <v>5.4108561174563793E-2</v>
      </c>
      <c r="R14" s="9">
        <f>1/SQRT(Q14)+2*LOG($C14/3.7 + 2.51/($B14*SQRT(Q14)))</f>
        <v>2.3803181647963356E-13</v>
      </c>
      <c r="S14" s="9">
        <f>-0.5*(Q14^(-1.5)) * (1 + 2*2.51/(LN(10)*$B14) / ($C14/3.7+2.51/($B14*SQRT(Q14))))</f>
        <v>-47.35034475648942</v>
      </c>
      <c r="T14" s="9">
        <f>Q14-R14/S14</f>
        <v>5.4108561174568817E-2</v>
      </c>
      <c r="U14" s="9">
        <f>1/SQRT(T14)+2*LOG($C14/3.7 + 2.51/($B14*SQRT(T14)))</f>
        <v>0</v>
      </c>
      <c r="V14" s="9">
        <f>-0.5*(T14^(-1.5)) * (1 + 2*2.51/(LN(10)*$B14) / ($C14/3.7+2.51/($B14*SQRT(T14))))</f>
        <v>-47.350344756483196</v>
      </c>
      <c r="W14" s="9">
        <f>T14-U14/V14</f>
        <v>5.4108561174568817E-2</v>
      </c>
      <c r="X14" s="9">
        <f>1/SQRT(W14)+2*LOG($C14/3.7 + 2.51/($B14*SQRT(W14)))</f>
        <v>0</v>
      </c>
      <c r="Y14" s="9">
        <f>-0.5*(W14^(-1.5)) * (1 + 2*2.51/(LN(10)*$B14) / ($C14/3.7+2.51/($B14*SQRT(W14))))</f>
        <v>-47.350344756483196</v>
      </c>
      <c r="Z14" s="9">
        <f>W14-X14/Y14</f>
        <v>5.4108561174568817E-2</v>
      </c>
      <c r="AA14" s="9">
        <f>1/SQRT(Z14)+2*LOG($C14/3.7 + 2.51/($B14*SQRT(Z14)))</f>
        <v>0</v>
      </c>
      <c r="AB14" s="9">
        <f>-0.5*(Z14^(-1.5)) * (1 + 2*2.51/(LN(10)*$B14) / ($C14/3.7+2.51/($B14*SQRT(Z14))))</f>
        <v>-47.350344756483196</v>
      </c>
      <c r="AC14" s="9">
        <f>Z14-AA14/AB14</f>
        <v>5.4108561174568817E-2</v>
      </c>
    </row>
    <row r="15" spans="1:29" hidden="1" x14ac:dyDescent="0.25">
      <c r="B15" s="11"/>
      <c r="C15" s="11"/>
    </row>
    <row r="16" spans="1:29" x14ac:dyDescent="0.25">
      <c r="A16" s="11"/>
      <c r="B16" s="11"/>
    </row>
    <row r="18" s="10" customFormat="1" x14ac:dyDescent="0.25"/>
  </sheetData>
  <pageMargins left="0.5" right="0.5" top="1" bottom="0.5" header="0" footer="0"/>
  <pageSetup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2B1A0-D153-4125-83F5-8A2E981E0F7A}">
  <sheetPr codeName="Sheet3"/>
  <dimension ref="A1:G10"/>
  <sheetViews>
    <sheetView workbookViewId="0">
      <selection activeCell="B2" sqref="B2"/>
    </sheetView>
  </sheetViews>
  <sheetFormatPr defaultRowHeight="14.4" x14ac:dyDescent="0.3"/>
  <cols>
    <col min="1" max="1" width="33.6640625" bestFit="1" customWidth="1"/>
    <col min="2" max="2" width="10.88671875" customWidth="1"/>
    <col min="3" max="3" width="7.21875" bestFit="1" customWidth="1"/>
    <col min="4" max="4" width="17.109375" bestFit="1" customWidth="1"/>
    <col min="5" max="5" width="21.77734375" customWidth="1"/>
  </cols>
  <sheetData>
    <row r="1" spans="1:7" x14ac:dyDescent="0.3">
      <c r="A1" s="2" t="s">
        <v>28</v>
      </c>
    </row>
    <row r="2" spans="1:7" x14ac:dyDescent="0.3">
      <c r="A2" s="5" t="s">
        <v>34</v>
      </c>
      <c r="B2" s="5">
        <v>800</v>
      </c>
      <c r="C2" s="5" t="s">
        <v>7</v>
      </c>
      <c r="E2" s="1" t="s">
        <v>99</v>
      </c>
    </row>
    <row r="3" spans="1:7" x14ac:dyDescent="0.3">
      <c r="A3" s="5"/>
      <c r="B3" s="5">
        <f>CONVERT(B2,"psi", "Pa")</f>
        <v>5515805.8345346898</v>
      </c>
      <c r="C3" s="5" t="s">
        <v>29</v>
      </c>
      <c r="E3" t="s">
        <v>36</v>
      </c>
      <c r="F3">
        <v>1.6089</v>
      </c>
    </row>
    <row r="4" spans="1:7" x14ac:dyDescent="0.3">
      <c r="A4" s="5" t="s">
        <v>33</v>
      </c>
      <c r="B4" s="5">
        <v>21</v>
      </c>
      <c r="C4" s="5" t="s">
        <v>30</v>
      </c>
      <c r="E4" t="s">
        <v>37</v>
      </c>
      <c r="F4">
        <v>2.0438999999999998</v>
      </c>
    </row>
    <row r="5" spans="1:7" x14ac:dyDescent="0.3">
      <c r="A5" s="5"/>
      <c r="B5" s="5">
        <f>CONVERT(B4,"C","K")</f>
        <v>294.14999999999998</v>
      </c>
      <c r="C5" s="5" t="s">
        <v>31</v>
      </c>
      <c r="E5" t="s">
        <v>38</v>
      </c>
      <c r="F5">
        <v>5.24</v>
      </c>
    </row>
    <row r="6" spans="1:7" x14ac:dyDescent="0.3">
      <c r="A6" s="6" t="s">
        <v>32</v>
      </c>
      <c r="B6" s="7" cm="1">
        <f t="array" ref="B6">[1]!PropsSI("D", "P",B3,"T",B5, "NitrousOxide")</f>
        <v>784.94295339032601</v>
      </c>
      <c r="C6" s="7" t="s">
        <v>25</v>
      </c>
      <c r="E6" t="s">
        <v>39</v>
      </c>
      <c r="F6">
        <v>2.9342300000000002E-2</v>
      </c>
    </row>
    <row r="7" spans="1:7" x14ac:dyDescent="0.3">
      <c r="A7" s="6" t="s">
        <v>35</v>
      </c>
      <c r="B7" s="7">
        <f>F6*EXP(F3*POWER(B8-1, 1/3) + F4*POWER(B8-1,4/3))</f>
        <v>5.59821827033039E-2</v>
      </c>
      <c r="C7" s="7" t="s">
        <v>26</v>
      </c>
    </row>
    <row r="8" spans="1:7" x14ac:dyDescent="0.3">
      <c r="A8" s="7" t="s">
        <v>40</v>
      </c>
      <c r="B8" s="7">
        <f>(F10-F5)/(B5-F5)</f>
        <v>1.0531999584645737</v>
      </c>
      <c r="C8" s="7" t="s">
        <v>44</v>
      </c>
      <c r="E8" s="1" t="s">
        <v>41</v>
      </c>
    </row>
    <row r="9" spans="1:7" x14ac:dyDescent="0.3">
      <c r="E9" t="s">
        <v>42</v>
      </c>
      <c r="F9" cm="1">
        <f t="array" ref="F9">[1]!PropsSI("Pcrit", " ", 0, " ", 0, "NitrousOxide")</f>
        <v>7245000</v>
      </c>
      <c r="G9" t="s">
        <v>29</v>
      </c>
    </row>
    <row r="10" spans="1:7" x14ac:dyDescent="0.3">
      <c r="E10" t="s">
        <v>43</v>
      </c>
      <c r="F10" cm="1">
        <f t="array" ref="F10">[1]!PropsSI("Tcrit", " ", 0, " ", 0, "NitrousOxide")</f>
        <v>309.52</v>
      </c>
      <c r="G10" t="s">
        <v>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04403-F780-4791-9AD6-03F1E4C7301D}">
  <sheetPr codeName="Sheet4"/>
  <dimension ref="A1:C7"/>
  <sheetViews>
    <sheetView workbookViewId="0">
      <selection activeCell="B7" sqref="B7"/>
    </sheetView>
  </sheetViews>
  <sheetFormatPr defaultRowHeight="14.4" x14ac:dyDescent="0.3"/>
  <cols>
    <col min="1" max="1" width="34.109375" customWidth="1"/>
    <col min="2" max="2" width="12" bestFit="1" customWidth="1"/>
  </cols>
  <sheetData>
    <row r="1" spans="1:3" x14ac:dyDescent="0.3">
      <c r="A1" s="2" t="s">
        <v>28</v>
      </c>
    </row>
    <row r="2" spans="1:3" x14ac:dyDescent="0.3">
      <c r="A2" s="5" t="s">
        <v>34</v>
      </c>
      <c r="B2" s="5">
        <v>800</v>
      </c>
      <c r="C2" s="5" t="s">
        <v>7</v>
      </c>
    </row>
    <row r="3" spans="1:3" x14ac:dyDescent="0.3">
      <c r="A3" s="5"/>
      <c r="B3" s="5">
        <f>CONVERT(B2,"psi", "Pa")</f>
        <v>5515805.8345346898</v>
      </c>
      <c r="C3" s="5" t="s">
        <v>29</v>
      </c>
    </row>
    <row r="4" spans="1:3" x14ac:dyDescent="0.3">
      <c r="A4" s="5" t="s">
        <v>33</v>
      </c>
      <c r="B4" s="5">
        <v>21</v>
      </c>
      <c r="C4" s="5" t="s">
        <v>30</v>
      </c>
    </row>
    <row r="5" spans="1:3" x14ac:dyDescent="0.3">
      <c r="A5" s="5"/>
      <c r="B5" s="5">
        <f>CONVERT(B4,"C","K")</f>
        <v>294.14999999999998</v>
      </c>
      <c r="C5" s="5" t="s">
        <v>31</v>
      </c>
    </row>
    <row r="6" spans="1:3" x14ac:dyDescent="0.3">
      <c r="A6" s="6" t="s">
        <v>32</v>
      </c>
      <c r="B6" s="7" cm="1">
        <f t="array" ref="B6">[1]!PropsSI("D", "P",B3,"T",B5, "Ethanol")</f>
        <v>793.25631553237974</v>
      </c>
      <c r="C6" s="7" t="s">
        <v>25</v>
      </c>
    </row>
    <row r="7" spans="1:3" x14ac:dyDescent="0.3">
      <c r="A7" s="6" t="s">
        <v>35</v>
      </c>
      <c r="B7" s="7" cm="1">
        <f t="array" ref="B7">[1]!PropsSI("V", "P",B3,"T",B5, "Ethanol")</f>
        <v>1.2093039106495116E-3</v>
      </c>
      <c r="C7" s="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K-value table</vt:lpstr>
      <vt:lpstr>Moody Chart</vt:lpstr>
      <vt:lpstr>Moody Calculator</vt:lpstr>
      <vt:lpstr>N2O Properties</vt:lpstr>
      <vt:lpstr>Ethanol 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He</dc:creator>
  <cp:lastModifiedBy>Matthew He</cp:lastModifiedBy>
  <dcterms:created xsi:type="dcterms:W3CDTF">2022-07-21T13:45:50Z</dcterms:created>
  <dcterms:modified xsi:type="dcterms:W3CDTF">2022-10-09T18:30:29Z</dcterms:modified>
</cp:coreProperties>
</file>